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Бугаева А.С\Внесение изменений в бюджет 2025\1-ое изменение —  В 2025\СЭД\"/>
    </mc:Choice>
  </mc:AlternateContent>
  <bookViews>
    <workbookView xWindow="15" yWindow="0" windowWidth="12495" windowHeight="9435" tabRatio="907" firstSheet="1" activeTab="1"/>
  </bookViews>
  <sheets>
    <sheet name="Источники" sheetId="10" state="hidden" r:id="rId1"/>
    <sheet name="Лист7" sheetId="63" r:id="rId2"/>
    <sheet name="НСЗ мероприятия" sheetId="13" state="hidden" r:id="rId3"/>
    <sheet name="РФ в ЛО пром вар" sheetId="27" state="hidden" r:id="rId4"/>
    <sheet name="Лист1" sheetId="22" state="hidden" r:id="rId5"/>
    <sheet name="Лист2" sheetId="23" state="hidden" r:id="rId6"/>
    <sheet name="Лист3" sheetId="24" state="hidden" r:id="rId7"/>
    <sheet name="НСЗ мероприятия (3)" sheetId="30" state="hidden" r:id="rId8"/>
    <sheet name="НСЗ мероприятия (4)" sheetId="33" state="hidden" r:id="rId9"/>
    <sheet name="НСЗ мероприятия (5)" sheetId="34" state="hidden" r:id="rId10"/>
    <sheet name="НСЗ мероприятия (6)" sheetId="37" state="hidden" r:id="rId11"/>
    <sheet name="НСЗ мер (7)" sheetId="38" state="hidden" r:id="rId12"/>
  </sheets>
  <externalReferences>
    <externalReference r:id="rId13"/>
  </externalReferences>
  <definedNames>
    <definedName name="_xlnm.Print_Area" localSheetId="11">'НСЗ мер (7)'!$A$1:$I$11</definedName>
    <definedName name="_xlnm.Print_Area" localSheetId="7">'НСЗ мероприятия (3)'!$A$1:$H$11</definedName>
    <definedName name="_xlnm.Print_Area" localSheetId="8">'НСЗ мероприятия (4)'!$A$1:$H$11</definedName>
    <definedName name="_xlnm.Print_Area" localSheetId="9">'НСЗ мероприятия (5)'!$A$1:$H$11</definedName>
    <definedName name="_xlnm.Print_Area" localSheetId="10">'НСЗ мероприятия (6)'!$A$1:$H$11</definedName>
  </definedNames>
  <calcPr calcId="162913"/>
</workbook>
</file>

<file path=xl/calcChain.xml><?xml version="1.0" encoding="utf-8"?>
<calcChain xmlns="http://schemas.openxmlformats.org/spreadsheetml/2006/main">
  <c r="J34" i="63" l="1"/>
  <c r="G10" i="63"/>
  <c r="D6" i="63"/>
  <c r="E6" i="63"/>
  <c r="D22" i="63"/>
  <c r="E22" i="63"/>
  <c r="D38" i="63" l="1"/>
  <c r="E38" i="63"/>
  <c r="F38" i="63"/>
  <c r="G38" i="63"/>
  <c r="H38" i="63"/>
  <c r="I38" i="63"/>
  <c r="J38" i="63"/>
  <c r="E37" i="63"/>
  <c r="F37" i="63"/>
  <c r="G37" i="63"/>
  <c r="H37" i="63"/>
  <c r="I37" i="63"/>
  <c r="J37" i="63"/>
  <c r="D37" i="63"/>
  <c r="E35" i="63"/>
  <c r="F35" i="63"/>
  <c r="G35" i="63"/>
  <c r="H35" i="63"/>
  <c r="I35" i="63"/>
  <c r="J35" i="63"/>
  <c r="K34" i="63"/>
  <c r="K33" i="63"/>
  <c r="I31" i="63"/>
  <c r="J31" i="63"/>
  <c r="D35" i="63"/>
  <c r="E31" i="63"/>
  <c r="F31" i="63"/>
  <c r="G31" i="63"/>
  <c r="H31" i="63"/>
  <c r="D31" i="63"/>
  <c r="K30" i="63"/>
  <c r="K29" i="63"/>
  <c r="D39" i="63" l="1"/>
  <c r="K35" i="63"/>
  <c r="K38" i="63"/>
  <c r="K31" i="63"/>
  <c r="J27" i="63"/>
  <c r="I27" i="63"/>
  <c r="H27" i="63"/>
  <c r="F27" i="63"/>
  <c r="K26" i="63"/>
  <c r="J23" i="63"/>
  <c r="I23" i="63"/>
  <c r="H23" i="63"/>
  <c r="G23" i="63"/>
  <c r="F23" i="63"/>
  <c r="K22" i="63"/>
  <c r="J19" i="63"/>
  <c r="I19" i="63"/>
  <c r="G19" i="63"/>
  <c r="F19" i="63"/>
  <c r="E19" i="63"/>
  <c r="D19" i="63"/>
  <c r="J15" i="63"/>
  <c r="I15" i="63"/>
  <c r="H15" i="63"/>
  <c r="G15" i="63"/>
  <c r="E15" i="63"/>
  <c r="D15" i="63"/>
  <c r="K14" i="63"/>
  <c r="J11" i="63"/>
  <c r="I11" i="63"/>
  <c r="H11" i="63"/>
  <c r="F11" i="63"/>
  <c r="E11" i="63"/>
  <c r="D11" i="63"/>
  <c r="K10" i="63"/>
  <c r="K6" i="63"/>
  <c r="F7" i="63"/>
  <c r="G7" i="63"/>
  <c r="H7" i="63"/>
  <c r="I7" i="63"/>
  <c r="J7" i="63"/>
  <c r="I39" i="63" l="1"/>
  <c r="J39" i="63"/>
  <c r="K18" i="63"/>
  <c r="G27" i="63"/>
  <c r="H39" i="63"/>
  <c r="E7" i="63" l="1"/>
  <c r="K9" i="63"/>
  <c r="K13" i="63"/>
  <c r="K15" i="63" s="1"/>
  <c r="F15" i="63"/>
  <c r="E23" i="63"/>
  <c r="G11" i="63"/>
  <c r="K17" i="63"/>
  <c r="K19" i="63" s="1"/>
  <c r="H19" i="63"/>
  <c r="E27" i="63"/>
  <c r="D27" i="63" l="1"/>
  <c r="D7" i="63"/>
  <c r="K11" i="63"/>
  <c r="F39" i="63"/>
  <c r="G39" i="63"/>
  <c r="K21" i="63"/>
  <c r="D23" i="63"/>
  <c r="K25" i="63"/>
  <c r="K27" i="63" s="1"/>
  <c r="K5" i="63"/>
  <c r="K7" i="63" s="1"/>
  <c r="K37" i="63" l="1"/>
  <c r="E39" i="63"/>
  <c r="K23" i="63"/>
  <c r="K39" i="63" l="1"/>
  <c r="K4" i="33" l="1"/>
  <c r="J4" i="33"/>
  <c r="E53" i="38" l="1"/>
  <c r="F41" i="38" s="1"/>
  <c r="C53" i="38"/>
  <c r="D47" i="38" s="1"/>
  <c r="J39" i="38"/>
  <c r="K39" i="38" s="1"/>
  <c r="J38" i="38"/>
  <c r="K38" i="38" s="1"/>
  <c r="E35" i="38"/>
  <c r="F23" i="38" s="1"/>
  <c r="C35" i="38"/>
  <c r="D32" i="38" s="1"/>
  <c r="J32" i="38"/>
  <c r="J31" i="38"/>
  <c r="P30" i="38"/>
  <c r="J30" i="38"/>
  <c r="N29" i="38"/>
  <c r="W26" i="38"/>
  <c r="W27" i="38" s="1"/>
  <c r="W25" i="38"/>
  <c r="O23" i="38"/>
  <c r="O24" i="38" s="1"/>
  <c r="O25" i="38" s="1"/>
  <c r="N23" i="38"/>
  <c r="N24" i="38" s="1"/>
  <c r="N25" i="38" s="1"/>
  <c r="M23" i="38"/>
  <c r="M24" i="38" s="1"/>
  <c r="M25" i="38" s="1"/>
  <c r="N31" i="38" s="1"/>
  <c r="B22" i="38"/>
  <c r="E21" i="38"/>
  <c r="D21" i="38"/>
  <c r="E15" i="38"/>
  <c r="D15" i="38"/>
  <c r="E14" i="38"/>
  <c r="D14" i="38"/>
  <c r="D11" i="38"/>
  <c r="D13" i="38" s="1"/>
  <c r="G13" i="38" s="1"/>
  <c r="B11" i="38"/>
  <c r="O10" i="38"/>
  <c r="Q9" i="38"/>
  <c r="F9" i="38"/>
  <c r="V8" i="38"/>
  <c r="W8" i="38" s="1"/>
  <c r="F8" i="38"/>
  <c r="V7" i="38"/>
  <c r="W7" i="38" s="1"/>
  <c r="F7" i="38"/>
  <c r="V6" i="38"/>
  <c r="W6" i="38" s="1"/>
  <c r="M6" i="38"/>
  <c r="M5" i="38" s="1"/>
  <c r="M10" i="38" s="1"/>
  <c r="F6" i="38"/>
  <c r="O5" i="38"/>
  <c r="L5" i="38"/>
  <c r="L11" i="38" s="1"/>
  <c r="K5" i="38"/>
  <c r="K9" i="38" s="1"/>
  <c r="I5" i="38"/>
  <c r="I11" i="38" s="1"/>
  <c r="G5" i="38"/>
  <c r="E5" i="38"/>
  <c r="P8" i="38" s="1"/>
  <c r="P9" i="38" s="1"/>
  <c r="C5" i="38"/>
  <c r="C11" i="38" s="1"/>
  <c r="Q4" i="38"/>
  <c r="G4" i="38"/>
  <c r="G9" i="38" s="1"/>
  <c r="F4" i="38"/>
  <c r="D23" i="38" l="1"/>
  <c r="I20" i="38"/>
  <c r="D29" i="38"/>
  <c r="D26" i="38"/>
  <c r="E16" i="38"/>
  <c r="F26" i="38"/>
  <c r="F44" i="38"/>
  <c r="F47" i="38"/>
  <c r="F50" i="38"/>
  <c r="L9" i="38"/>
  <c r="D16" i="38"/>
  <c r="E11" i="38"/>
  <c r="I9" i="38"/>
  <c r="K11" i="38"/>
  <c r="P22" i="38"/>
  <c r="P24" i="38" s="1"/>
  <c r="F32" i="38"/>
  <c r="P6" i="38"/>
  <c r="C10" i="38"/>
  <c r="D44" i="38"/>
  <c r="D50" i="38"/>
  <c r="N4" i="38"/>
  <c r="O20" i="38" s="1"/>
  <c r="E10" i="38"/>
  <c r="G11" i="38"/>
  <c r="M11" i="38"/>
  <c r="F29" i="38"/>
  <c r="P4" i="38"/>
  <c r="Q10" i="38" s="1"/>
  <c r="F5" i="38"/>
  <c r="F22" i="38" s="1"/>
  <c r="D41" i="38"/>
  <c r="D35" i="38" l="1"/>
  <c r="F35" i="38"/>
  <c r="F53" i="38"/>
  <c r="D53" i="38"/>
  <c r="P23" i="38"/>
  <c r="M52" i="38"/>
  <c r="O27" i="38"/>
  <c r="E15" i="37" l="1"/>
  <c r="E13" i="37"/>
  <c r="E14" i="37" s="1"/>
  <c r="E53" i="37"/>
  <c r="F50" i="37" s="1"/>
  <c r="C53" i="37"/>
  <c r="D47" i="37" s="1"/>
  <c r="I39" i="37"/>
  <c r="J39" i="37" s="1"/>
  <c r="I38" i="37"/>
  <c r="J38" i="37" s="1"/>
  <c r="E35" i="37"/>
  <c r="F23" i="37" s="1"/>
  <c r="C35" i="37"/>
  <c r="D32" i="37" s="1"/>
  <c r="I32" i="37"/>
  <c r="I31" i="37"/>
  <c r="O30" i="37"/>
  <c r="I30" i="37"/>
  <c r="M29" i="37"/>
  <c r="V26" i="37"/>
  <c r="V27" i="37" s="1"/>
  <c r="V25" i="37"/>
  <c r="N23" i="37"/>
  <c r="N24" i="37" s="1"/>
  <c r="N25" i="37" s="1"/>
  <c r="M23" i="37"/>
  <c r="M24" i="37" s="1"/>
  <c r="M25" i="37" s="1"/>
  <c r="L23" i="37"/>
  <c r="L24" i="37" s="1"/>
  <c r="L25" i="37" s="1"/>
  <c r="M31" i="37" s="1"/>
  <c r="B22" i="37"/>
  <c r="E21" i="37"/>
  <c r="D21" i="37"/>
  <c r="D11" i="37"/>
  <c r="B11" i="37"/>
  <c r="N10" i="37"/>
  <c r="P9" i="37"/>
  <c r="F9" i="37"/>
  <c r="U8" i="37"/>
  <c r="V8" i="37" s="1"/>
  <c r="F8" i="37"/>
  <c r="U7" i="37"/>
  <c r="V7" i="37" s="1"/>
  <c r="F7" i="37"/>
  <c r="U6" i="37"/>
  <c r="V6" i="37" s="1"/>
  <c r="L6" i="37"/>
  <c r="L5" i="37" s="1"/>
  <c r="L10" i="37" s="1"/>
  <c r="F6" i="37"/>
  <c r="N5" i="37"/>
  <c r="K5" i="37"/>
  <c r="K9" i="37" s="1"/>
  <c r="J5" i="37"/>
  <c r="J11" i="37" s="1"/>
  <c r="H5" i="37"/>
  <c r="H11" i="37" s="1"/>
  <c r="H20" i="37" s="1"/>
  <c r="G5" i="37"/>
  <c r="E5" i="37"/>
  <c r="O8" i="37" s="1"/>
  <c r="O9" i="37" s="1"/>
  <c r="C5" i="37"/>
  <c r="C11" i="37" s="1"/>
  <c r="P4" i="37"/>
  <c r="G4" i="37"/>
  <c r="F4" i="37"/>
  <c r="F44" i="37" l="1"/>
  <c r="G9" i="37"/>
  <c r="F41" i="37"/>
  <c r="D23" i="37"/>
  <c r="D29" i="37"/>
  <c r="D26" i="37"/>
  <c r="F26" i="37"/>
  <c r="F47" i="37"/>
  <c r="J9" i="37"/>
  <c r="F32" i="37"/>
  <c r="K11" i="37"/>
  <c r="H9" i="37"/>
  <c r="E16" i="37"/>
  <c r="E11" i="37"/>
  <c r="O22" i="37"/>
  <c r="O24" i="37" s="1"/>
  <c r="O6" i="37"/>
  <c r="D44" i="37"/>
  <c r="M4" i="37"/>
  <c r="N20" i="37" s="1"/>
  <c r="E10" i="37"/>
  <c r="G11" i="37"/>
  <c r="L11" i="37"/>
  <c r="F29" i="37"/>
  <c r="C10" i="37"/>
  <c r="D50" i="37"/>
  <c r="O4" i="37"/>
  <c r="P10" i="37" s="1"/>
  <c r="F5" i="37"/>
  <c r="F22" i="37" s="1"/>
  <c r="D41" i="37"/>
  <c r="D35" i="37" l="1"/>
  <c r="F53" i="37"/>
  <c r="F35" i="37"/>
  <c r="O23" i="37"/>
  <c r="D53" i="37"/>
  <c r="L52" i="37"/>
  <c r="N27" i="37"/>
  <c r="F4" i="34" l="1"/>
  <c r="E45" i="34"/>
  <c r="F33" i="34" s="1"/>
  <c r="C45" i="34"/>
  <c r="D42" i="34" s="1"/>
  <c r="I31" i="34"/>
  <c r="J31" i="34" s="1"/>
  <c r="I30" i="34"/>
  <c r="J30" i="34" s="1"/>
  <c r="E27" i="34"/>
  <c r="F15" i="34" s="1"/>
  <c r="C27" i="34"/>
  <c r="D24" i="34" s="1"/>
  <c r="I24" i="34"/>
  <c r="I23" i="34"/>
  <c r="O22" i="34"/>
  <c r="I22" i="34"/>
  <c r="M21" i="34"/>
  <c r="V18" i="34"/>
  <c r="V19" i="34" s="1"/>
  <c r="V17" i="34"/>
  <c r="N15" i="34"/>
  <c r="N16" i="34" s="1"/>
  <c r="N17" i="34" s="1"/>
  <c r="M15" i="34"/>
  <c r="M16" i="34" s="1"/>
  <c r="M17" i="34" s="1"/>
  <c r="L15" i="34"/>
  <c r="L16" i="34" s="1"/>
  <c r="L17" i="34" s="1"/>
  <c r="M23" i="34" s="1"/>
  <c r="B14" i="34"/>
  <c r="E13" i="34"/>
  <c r="D13" i="34"/>
  <c r="D11" i="34"/>
  <c r="B11" i="34"/>
  <c r="N10" i="34"/>
  <c r="P9" i="34"/>
  <c r="F9" i="34"/>
  <c r="U8" i="34"/>
  <c r="V8" i="34" s="1"/>
  <c r="F8" i="34"/>
  <c r="U7" i="34"/>
  <c r="V7" i="34" s="1"/>
  <c r="F7" i="34"/>
  <c r="U6" i="34"/>
  <c r="V6" i="34" s="1"/>
  <c r="L6" i="34"/>
  <c r="L5" i="34" s="1"/>
  <c r="L10" i="34" s="1"/>
  <c r="F6" i="34"/>
  <c r="N5" i="34"/>
  <c r="K5" i="34"/>
  <c r="K9" i="34" s="1"/>
  <c r="J5" i="34"/>
  <c r="J11" i="34" s="1"/>
  <c r="H5" i="34"/>
  <c r="H11" i="34" s="1"/>
  <c r="G5" i="34"/>
  <c r="E5" i="34"/>
  <c r="O8" i="34" s="1"/>
  <c r="O9" i="34" s="1"/>
  <c r="C5" i="34"/>
  <c r="C11" i="34" s="1"/>
  <c r="P4" i="34"/>
  <c r="G4" i="34"/>
  <c r="G9" i="34" s="1"/>
  <c r="D18" i="34" l="1"/>
  <c r="D33" i="34"/>
  <c r="F36" i="34"/>
  <c r="F39" i="34"/>
  <c r="F42" i="34"/>
  <c r="H12" i="34"/>
  <c r="F18" i="34"/>
  <c r="D39" i="34"/>
  <c r="D15" i="34"/>
  <c r="D21" i="34"/>
  <c r="D36" i="34"/>
  <c r="K11" i="34"/>
  <c r="J9" i="34"/>
  <c r="F5" i="34"/>
  <c r="L44" i="34" s="1"/>
  <c r="E11" i="34"/>
  <c r="O14" i="34"/>
  <c r="O16" i="34" s="1"/>
  <c r="O6" i="34"/>
  <c r="H9" i="34"/>
  <c r="C10" i="34"/>
  <c r="F24" i="34"/>
  <c r="M4" i="34"/>
  <c r="N12" i="34" s="1"/>
  <c r="E10" i="34"/>
  <c r="G11" i="34"/>
  <c r="L11" i="34"/>
  <c r="F21" i="34"/>
  <c r="O4" i="34"/>
  <c r="P10" i="34" s="1"/>
  <c r="F45" i="34" l="1"/>
  <c r="F27" i="34"/>
  <c r="D27" i="34"/>
  <c r="D45" i="34"/>
  <c r="N19" i="34"/>
  <c r="F14" i="34"/>
  <c r="O15" i="34"/>
  <c r="J5" i="33" l="1"/>
  <c r="J9" i="33" s="1"/>
  <c r="K5" i="33"/>
  <c r="K9" i="33" s="1"/>
  <c r="H5" i="33"/>
  <c r="H9" i="33" s="1"/>
  <c r="I31" i="33"/>
  <c r="J31" i="33" s="1"/>
  <c r="I30" i="33"/>
  <c r="J30" i="33" s="1"/>
  <c r="N15" i="33"/>
  <c r="M15" i="33"/>
  <c r="L15" i="33"/>
  <c r="K11" i="33" l="1"/>
  <c r="J11" i="33"/>
  <c r="I22" i="33"/>
  <c r="I24" i="33"/>
  <c r="I23" i="33"/>
  <c r="E45" i="33"/>
  <c r="F39" i="33" s="1"/>
  <c r="C45" i="33"/>
  <c r="D39" i="33" s="1"/>
  <c r="E27" i="33"/>
  <c r="F15" i="33" s="1"/>
  <c r="C27" i="33"/>
  <c r="D24" i="33" s="1"/>
  <c r="O22" i="33"/>
  <c r="M21" i="33"/>
  <c r="V18" i="33"/>
  <c r="V19" i="33" s="1"/>
  <c r="V17" i="33"/>
  <c r="N16" i="33"/>
  <c r="N17" i="33" s="1"/>
  <c r="M16" i="33"/>
  <c r="M17" i="33" s="1"/>
  <c r="L16" i="33"/>
  <c r="L17" i="33" s="1"/>
  <c r="M23" i="33" s="1"/>
  <c r="D15" i="33"/>
  <c r="B14" i="33"/>
  <c r="E13" i="33"/>
  <c r="D13" i="33"/>
  <c r="D11" i="33"/>
  <c r="B11" i="33"/>
  <c r="N10" i="33"/>
  <c r="P9" i="33"/>
  <c r="F9" i="33"/>
  <c r="U8" i="33"/>
  <c r="V8" i="33" s="1"/>
  <c r="F8" i="33"/>
  <c r="U7" i="33"/>
  <c r="V7" i="33" s="1"/>
  <c r="F7" i="33"/>
  <c r="U6" i="33"/>
  <c r="V6" i="33" s="1"/>
  <c r="L6" i="33"/>
  <c r="L5" i="33" s="1"/>
  <c r="L11" i="33" s="1"/>
  <c r="F6" i="33"/>
  <c r="N5" i="33"/>
  <c r="G5" i="33"/>
  <c r="E5" i="33"/>
  <c r="E10" i="33" s="1"/>
  <c r="C5" i="33"/>
  <c r="C10" i="33" s="1"/>
  <c r="P4" i="33"/>
  <c r="G4" i="33"/>
  <c r="G11" i="33" s="1"/>
  <c r="F4" i="33"/>
  <c r="O4" i="33" s="1"/>
  <c r="F33" i="33" l="1"/>
  <c r="F36" i="33"/>
  <c r="F42" i="33"/>
  <c r="F45" i="33" s="1"/>
  <c r="D21" i="33"/>
  <c r="D27" i="33" s="1"/>
  <c r="D18" i="33"/>
  <c r="F18" i="33"/>
  <c r="P10" i="33"/>
  <c r="C11" i="33"/>
  <c r="L10" i="33"/>
  <c r="F21" i="33"/>
  <c r="M4" i="33"/>
  <c r="N12" i="33" s="1"/>
  <c r="H11" i="33"/>
  <c r="H12" i="33" s="1"/>
  <c r="F5" i="33"/>
  <c r="L44" i="33" s="1"/>
  <c r="O14" i="33"/>
  <c r="O16" i="33" s="1"/>
  <c r="F24" i="33"/>
  <c r="D36" i="33"/>
  <c r="O8" i="33"/>
  <c r="O9" i="33" s="1"/>
  <c r="G9" i="33"/>
  <c r="E11" i="33"/>
  <c r="D42" i="33"/>
  <c r="O6" i="33"/>
  <c r="D33" i="33"/>
  <c r="N19" i="33" l="1"/>
  <c r="F14" i="33"/>
  <c r="D45" i="33"/>
  <c r="O15" i="33"/>
  <c r="F27" i="33"/>
  <c r="H5" i="30" l="1"/>
  <c r="L10" i="30" l="1"/>
  <c r="H11" i="30"/>
  <c r="G5" i="30"/>
  <c r="G4" i="30"/>
  <c r="E45" i="30"/>
  <c r="F42" i="30" s="1"/>
  <c r="C45" i="30"/>
  <c r="D39" i="30" s="1"/>
  <c r="E27" i="30"/>
  <c r="F18" i="30" s="1"/>
  <c r="C27" i="30"/>
  <c r="D24" i="30" s="1"/>
  <c r="M22" i="30"/>
  <c r="K21" i="30"/>
  <c r="D21" i="30"/>
  <c r="T18" i="30"/>
  <c r="T19" i="30" s="1"/>
  <c r="T17" i="30"/>
  <c r="L15" i="30"/>
  <c r="L16" i="30" s="1"/>
  <c r="L17" i="30" s="1"/>
  <c r="K15" i="30"/>
  <c r="K16" i="30" s="1"/>
  <c r="K17" i="30" s="1"/>
  <c r="J15" i="30"/>
  <c r="J16" i="30" s="1"/>
  <c r="J17" i="30" s="1"/>
  <c r="B14" i="30"/>
  <c r="E13" i="30"/>
  <c r="D13" i="30"/>
  <c r="D11" i="30"/>
  <c r="H12" i="30" s="1"/>
  <c r="B11" i="30"/>
  <c r="N9" i="30"/>
  <c r="F9" i="30"/>
  <c r="S8" i="30"/>
  <c r="T8" i="30" s="1"/>
  <c r="F8" i="30"/>
  <c r="S7" i="30"/>
  <c r="T7" i="30" s="1"/>
  <c r="F7" i="30"/>
  <c r="S6" i="30"/>
  <c r="T6" i="30" s="1"/>
  <c r="J6" i="30"/>
  <c r="J5" i="30" s="1"/>
  <c r="J10" i="30" s="1"/>
  <c r="F6" i="30"/>
  <c r="L5" i="30"/>
  <c r="H9" i="30"/>
  <c r="E5" i="30"/>
  <c r="E11" i="30" s="1"/>
  <c r="C5" i="30"/>
  <c r="C11" i="30" s="1"/>
  <c r="N4" i="30"/>
  <c r="K4" i="30"/>
  <c r="L12" i="30" s="1"/>
  <c r="F4" i="30"/>
  <c r="D15" i="30" l="1"/>
  <c r="D18" i="30"/>
  <c r="G9" i="30"/>
  <c r="F21" i="30"/>
  <c r="F24" i="30"/>
  <c r="J24" i="30" s="1"/>
  <c r="F36" i="30"/>
  <c r="F15" i="30"/>
  <c r="F33" i="30"/>
  <c r="G11" i="30"/>
  <c r="M4" i="30"/>
  <c r="N10" i="30" s="1"/>
  <c r="F5" i="30"/>
  <c r="J44" i="30" s="1"/>
  <c r="M14" i="30"/>
  <c r="M16" i="30" s="1"/>
  <c r="F39" i="30"/>
  <c r="C10" i="30"/>
  <c r="M8" i="30"/>
  <c r="M9" i="30" s="1"/>
  <c r="E10" i="30"/>
  <c r="J11" i="30"/>
  <c r="D36" i="30"/>
  <c r="D42" i="30"/>
  <c r="M6" i="30"/>
  <c r="D33" i="30"/>
  <c r="D27" i="30" l="1"/>
  <c r="F45" i="30"/>
  <c r="F27" i="30"/>
  <c r="L19" i="30"/>
  <c r="M15" i="30"/>
  <c r="F14" i="30"/>
  <c r="D45" i="30"/>
  <c r="F42" i="13" l="1"/>
  <c r="C5" i="27" l="1"/>
  <c r="F7" i="13" l="1"/>
  <c r="F8" i="13"/>
  <c r="F6" i="13"/>
  <c r="H6" i="13" s="1"/>
  <c r="F4" i="13"/>
  <c r="F5" i="13" l="1"/>
  <c r="F12" i="13" s="1"/>
  <c r="C11" i="27"/>
  <c r="C8" i="27"/>
  <c r="C9" i="27" s="1"/>
  <c r="C12" i="27" s="1"/>
  <c r="F9" i="13" l="1"/>
  <c r="F10" i="13" s="1"/>
  <c r="B8" i="24" l="1"/>
  <c r="B9" i="24" s="1"/>
  <c r="B7" i="24"/>
  <c r="F9" i="22"/>
  <c r="F8" i="23"/>
  <c r="F7" i="23"/>
  <c r="D10" i="23"/>
  <c r="D9" i="23"/>
  <c r="D11" i="23" s="1"/>
  <c r="D14" i="23" s="1"/>
  <c r="B8" i="23"/>
  <c r="B7" i="23"/>
  <c r="A15" i="22" l="1"/>
  <c r="C18" i="10" l="1"/>
  <c r="C17" i="10" s="1"/>
  <c r="C16" i="10" s="1"/>
  <c r="C15" i="10" s="1"/>
  <c r="D19" i="10"/>
  <c r="D18" i="10" s="1"/>
  <c r="D17" i="10" s="1"/>
  <c r="D16" i="10" s="1"/>
  <c r="D15" i="10" s="1"/>
  <c r="D22" i="10"/>
  <c r="D26" i="10" s="1"/>
  <c r="E22" i="10"/>
  <c r="H22" i="10" s="1"/>
  <c r="G23" i="10"/>
  <c r="H23" i="10"/>
  <c r="E24" i="10"/>
  <c r="H24" i="10" s="1"/>
  <c r="F24" i="10"/>
  <c r="G24" i="10"/>
  <c r="G25" i="10"/>
  <c r="H25" i="10"/>
  <c r="E28" i="10"/>
  <c r="E30" i="10" s="1"/>
  <c r="G26" i="10" l="1"/>
  <c r="F25" i="10"/>
  <c r="E29" i="10"/>
  <c r="E26" i="10"/>
  <c r="H26" i="10"/>
  <c r="D43" i="13" l="1"/>
  <c r="E40" i="13" s="1"/>
  <c r="B43" i="13"/>
  <c r="C34" i="13" s="1"/>
  <c r="D25" i="13"/>
  <c r="E22" i="13" s="1"/>
  <c r="F22" i="13" s="1"/>
  <c r="B25" i="13"/>
  <c r="C19" i="13" s="1"/>
  <c r="E13" i="13" l="1"/>
  <c r="E16" i="13"/>
  <c r="C16" i="13"/>
  <c r="E19" i="13"/>
  <c r="C22" i="13"/>
  <c r="C37" i="13"/>
  <c r="C40" i="13"/>
  <c r="C31" i="13"/>
  <c r="E31" i="13"/>
  <c r="E37" i="13"/>
  <c r="E34" i="13"/>
  <c r="C13" i="13"/>
  <c r="C25" i="13" l="1"/>
  <c r="C43" i="13"/>
  <c r="E25" i="13"/>
  <c r="E43" i="13"/>
  <c r="D4" i="13" l="1"/>
  <c r="D31" i="10" l="1"/>
  <c r="D5" i="13" l="1"/>
  <c r="D10" i="13" l="1"/>
  <c r="N16" i="13" l="1"/>
  <c r="N17" i="13" s="1"/>
  <c r="N15" i="13"/>
  <c r="M7" i="13" l="1"/>
  <c r="N7" i="13" s="1"/>
  <c r="M8" i="13"/>
  <c r="N8" i="13" s="1"/>
  <c r="M6" i="13" l="1"/>
  <c r="N6" i="13" s="1"/>
</calcChain>
</file>

<file path=xl/sharedStrings.xml><?xml version="1.0" encoding="utf-8"?>
<sst xmlns="http://schemas.openxmlformats.org/spreadsheetml/2006/main" count="504" uniqueCount="156">
  <si>
    <t>Наименование</t>
  </si>
  <si>
    <t>ИСТОЧНИКИ</t>
  </si>
  <si>
    <t>ВНУТРЕННЕГО ФИНАНСИРОВАНИЯ ДЕФИЦИТА БЮДЖЕТА</t>
  </si>
  <si>
    <t>ЛЕНИНГРАДСКОГО ОБЛАСТНОГО ФОНДА ОБЯЗАТЕЛЬНОГО МЕДИЦИНСКОГО СТРАХОВАНИЯ</t>
  </si>
  <si>
    <t>(тыс.руб.)</t>
  </si>
  <si>
    <t>Коды бюджетной классификации РФ</t>
  </si>
  <si>
    <t xml:space="preserve">Наименование источника средств    </t>
  </si>
  <si>
    <t>Примечание</t>
  </si>
  <si>
    <t>000 01 00 00 00 00 0000 000</t>
  </si>
  <si>
    <t>Источники внутреннего финансирования дефицитов бюджетов</t>
  </si>
  <si>
    <t>000 01 05 00 00 00 0000 000</t>
  </si>
  <si>
    <t>Изменение остатков средств на счетах по учету средств бюджета</t>
  </si>
  <si>
    <t>000 01 05 02 00 00 0000 600</t>
  </si>
  <si>
    <t>Уменьшение прочих остатков средств бюджетов</t>
  </si>
  <si>
    <t>000 01 05 02 01 00 0000 610</t>
  </si>
  <si>
    <t>Уменьшение прочих остатков денежных средств бюджетов</t>
  </si>
  <si>
    <t>395 01 05 02 01 09 0000 610</t>
  </si>
  <si>
    <t>Уменьшение прочих остатков денежных средств бюджетов территориальных фондов обязательного медицинского страхования</t>
  </si>
  <si>
    <t>КБК</t>
  </si>
  <si>
    <t xml:space="preserve"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</t>
  </si>
  <si>
    <t>август</t>
  </si>
  <si>
    <t>сентябрь</t>
  </si>
  <si>
    <t>октябрь</t>
  </si>
  <si>
    <t>ноябрь</t>
  </si>
  <si>
    <t>декабрь</t>
  </si>
  <si>
    <t>От СМО</t>
  </si>
  <si>
    <t>НСЗ мероприятия</t>
  </si>
  <si>
    <t>Расходы</t>
  </si>
  <si>
    <t>от ТФОМС МТР</t>
  </si>
  <si>
    <t xml:space="preserve">от ТФОМС реэкспертиза </t>
  </si>
  <si>
    <t>Формирование</t>
  </si>
  <si>
    <t>Остаток на н.г.</t>
  </si>
  <si>
    <t>Остаток на к.г.</t>
  </si>
  <si>
    <t>субвенция</t>
  </si>
  <si>
    <t>реэкспертиза</t>
  </si>
  <si>
    <t>Проект изменений на 2019</t>
  </si>
  <si>
    <t>от ТФОМС РФ</t>
  </si>
  <si>
    <t>Факт за 2018 год</t>
  </si>
  <si>
    <t>утверждено на 2019</t>
  </si>
  <si>
    <t xml:space="preserve">НА 2019 ГОД </t>
  </si>
  <si>
    <t xml:space="preserve">Утверждено на 2019 год </t>
  </si>
  <si>
    <t>Факт на 01.03.19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</si>
  <si>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</si>
  <si>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</si>
  <si>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</si>
  <si>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</si>
  <si>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</si>
  <si>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</si>
  <si>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</si>
  <si>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343,2 - смета ТФОМС, 90,4 на оплату МП через СМО; 509,1 на РФ в ЛО; 37659,1 на НСЗ мероприятия</t>
  </si>
  <si>
    <t>Фонд+ СМО</t>
  </si>
  <si>
    <t>Сумма остатка</t>
  </si>
  <si>
    <t>средства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</si>
  <si>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 xml:space="preserve">субвенция, предоставляемая из бюджета Федерального фонда обязательного медицинского страхования </t>
  </si>
  <si>
    <t>на смету</t>
  </si>
  <si>
    <t>средства, поступившие в последний рабочий день от медицинских организаций по актам реэкспертизы</t>
  </si>
  <si>
    <t xml:space="preserve"> поступившие в последний рабочий день от территориальных фондов обязательного медицинского страхования</t>
  </si>
  <si>
    <t>на оплату мед. помощи за 2018 год</t>
  </si>
  <si>
    <t>итого (источник внутреннего финансирования дефицита бюджета)</t>
  </si>
  <si>
    <t>Утверждено</t>
  </si>
  <si>
    <t>Увеличение</t>
  </si>
  <si>
    <t>Финансовое обеспечение организации обязательного медицинского страхования на территориях субъектов Российской Федерации (иные расходы)</t>
  </si>
  <si>
    <t>на оплату расходов за медицинскую помощь, оказанную жителям, застрахованным в других регионах Российской Федерации, пролеченным в медицинских организациях Ленинградской области</t>
  </si>
  <si>
    <t>на оплату расходов бюджета Фонда из средств нормированного страхового запаса Фонда 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</t>
  </si>
  <si>
    <t>ИТОГО</t>
  </si>
  <si>
    <t>За счет остатка денежных средств на счетах Фонда на 01.01.2019 года</t>
  </si>
  <si>
    <t>За счет увеличения межбюджетного трансферта из областного бюджета Ленинградвкой области</t>
  </si>
  <si>
    <t>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</t>
  </si>
  <si>
    <t>за счет экономии, уменьшены расходы на ведение дела страховых медицинских организаций. Экономия по данным расходам образуется в связи с выделением средств из нормированного страхового запаса Фонда (ведение дела страховым медицинским организациям за счет средств нормированного страхового запаса Фонда не направляется). Данные средства запланированы в соответствии с письмом Федерального фонда обязательного медицинского страхования от 27.08.2018 № 10714/91/и и направляются на закупку вычислительных мощностей и систем хранения данных ИТ-инфраструктуры, необходимых для обеспечения интеграции информационных систем ТФОМС и ГИС ОМС. Норматив расходов на обеспечение Фондом своих функций с учетом закупки вычислительных мощностей и систем хранения данных ИТ-инфраструктуры, необходимых для обеспечения интеграции информационных систем ТФОМС и ГИС ОМС согласован Федеральным фондом обязательного медицинского страхования письмом от 19.12.2018 №14149/21-2/7434.</t>
  </si>
  <si>
    <t>Финансовое обеспечение организации обязательного медицинского страхования на территориях субъектов Российской Федерации (софинансирование расходов медицинских организаций на оплату труда врачей и среднего медицинского персонала)</t>
  </si>
  <si>
    <t>39501136730150930</t>
  </si>
  <si>
    <t>Отражены средства в размере  для софинансирования расходов медицинских организаций на оплату труда врачей и среднего медицинского персонала в соответствии с пунктом 6 статьи 26 федерального закона №326-ФЗ от 29.11.2010 «Об обязательном медицинском страховании в Российской Федерации».</t>
  </si>
  <si>
    <t>39509095170250930</t>
  </si>
  <si>
    <t>39509095170250931</t>
  </si>
  <si>
    <t>39509095170250939</t>
  </si>
  <si>
    <t>39509095170273030</t>
  </si>
  <si>
    <t>подушевой на 2019 год</t>
  </si>
  <si>
    <t>подушевой на 2020 год</t>
  </si>
  <si>
    <t>% роста подушевого</t>
  </si>
  <si>
    <t>подушевой на 2021</t>
  </si>
  <si>
    <t>Сумма на 2020</t>
  </si>
  <si>
    <t>Сумма на 2021 и на 2022 год</t>
  </si>
  <si>
    <t>Сумма на 2020 (расчет по факту 2018 года)</t>
  </si>
  <si>
    <t>Сумма на 2021 и на 2022 год (расчет по факту 2018 года)</t>
  </si>
  <si>
    <t>Изменения на 2019 год</t>
  </si>
  <si>
    <t>План на 2020</t>
  </si>
  <si>
    <t>РФ в ЛО</t>
  </si>
  <si>
    <t>в проект</t>
  </si>
  <si>
    <t>Факт за 2019 год</t>
  </si>
  <si>
    <t>подушевой на 2021 год</t>
  </si>
  <si>
    <t>Сумма на 2021</t>
  </si>
  <si>
    <t>подушевой на 2022</t>
  </si>
  <si>
    <t>Сумма на 2022 и на 2023 год</t>
  </si>
  <si>
    <t>Сумма на 2021 (расчет по факту 2019 года)</t>
  </si>
  <si>
    <t>Сумма на 2022 и на 2023 год (расчет по факту 2019 года)</t>
  </si>
  <si>
    <t xml:space="preserve">РФ в ЛО </t>
  </si>
  <si>
    <t>Утверждено на 2020</t>
  </si>
  <si>
    <t>Факт на 01.08.20</t>
  </si>
  <si>
    <t>Расчет остатка на к.г.</t>
  </si>
  <si>
    <t>НСЗ для финансового обеспечения мероприятий</t>
  </si>
  <si>
    <t xml:space="preserve">                                                      </t>
  </si>
  <si>
    <t xml:space="preserve">                          </t>
  </si>
  <si>
    <t>План на 2021 год</t>
  </si>
  <si>
    <t>Исполнение, %,</t>
  </si>
  <si>
    <t>Расчет плана на 2021 год</t>
  </si>
  <si>
    <t>Расчет на 12 мес.</t>
  </si>
  <si>
    <t>рост подуш. 1,06</t>
  </si>
  <si>
    <t>1/7 от поступл факту на 01.08.</t>
  </si>
  <si>
    <t>санкции смо</t>
  </si>
  <si>
    <t>фонд к мо</t>
  </si>
  <si>
    <t>Внесение измен. 2020</t>
  </si>
  <si>
    <t>Факт на 01.10.20</t>
  </si>
  <si>
    <t>1/9 от поступл факту на 01.10.</t>
  </si>
  <si>
    <t>рост подуш. 1,03</t>
  </si>
  <si>
    <t>Факт на 09.11.20</t>
  </si>
  <si>
    <t>Факт на 07.12.20</t>
  </si>
  <si>
    <t>Факт за 2020 год</t>
  </si>
  <si>
    <t>План на 2022 год</t>
  </si>
  <si>
    <t>Утверждено на 2021</t>
  </si>
  <si>
    <t>Факт на 01.06.21</t>
  </si>
  <si>
    <t>Исполнение, %</t>
  </si>
  <si>
    <t>Внесение измен. 2021</t>
  </si>
  <si>
    <t>Итого</t>
  </si>
  <si>
    <t xml:space="preserve">финансирование медицинской помощи, оказанной в медицинских организациях Ленинградской области гражданам, застрахованным на территории Ленинградской области </t>
  </si>
  <si>
    <t xml:space="preserve">на финансирование медицинской помощи, оказанной застрахованным в других субъектах Российской Федерации в медицинских учреждениях Ленинградской области </t>
  </si>
  <si>
    <t xml:space="preserve">на финансирование медицинской помощи, оказанной застрахованным в Ленинградской области на территории Российской Федерации             </t>
  </si>
  <si>
    <t xml:space="preserve">на 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квалификации, а также по приобретению и проведению ремонта медицинского оборудования </t>
  </si>
  <si>
    <t>Код бюджетной классификации</t>
  </si>
  <si>
    <t>Период</t>
  </si>
  <si>
    <t>Направление расходования средств</t>
  </si>
  <si>
    <t xml:space="preserve">на ведение дела страховыми медицинскими организациями </t>
  </si>
  <si>
    <t>395 09 09 69 2 01 50939 600 "Предоставление субсидий бюджетным, автономным учреждениям и иным некоммерческим организациям"</t>
  </si>
  <si>
    <t>395 09 09 51 5 02 74500 «Дополнительное финансовое обеспечение по страховым случаям, установленным базовой программой обязательного медицинского страхования»</t>
  </si>
  <si>
    <t>395 09 09 69 2 01 52580 600 «Финансовое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населения»</t>
  </si>
  <si>
    <t>Проект изменений</t>
  </si>
  <si>
    <t>Отклонения</t>
  </si>
  <si>
    <t>утверждено</t>
  </si>
  <si>
    <t>проект изменений</t>
  </si>
  <si>
    <t>примечание</t>
  </si>
  <si>
    <t>395 09 09 69 2 01 50930 300 Финансовое обеспечение организации обязательного медицинского страхования на территориях субъектов Российской Федерации</t>
  </si>
  <si>
    <t>395 09 09 69 2 01 50939 300
 «Финансовое обеспечение организации обязательного медицинского страхования на территориях субъектов Российской Федерации (иные расходы)»</t>
  </si>
  <si>
    <t>395 09 09 69 2 01 52570 600 «Cофинансирование расходов медицинских организаций на оплату труда врачей и среднего медицинского персонала»</t>
  </si>
  <si>
    <t>софинансирование расходов медицинских организаций на оплату труда врачей и среднего медицинского персонала</t>
  </si>
  <si>
    <t>осуществление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</t>
  </si>
  <si>
    <t>отклонение</t>
  </si>
  <si>
    <t>395 09 09 9 2 01 50930 500 «Межбюджетные трансферты»</t>
  </si>
  <si>
    <t>Приложение №1</t>
  </si>
  <si>
    <t>оплата мед.помощи за 2024 год за счет остатка на 01.01.2025 и возврата от СМО</t>
  </si>
  <si>
    <t>увеличение за счет остатка средств на 01.01.2025</t>
  </si>
  <si>
    <t>в целях приведения в соответствие с Постановлением Правительства Ленинградской области от 28.12.2024 №1022 (в редакции от 28.03.2025 №286)</t>
  </si>
  <si>
    <t>Распоряжение Правительства РФ от 07.12.2024 №3609-р и 65,8 тыс. рублей остатки средств на 01.01.2025 года.</t>
  </si>
  <si>
    <t>395 09 09 51 5 02 73030 300 «Увеличение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политики"»</t>
  </si>
  <si>
    <t>увеличение за счет остатка средств субвенции за 2024 год на 01.01.2025</t>
  </si>
  <si>
    <t>увеличение за счет остатка средств субвенции за 2024 год на 01.01.2025 и в целях приведения в соответствие с Постановлением Правительства Ленинградской области от 28.12.2024 №1022 (в редакции от 28.03.2025 №286)</t>
  </si>
  <si>
    <t>тыс. рублей</t>
  </si>
  <si>
    <t>Распоряжение Правительства РФ от 05.12.2024 №3581-р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</si>
</sst>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\ _₽_-;\-* #,##0.00\ _₽_-;_-* &quot;-&quot;??\ _₽_-;_-@_-"/>
    <numFmt numFmtId="164" formatCode="#,##0.000"/>
    <numFmt numFmtId="165" formatCode="#,##0.0"/>
    <numFmt numFmtId="166" formatCode="0.0"/>
    <numFmt numFmtId="167" formatCode="#,##0.0000"/>
    <numFmt numFmtId="168" formatCode="0.00000"/>
    <numFmt numFmtId="169" formatCode="#,##0.00000"/>
    <numFmt numFmtId="170" formatCode="_-* #,##0.000\ _₽_-;\-* #,##0.000\ _₽_-;_-* &quot;-&quot;???\ _₽_-;_-@_-"/>
    <numFmt numFmtId="171" formatCode="_-* #,##0.00000\ _₽_-;\-* #,##0.00000\ _₽_-;_-* &quot;-&quot;?????\ _₽_-;_-@_-"/>
  </numFmts>
  <fonts count="19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b/>
      <sz val="12"/>
      <name val="Arial"/>
      <family val="2"/>
      <charset val="204"/>
    </font>
    <font>
      <b/>
      <sz val="10"/>
      <name val="Arial"/>
      <family val="2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name val="Arial"/>
      <family val="2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 Cy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3" fontId="13" fillId="0" borderId="0" applyFon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3" fillId="0" borderId="0"/>
    <xf numFmtId="49" fontId="18" fillId="0" borderId="59">
      <alignment horizontal="center"/>
    </xf>
    <xf numFmtId="0" fontId="18" fillId="0" borderId="60">
      <alignment horizontal="left" wrapText="1" indent="2"/>
    </xf>
    <xf numFmtId="0" fontId="18" fillId="0" borderId="61">
      <alignment horizontal="left" wrapText="1"/>
    </xf>
  </cellStyleXfs>
  <cellXfs count="30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3" fontId="1" fillId="0" borderId="0" xfId="0" applyNumberFormat="1" applyFont="1"/>
    <xf numFmtId="3" fontId="4" fillId="0" borderId="0" xfId="0" applyNumberFormat="1" applyFont="1"/>
    <xf numFmtId="164" fontId="2" fillId="0" borderId="0" xfId="0" applyNumberFormat="1" applyFont="1"/>
    <xf numFmtId="164" fontId="5" fillId="0" borderId="0" xfId="0" applyNumberFormat="1" applyFont="1"/>
    <xf numFmtId="3" fontId="5" fillId="0" borderId="0" xfId="0" applyNumberFormat="1" applyFont="1"/>
    <xf numFmtId="3" fontId="1" fillId="0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166" fontId="3" fillId="0" borderId="1" xfId="0" applyNumberFormat="1" applyFont="1" applyBorder="1" applyAlignment="1">
      <alignment horizontal="center" vertical="center"/>
    </xf>
    <xf numFmtId="166" fontId="0" fillId="0" borderId="0" xfId="0" applyNumberFormat="1"/>
    <xf numFmtId="0" fontId="7" fillId="0" borderId="0" xfId="0" applyFont="1"/>
    <xf numFmtId="0" fontId="8" fillId="0" borderId="0" xfId="0" applyFont="1" applyAlignment="1">
      <alignment wrapText="1"/>
    </xf>
    <xf numFmtId="0" fontId="8" fillId="0" borderId="0" xfId="0" applyFont="1"/>
    <xf numFmtId="4" fontId="8" fillId="0" borderId="0" xfId="0" applyNumberFormat="1" applyFont="1"/>
    <xf numFmtId="4" fontId="0" fillId="0" borderId="0" xfId="0" applyNumberFormat="1"/>
    <xf numFmtId="0" fontId="2" fillId="0" borderId="1" xfId="0" applyFont="1" applyBorder="1" applyAlignment="1">
      <alignment vertical="center" wrapText="1"/>
    </xf>
    <xf numFmtId="0" fontId="8" fillId="0" borderId="18" xfId="0" applyFont="1" applyBorder="1" applyAlignment="1">
      <alignment wrapText="1"/>
    </xf>
    <xf numFmtId="0" fontId="8" fillId="0" borderId="16" xfId="0" applyFont="1" applyBorder="1" applyAlignment="1">
      <alignment wrapText="1"/>
    </xf>
    <xf numFmtId="0" fontId="9" fillId="0" borderId="27" xfId="0" applyFont="1" applyBorder="1" applyAlignment="1">
      <alignment wrapText="1"/>
    </xf>
    <xf numFmtId="0" fontId="9" fillId="0" borderId="17" xfId="0" applyFont="1" applyBorder="1" applyAlignment="1">
      <alignment wrapText="1"/>
    </xf>
    <xf numFmtId="0" fontId="9" fillId="0" borderId="18" xfId="0" applyFont="1" applyBorder="1" applyAlignment="1">
      <alignment wrapText="1"/>
    </xf>
    <xf numFmtId="0" fontId="8" fillId="0" borderId="21" xfId="0" applyFont="1" applyBorder="1" applyAlignment="1">
      <alignment wrapText="1"/>
    </xf>
    <xf numFmtId="0" fontId="9" fillId="0" borderId="24" xfId="0" applyFont="1" applyBorder="1" applyAlignment="1">
      <alignment wrapText="1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4" fontId="9" fillId="0" borderId="7" xfId="0" applyNumberFormat="1" applyFont="1" applyBorder="1"/>
    <xf numFmtId="4" fontId="9" fillId="0" borderId="19" xfId="0" applyNumberFormat="1" applyFont="1" applyBorder="1"/>
    <xf numFmtId="4" fontId="9" fillId="0" borderId="5" xfId="0" applyNumberFormat="1" applyFont="1" applyBorder="1"/>
    <xf numFmtId="4" fontId="9" fillId="0" borderId="25" xfId="0" applyNumberFormat="1" applyFont="1" applyBorder="1"/>
    <xf numFmtId="4" fontId="9" fillId="0" borderId="26" xfId="0" applyNumberFormat="1" applyFont="1" applyBorder="1"/>
    <xf numFmtId="0" fontId="8" fillId="0" borderId="29" xfId="0" applyFont="1" applyBorder="1" applyAlignment="1">
      <alignment wrapText="1"/>
    </xf>
    <xf numFmtId="4" fontId="10" fillId="0" borderId="1" xfId="0" applyNumberFormat="1" applyFont="1" applyBorder="1"/>
    <xf numFmtId="4" fontId="10" fillId="0" borderId="2" xfId="0" applyNumberFormat="1" applyFont="1" applyBorder="1"/>
    <xf numFmtId="4" fontId="10" fillId="0" borderId="22" xfId="0" applyNumberFormat="1" applyFont="1" applyBorder="1"/>
    <xf numFmtId="4" fontId="10" fillId="0" borderId="23" xfId="0" applyNumberFormat="1" applyFont="1" applyBorder="1"/>
    <xf numFmtId="165" fontId="2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165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 wrapText="1"/>
    </xf>
    <xf numFmtId="167" fontId="9" fillId="0" borderId="6" xfId="0" applyNumberFormat="1" applyFont="1" applyBorder="1"/>
    <xf numFmtId="164" fontId="9" fillId="0" borderId="8" xfId="0" applyNumberFormat="1" applyFont="1" applyBorder="1"/>
    <xf numFmtId="164" fontId="9" fillId="0" borderId="20" xfId="0" applyNumberFormat="1" applyFont="1" applyBorder="1"/>
    <xf numFmtId="0" fontId="8" fillId="0" borderId="0" xfId="0" applyFont="1" applyBorder="1" applyAlignment="1">
      <alignment horizontal="center"/>
    </xf>
    <xf numFmtId="164" fontId="9" fillId="0" borderId="0" xfId="0" applyNumberFormat="1" applyFont="1" applyBorder="1"/>
    <xf numFmtId="4" fontId="10" fillId="0" borderId="0" xfId="0" applyNumberFormat="1" applyFont="1" applyBorder="1"/>
    <xf numFmtId="167" fontId="9" fillId="0" borderId="0" xfId="0" applyNumberFormat="1" applyFont="1" applyBorder="1"/>
    <xf numFmtId="4" fontId="9" fillId="0" borderId="0" xfId="0" applyNumberFormat="1" applyFont="1" applyBorder="1"/>
    <xf numFmtId="4" fontId="7" fillId="0" borderId="0" xfId="0" applyNumberFormat="1" applyFont="1"/>
    <xf numFmtId="4" fontId="8" fillId="0" borderId="0" xfId="0" applyNumberFormat="1" applyFont="1" applyAlignment="1">
      <alignment wrapText="1"/>
    </xf>
    <xf numFmtId="2" fontId="8" fillId="0" borderId="0" xfId="0" applyNumberFormat="1" applyFont="1"/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/>
    <xf numFmtId="0" fontId="2" fillId="0" borderId="0" xfId="0" applyFont="1" applyBorder="1" applyAlignment="1">
      <alignment vertical="top"/>
    </xf>
    <xf numFmtId="3" fontId="1" fillId="0" borderId="0" xfId="0" applyNumberFormat="1" applyFont="1" applyBorder="1"/>
    <xf numFmtId="3" fontId="4" fillId="0" borderId="0" xfId="0" applyNumberFormat="1" applyFont="1" applyBorder="1"/>
    <xf numFmtId="164" fontId="5" fillId="0" borderId="0" xfId="0" applyNumberFormat="1" applyFont="1" applyBorder="1"/>
    <xf numFmtId="3" fontId="5" fillId="0" borderId="0" xfId="0" applyNumberFormat="1" applyFont="1" applyBorder="1"/>
    <xf numFmtId="164" fontId="2" fillId="0" borderId="0" xfId="0" applyNumberFormat="1" applyFont="1" applyBorder="1"/>
    <xf numFmtId="3" fontId="1" fillId="0" borderId="0" xfId="0" applyNumberFormat="1" applyFont="1" applyFill="1" applyBorder="1" applyAlignment="1">
      <alignment horizontal="center"/>
    </xf>
    <xf numFmtId="164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vertical="top" wrapText="1"/>
    </xf>
    <xf numFmtId="165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/>
    <xf numFmtId="0" fontId="2" fillId="0" borderId="0" xfId="0" applyFont="1" applyBorder="1" applyAlignment="1">
      <alignment wrapText="1"/>
    </xf>
    <xf numFmtId="0" fontId="11" fillId="0" borderId="0" xfId="0" applyFont="1" applyBorder="1" applyAlignment="1">
      <alignment wrapText="1"/>
    </xf>
    <xf numFmtId="4" fontId="0" fillId="0" borderId="0" xfId="0" applyNumberFormat="1" applyFont="1" applyBorder="1"/>
    <xf numFmtId="166" fontId="0" fillId="0" borderId="0" xfId="0" applyNumberFormat="1" applyFont="1" applyBorder="1"/>
    <xf numFmtId="4" fontId="12" fillId="0" borderId="0" xfId="0" applyNumberFormat="1" applyFont="1" applyBorder="1"/>
    <xf numFmtId="0" fontId="12" fillId="0" borderId="0" xfId="0" applyFont="1" applyBorder="1"/>
    <xf numFmtId="164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top"/>
    </xf>
    <xf numFmtId="4" fontId="2" fillId="0" borderId="1" xfId="0" applyNumberFormat="1" applyFont="1" applyBorder="1" applyAlignment="1">
      <alignment horizontal="center" vertical="top" wrapText="1"/>
    </xf>
    <xf numFmtId="1" fontId="8" fillId="0" borderId="0" xfId="0" applyNumberFormat="1" applyFont="1" applyAlignment="1">
      <alignment wrapText="1"/>
    </xf>
    <xf numFmtId="0" fontId="8" fillId="0" borderId="0" xfId="0" applyFont="1" applyAlignment="1">
      <alignment vertical="top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4" fontId="8" fillId="0" borderId="1" xfId="0" applyNumberFormat="1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" fontId="8" fillId="0" borderId="1" xfId="0" applyNumberFormat="1" applyFont="1" applyBorder="1" applyAlignment="1">
      <alignment wrapText="1"/>
    </xf>
    <xf numFmtId="0" fontId="8" fillId="0" borderId="1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wrapText="1"/>
    </xf>
    <xf numFmtId="1" fontId="9" fillId="0" borderId="0" xfId="0" applyNumberFormat="1" applyFont="1" applyFill="1" applyBorder="1" applyAlignment="1">
      <alignment wrapText="1"/>
    </xf>
    <xf numFmtId="4" fontId="9" fillId="0" borderId="0" xfId="0" applyNumberFormat="1" applyFont="1" applyFill="1" applyBorder="1" applyAlignment="1">
      <alignment wrapText="1"/>
    </xf>
    <xf numFmtId="0" fontId="9" fillId="0" borderId="0" xfId="0" applyFont="1" applyFill="1" applyBorder="1" applyAlignment="1">
      <alignment vertical="top" wrapText="1"/>
    </xf>
    <xf numFmtId="0" fontId="8" fillId="0" borderId="0" xfId="0" applyFont="1" applyFill="1" applyBorder="1" applyAlignment="1">
      <alignment horizontal="center" vertical="top" wrapText="1"/>
    </xf>
    <xf numFmtId="4" fontId="8" fillId="0" borderId="0" xfId="0" applyNumberFormat="1" applyFont="1" applyFill="1" applyBorder="1" applyAlignment="1">
      <alignment wrapText="1"/>
    </xf>
    <xf numFmtId="1" fontId="9" fillId="0" borderId="0" xfId="0" applyNumberFormat="1" applyFont="1" applyFill="1" applyBorder="1" applyAlignment="1">
      <alignment vertical="top" wrapText="1"/>
    </xf>
    <xf numFmtId="0" fontId="8" fillId="0" borderId="0" xfId="0" applyNumberFormat="1" applyFont="1" applyFill="1" applyBorder="1" applyAlignment="1">
      <alignment wrapText="1"/>
    </xf>
    <xf numFmtId="0" fontId="9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>
      <alignment horizontal="right" vertical="top" wrapText="1"/>
    </xf>
    <xf numFmtId="1" fontId="8" fillId="0" borderId="1" xfId="0" quotePrefix="1" applyNumberFormat="1" applyFont="1" applyBorder="1" applyAlignment="1">
      <alignment horizontal="right" vertical="top" wrapText="1"/>
    </xf>
    <xf numFmtId="1" fontId="8" fillId="0" borderId="18" xfId="0" quotePrefix="1" applyNumberFormat="1" applyFont="1" applyBorder="1" applyAlignment="1">
      <alignment horizontal="right" vertical="top" wrapText="1"/>
    </xf>
    <xf numFmtId="0" fontId="8" fillId="0" borderId="19" xfId="0" applyFont="1" applyBorder="1" applyAlignment="1">
      <alignment horizontal="center" vertical="top" wrapText="1"/>
    </xf>
    <xf numFmtId="4" fontId="8" fillId="0" borderId="19" xfId="0" applyNumberFormat="1" applyFont="1" applyBorder="1" applyAlignment="1">
      <alignment vertical="top" wrapText="1"/>
    </xf>
    <xf numFmtId="4" fontId="8" fillId="0" borderId="19" xfId="0" applyNumberFormat="1" applyFont="1" applyFill="1" applyBorder="1" applyAlignment="1">
      <alignment vertical="top" wrapText="1"/>
    </xf>
    <xf numFmtId="1" fontId="8" fillId="0" borderId="21" xfId="0" quotePrefix="1" applyNumberFormat="1" applyFont="1" applyBorder="1" applyAlignment="1">
      <alignment horizontal="right" vertical="top" wrapText="1"/>
    </xf>
    <xf numFmtId="0" fontId="8" fillId="0" borderId="22" xfId="0" applyFont="1" applyBorder="1" applyAlignment="1">
      <alignment horizontal="center" vertical="top" wrapText="1"/>
    </xf>
    <xf numFmtId="4" fontId="8" fillId="0" borderId="22" xfId="0" applyNumberFormat="1" applyFont="1" applyBorder="1" applyAlignment="1">
      <alignment vertical="top" wrapText="1"/>
    </xf>
    <xf numFmtId="4" fontId="8" fillId="0" borderId="22" xfId="0" applyNumberFormat="1" applyFont="1" applyFill="1" applyBorder="1" applyAlignment="1">
      <alignment vertical="top" wrapText="1"/>
    </xf>
    <xf numFmtId="0" fontId="8" fillId="0" borderId="22" xfId="0" applyFont="1" applyFill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39" xfId="0" applyFont="1" applyBorder="1" applyAlignment="1">
      <alignment horizontal="justify" vertical="top" wrapText="1"/>
    </xf>
    <xf numFmtId="0" fontId="8" fillId="0" borderId="40" xfId="0" applyFont="1" applyBorder="1" applyAlignment="1">
      <alignment horizontal="justify" vertical="top" wrapText="1"/>
    </xf>
    <xf numFmtId="165" fontId="8" fillId="0" borderId="39" xfId="0" applyNumberFormat="1" applyFont="1" applyBorder="1" applyAlignment="1">
      <alignment horizontal="center" vertical="top" wrapText="1"/>
    </xf>
    <xf numFmtId="165" fontId="8" fillId="0" borderId="40" xfId="0" applyNumberFormat="1" applyFont="1" applyBorder="1" applyAlignment="1">
      <alignment horizontal="center" vertical="top" wrapText="1"/>
    </xf>
    <xf numFmtId="169" fontId="8" fillId="0" borderId="40" xfId="0" applyNumberFormat="1" applyFont="1" applyBorder="1" applyAlignment="1">
      <alignment horizontal="center" vertical="top" wrapText="1"/>
    </xf>
    <xf numFmtId="165" fontId="8" fillId="2" borderId="40" xfId="0" applyNumberFormat="1" applyFont="1" applyFill="1" applyBorder="1" applyAlignment="1">
      <alignment horizontal="center" vertical="top" wrapText="1"/>
    </xf>
    <xf numFmtId="0" fontId="8" fillId="2" borderId="40" xfId="0" applyFont="1" applyFill="1" applyBorder="1" applyAlignment="1">
      <alignment horizontal="justify" vertical="top" wrapText="1"/>
    </xf>
    <xf numFmtId="0" fontId="8" fillId="0" borderId="28" xfId="0" applyFont="1" applyBorder="1" applyAlignment="1">
      <alignment horizontal="justify" vertical="top" wrapText="1"/>
    </xf>
    <xf numFmtId="0" fontId="8" fillId="0" borderId="41" xfId="0" applyFont="1" applyBorder="1" applyAlignment="1">
      <alignment horizontal="justify" vertical="top" wrapText="1"/>
    </xf>
    <xf numFmtId="0" fontId="8" fillId="2" borderId="11" xfId="0" applyFont="1" applyFill="1" applyBorder="1" applyAlignment="1">
      <alignment horizontal="justify" vertical="top" wrapText="1"/>
    </xf>
    <xf numFmtId="0" fontId="8" fillId="2" borderId="28" xfId="0" applyFont="1" applyFill="1" applyBorder="1" applyAlignment="1">
      <alignment horizontal="justify" vertical="top" wrapText="1"/>
    </xf>
    <xf numFmtId="4" fontId="8" fillId="2" borderId="40" xfId="0" applyNumberFormat="1" applyFont="1" applyFill="1" applyBorder="1" applyAlignment="1">
      <alignment horizontal="center" vertical="top" wrapText="1"/>
    </xf>
    <xf numFmtId="0" fontId="8" fillId="0" borderId="0" xfId="2" applyFont="1" applyAlignment="1">
      <alignment wrapText="1"/>
    </xf>
    <xf numFmtId="0" fontId="8" fillId="0" borderId="0" xfId="2" applyFont="1"/>
    <xf numFmtId="0" fontId="8" fillId="0" borderId="32" xfId="2" applyFont="1" applyBorder="1" applyAlignment="1">
      <alignment wrapText="1"/>
    </xf>
    <xf numFmtId="0" fontId="9" fillId="0" borderId="0" xfId="2" applyFont="1"/>
    <xf numFmtId="0" fontId="8" fillId="0" borderId="0" xfId="2" applyFont="1" applyBorder="1" applyAlignment="1">
      <alignment horizontal="center"/>
    </xf>
    <xf numFmtId="4" fontId="9" fillId="0" borderId="43" xfId="2" applyNumberFormat="1" applyFont="1" applyBorder="1"/>
    <xf numFmtId="164" fontId="9" fillId="0" borderId="44" xfId="2" applyNumberFormat="1" applyFont="1" applyBorder="1"/>
    <xf numFmtId="43" fontId="8" fillId="0" borderId="0" xfId="1" applyFont="1"/>
    <xf numFmtId="164" fontId="9" fillId="0" borderId="0" xfId="2" applyNumberFormat="1" applyFont="1" applyBorder="1"/>
    <xf numFmtId="0" fontId="9" fillId="0" borderId="18" xfId="2" applyFont="1" applyBorder="1" applyAlignment="1">
      <alignment wrapText="1"/>
    </xf>
    <xf numFmtId="4" fontId="9" fillId="0" borderId="19" xfId="2" applyNumberFormat="1" applyFont="1" applyBorder="1"/>
    <xf numFmtId="164" fontId="9" fillId="0" borderId="20" xfId="2" applyNumberFormat="1" applyFont="1" applyBorder="1"/>
    <xf numFmtId="0" fontId="8" fillId="0" borderId="16" xfId="2" applyFont="1" applyBorder="1" applyAlignment="1">
      <alignment wrapText="1"/>
    </xf>
    <xf numFmtId="4" fontId="10" fillId="0" borderId="1" xfId="2" applyNumberFormat="1" applyFont="1" applyBorder="1"/>
    <xf numFmtId="4" fontId="10" fillId="0" borderId="2" xfId="2" applyNumberFormat="1" applyFont="1" applyBorder="1"/>
    <xf numFmtId="4" fontId="10" fillId="0" borderId="0" xfId="2" applyNumberFormat="1" applyFont="1" applyBorder="1"/>
    <xf numFmtId="4" fontId="8" fillId="0" borderId="0" xfId="2" applyNumberFormat="1" applyFont="1"/>
    <xf numFmtId="0" fontId="8" fillId="0" borderId="21" xfId="2" applyFont="1" applyBorder="1" applyAlignment="1">
      <alignment wrapText="1"/>
    </xf>
    <xf numFmtId="4" fontId="10" fillId="0" borderId="22" xfId="2" applyNumberFormat="1" applyFont="1" applyBorder="1"/>
    <xf numFmtId="4" fontId="10" fillId="0" borderId="23" xfId="2" applyNumberFormat="1" applyFont="1" applyBorder="1"/>
    <xf numFmtId="0" fontId="9" fillId="0" borderId="17" xfId="2" applyFont="1" applyBorder="1" applyAlignment="1">
      <alignment wrapText="1"/>
    </xf>
    <xf numFmtId="4" fontId="9" fillId="0" borderId="5" xfId="2" applyNumberFormat="1" applyFont="1" applyBorder="1"/>
    <xf numFmtId="4" fontId="9" fillId="0" borderId="6" xfId="2" applyNumberFormat="1" applyFont="1" applyBorder="1"/>
    <xf numFmtId="167" fontId="9" fillId="0" borderId="0" xfId="2" applyNumberFormat="1" applyFont="1" applyBorder="1"/>
    <xf numFmtId="0" fontId="9" fillId="0" borderId="45" xfId="2" applyFont="1" applyBorder="1" applyAlignment="1">
      <alignment wrapText="1"/>
    </xf>
    <xf numFmtId="4" fontId="9" fillId="0" borderId="0" xfId="2" applyNumberFormat="1" applyFont="1" applyBorder="1"/>
    <xf numFmtId="0" fontId="9" fillId="0" borderId="1" xfId="2" applyFont="1" applyBorder="1" applyAlignment="1">
      <alignment horizontal="center" wrapText="1"/>
    </xf>
    <xf numFmtId="4" fontId="8" fillId="0" borderId="1" xfId="2" applyNumberFormat="1" applyFont="1" applyBorder="1" applyAlignment="1">
      <alignment horizontal="center" vertical="center" wrapText="1"/>
    </xf>
    <xf numFmtId="2" fontId="8" fillId="0" borderId="0" xfId="2" applyNumberFormat="1" applyFont="1"/>
    <xf numFmtId="170" fontId="8" fillId="0" borderId="0" xfId="2" applyNumberFormat="1" applyFont="1"/>
    <xf numFmtId="43" fontId="8" fillId="0" borderId="0" xfId="2" applyNumberFormat="1" applyFont="1"/>
    <xf numFmtId="4" fontId="8" fillId="0" borderId="0" xfId="2" applyNumberFormat="1" applyFont="1" applyAlignment="1">
      <alignment wrapText="1"/>
    </xf>
    <xf numFmtId="0" fontId="9" fillId="0" borderId="46" xfId="2" applyFont="1" applyBorder="1" applyAlignment="1">
      <alignment wrapText="1"/>
    </xf>
    <xf numFmtId="0" fontId="8" fillId="0" borderId="12" xfId="2" applyFont="1" applyBorder="1" applyAlignment="1">
      <alignment horizontal="center" vertical="center" wrapText="1"/>
    </xf>
    <xf numFmtId="4" fontId="9" fillId="0" borderId="38" xfId="2" applyNumberFormat="1" applyFont="1" applyBorder="1"/>
    <xf numFmtId="0" fontId="8" fillId="0" borderId="13" xfId="0" applyFont="1" applyBorder="1" applyAlignment="1">
      <alignment wrapText="1"/>
    </xf>
    <xf numFmtId="4" fontId="9" fillId="0" borderId="34" xfId="0" applyNumberFormat="1" applyFont="1" applyBorder="1"/>
    <xf numFmtId="4" fontId="10" fillId="3" borderId="2" xfId="2" applyNumberFormat="1" applyFont="1" applyFill="1" applyBorder="1"/>
    <xf numFmtId="9" fontId="9" fillId="0" borderId="20" xfId="3" applyFont="1" applyBorder="1"/>
    <xf numFmtId="0" fontId="8" fillId="4" borderId="47" xfId="2" applyFont="1" applyFill="1" applyBorder="1"/>
    <xf numFmtId="4" fontId="8" fillId="4" borderId="19" xfId="2" applyNumberFormat="1" applyFont="1" applyFill="1" applyBorder="1" applyAlignment="1"/>
    <xf numFmtId="4" fontId="8" fillId="4" borderId="20" xfId="2" applyNumberFormat="1" applyFont="1" applyFill="1" applyBorder="1" applyAlignment="1"/>
    <xf numFmtId="0" fontId="8" fillId="4" borderId="16" xfId="2" applyFont="1" applyFill="1" applyBorder="1"/>
    <xf numFmtId="0" fontId="8" fillId="4" borderId="16" xfId="2" applyFont="1" applyFill="1" applyBorder="1" applyAlignment="1">
      <alignment horizontal="center" wrapText="1"/>
    </xf>
    <xf numFmtId="0" fontId="8" fillId="4" borderId="34" xfId="2" applyFont="1" applyFill="1" applyBorder="1" applyAlignment="1">
      <alignment horizontal="center" wrapText="1"/>
    </xf>
    <xf numFmtId="0" fontId="8" fillId="4" borderId="16" xfId="2" applyFont="1" applyFill="1" applyBorder="1" applyAlignment="1">
      <alignment wrapText="1"/>
    </xf>
    <xf numFmtId="0" fontId="8" fillId="4" borderId="21" xfId="2" applyFont="1" applyFill="1" applyBorder="1"/>
    <xf numFmtId="43" fontId="10" fillId="4" borderId="1" xfId="1" applyFont="1" applyFill="1" applyBorder="1"/>
    <xf numFmtId="43" fontId="10" fillId="4" borderId="2" xfId="1" applyFont="1" applyFill="1" applyBorder="1"/>
    <xf numFmtId="43" fontId="10" fillId="4" borderId="22" xfId="1" applyFont="1" applyFill="1" applyBorder="1"/>
    <xf numFmtId="43" fontId="10" fillId="4" borderId="23" xfId="1" applyFont="1" applyFill="1" applyBorder="1"/>
    <xf numFmtId="164" fontId="9" fillId="2" borderId="44" xfId="2" applyNumberFormat="1" applyFont="1" applyFill="1" applyBorder="1"/>
    <xf numFmtId="164" fontId="9" fillId="2" borderId="20" xfId="2" applyNumberFormat="1" applyFont="1" applyFill="1" applyBorder="1"/>
    <xf numFmtId="4" fontId="10" fillId="2" borderId="2" xfId="2" applyNumberFormat="1" applyFont="1" applyFill="1" applyBorder="1"/>
    <xf numFmtId="4" fontId="10" fillId="2" borderId="8" xfId="2" applyNumberFormat="1" applyFont="1" applyFill="1" applyBorder="1"/>
    <xf numFmtId="4" fontId="9" fillId="2" borderId="6" xfId="2" applyNumberFormat="1" applyFont="1" applyFill="1" applyBorder="1"/>
    <xf numFmtId="4" fontId="9" fillId="2" borderId="44" xfId="2" applyNumberFormat="1" applyFont="1" applyFill="1" applyBorder="1"/>
    <xf numFmtId="4" fontId="8" fillId="2" borderId="1" xfId="2" applyNumberFormat="1" applyFont="1" applyFill="1" applyBorder="1" applyAlignment="1">
      <alignment horizontal="center" vertical="center" wrapText="1"/>
    </xf>
    <xf numFmtId="164" fontId="8" fillId="0" borderId="0" xfId="0" applyNumberFormat="1" applyFont="1"/>
    <xf numFmtId="4" fontId="10" fillId="0" borderId="42" xfId="2" applyNumberFormat="1" applyFont="1" applyBorder="1"/>
    <xf numFmtId="4" fontId="10" fillId="0" borderId="48" xfId="2" applyNumberFormat="1" applyFont="1" applyBorder="1"/>
    <xf numFmtId="0" fontId="8" fillId="0" borderId="39" xfId="2" applyFont="1" applyBorder="1" applyAlignment="1">
      <alignment horizontal="center" wrapText="1"/>
    </xf>
    <xf numFmtId="0" fontId="8" fillId="0" borderId="11" xfId="2" applyFont="1" applyBorder="1" applyAlignment="1">
      <alignment horizontal="center" vertical="center"/>
    </xf>
    <xf numFmtId="0" fontId="8" fillId="0" borderId="39" xfId="2" applyFont="1" applyBorder="1" applyAlignment="1">
      <alignment horizontal="center" vertical="center"/>
    </xf>
    <xf numFmtId="0" fontId="8" fillId="0" borderId="6" xfId="2" applyFont="1" applyBorder="1" applyAlignment="1">
      <alignment horizontal="center" vertical="center"/>
    </xf>
    <xf numFmtId="43" fontId="9" fillId="0" borderId="44" xfId="1" applyFont="1" applyBorder="1"/>
    <xf numFmtId="43" fontId="9" fillId="0" borderId="20" xfId="1" applyFont="1" applyBorder="1"/>
    <xf numFmtId="43" fontId="9" fillId="0" borderId="4" xfId="1" applyFont="1" applyBorder="1"/>
    <xf numFmtId="0" fontId="10" fillId="0" borderId="39" xfId="2" applyFont="1" applyBorder="1" applyAlignment="1">
      <alignment horizontal="center"/>
    </xf>
    <xf numFmtId="4" fontId="10" fillId="0" borderId="1" xfId="2" applyNumberFormat="1" applyFont="1" applyBorder="1" applyAlignment="1">
      <alignment horizontal="center" vertical="center" wrapText="1"/>
    </xf>
    <xf numFmtId="164" fontId="10" fillId="0" borderId="44" xfId="2" applyNumberFormat="1" applyFont="1" applyBorder="1"/>
    <xf numFmtId="164" fontId="10" fillId="0" borderId="20" xfId="2" applyNumberFormat="1" applyFont="1" applyBorder="1"/>
    <xf numFmtId="4" fontId="10" fillId="0" borderId="6" xfId="2" applyNumberFormat="1" applyFont="1" applyBorder="1"/>
    <xf numFmtId="4" fontId="10" fillId="0" borderId="43" xfId="2" applyNumberFormat="1" applyFont="1" applyBorder="1"/>
    <xf numFmtId="0" fontId="8" fillId="2" borderId="39" xfId="2" applyFont="1" applyFill="1" applyBorder="1" applyAlignment="1">
      <alignment horizontal="center" vertical="center"/>
    </xf>
    <xf numFmtId="0" fontId="8" fillId="4" borderId="49" xfId="2" applyFont="1" applyFill="1" applyBorder="1"/>
    <xf numFmtId="0" fontId="8" fillId="4" borderId="35" xfId="2" applyFont="1" applyFill="1" applyBorder="1" applyAlignment="1">
      <alignment wrapText="1"/>
    </xf>
    <xf numFmtId="0" fontId="8" fillId="4" borderId="35" xfId="2" applyFont="1" applyFill="1" applyBorder="1"/>
    <xf numFmtId="0" fontId="8" fillId="4" borderId="50" xfId="2" applyFont="1" applyFill="1" applyBorder="1"/>
    <xf numFmtId="0" fontId="8" fillId="5" borderId="39" xfId="2" applyFont="1" applyFill="1" applyBorder="1" applyAlignment="1">
      <alignment horizontal="center" vertical="center"/>
    </xf>
    <xf numFmtId="164" fontId="9" fillId="5" borderId="44" xfId="2" applyNumberFormat="1" applyFont="1" applyFill="1" applyBorder="1"/>
    <xf numFmtId="164" fontId="9" fillId="5" borderId="20" xfId="2" applyNumberFormat="1" applyFont="1" applyFill="1" applyBorder="1"/>
    <xf numFmtId="4" fontId="10" fillId="5" borderId="2" xfId="2" applyNumberFormat="1" applyFont="1" applyFill="1" applyBorder="1"/>
    <xf numFmtId="4" fontId="10" fillId="5" borderId="42" xfId="2" applyNumberFormat="1" applyFont="1" applyFill="1" applyBorder="1"/>
    <xf numFmtId="4" fontId="10" fillId="5" borderId="36" xfId="2" applyNumberFormat="1" applyFont="1" applyFill="1" applyBorder="1"/>
    <xf numFmtId="4" fontId="9" fillId="5" borderId="6" xfId="2" applyNumberFormat="1" applyFont="1" applyFill="1" applyBorder="1"/>
    <xf numFmtId="4" fontId="9" fillId="5" borderId="37" xfId="2" applyNumberFormat="1" applyFont="1" applyFill="1" applyBorder="1"/>
    <xf numFmtId="4" fontId="8" fillId="5" borderId="1" xfId="2" applyNumberFormat="1" applyFont="1" applyFill="1" applyBorder="1" applyAlignment="1">
      <alignment horizontal="center" vertical="center" wrapText="1"/>
    </xf>
    <xf numFmtId="1" fontId="8" fillId="6" borderId="1" xfId="2" applyNumberFormat="1" applyFont="1" applyFill="1" applyBorder="1"/>
    <xf numFmtId="168" fontId="8" fillId="6" borderId="1" xfId="2" applyNumberFormat="1" applyFont="1" applyFill="1" applyBorder="1"/>
    <xf numFmtId="168" fontId="14" fillId="6" borderId="1" xfId="2" applyNumberFormat="1" applyFont="1" applyFill="1" applyBorder="1"/>
    <xf numFmtId="168" fontId="8" fillId="6" borderId="0" xfId="2" applyNumberFormat="1" applyFont="1" applyFill="1" applyBorder="1"/>
    <xf numFmtId="0" fontId="9" fillId="7" borderId="1" xfId="2" applyFont="1" applyFill="1" applyBorder="1"/>
    <xf numFmtId="43" fontId="9" fillId="7" borderId="1" xfId="1" applyFont="1" applyFill="1" applyBorder="1"/>
    <xf numFmtId="4" fontId="15" fillId="7" borderId="2" xfId="2" applyNumberFormat="1" applyFont="1" applyFill="1" applyBorder="1"/>
    <xf numFmtId="171" fontId="8" fillId="0" borderId="0" xfId="2" applyNumberFormat="1" applyFont="1"/>
    <xf numFmtId="164" fontId="9" fillId="0" borderId="51" xfId="2" applyNumberFormat="1" applyFont="1" applyBorder="1"/>
    <xf numFmtId="0" fontId="8" fillId="0" borderId="11" xfId="2" applyFont="1" applyBorder="1" applyAlignment="1">
      <alignment horizontal="center" vertical="center" wrapText="1"/>
    </xf>
    <xf numFmtId="4" fontId="9" fillId="0" borderId="28" xfId="2" applyNumberFormat="1" applyFont="1" applyBorder="1"/>
    <xf numFmtId="4" fontId="10" fillId="2" borderId="23" xfId="2" applyNumberFormat="1" applyFont="1" applyFill="1" applyBorder="1"/>
    <xf numFmtId="4" fontId="9" fillId="2" borderId="43" xfId="2" applyNumberFormat="1" applyFont="1" applyFill="1" applyBorder="1"/>
    <xf numFmtId="0" fontId="9" fillId="0" borderId="0" xfId="2" applyFont="1" applyBorder="1" applyAlignment="1">
      <alignment horizontal="center" wrapText="1"/>
    </xf>
    <xf numFmtId="4" fontId="8" fillId="0" borderId="0" xfId="2" applyNumberFormat="1" applyFont="1" applyBorder="1" applyAlignment="1">
      <alignment horizontal="center" vertical="center" wrapText="1"/>
    </xf>
    <xf numFmtId="4" fontId="8" fillId="2" borderId="0" xfId="2" applyNumberFormat="1" applyFont="1" applyFill="1" applyBorder="1" applyAlignment="1">
      <alignment horizontal="center" vertical="center" wrapText="1"/>
    </xf>
    <xf numFmtId="9" fontId="9" fillId="0" borderId="0" xfId="3" applyFont="1" applyBorder="1"/>
    <xf numFmtId="4" fontId="10" fillId="0" borderId="0" xfId="2" applyNumberFormat="1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4" fontId="8" fillId="8" borderId="1" xfId="2" applyNumberFormat="1" applyFont="1" applyFill="1" applyBorder="1" applyAlignment="1">
      <alignment horizontal="center" vertical="center" wrapText="1"/>
    </xf>
    <xf numFmtId="4" fontId="8" fillId="0" borderId="0" xfId="2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57" xfId="0" applyFont="1" applyBorder="1" applyAlignment="1">
      <alignment horizontal="center" vertical="center" wrapText="1"/>
    </xf>
    <xf numFmtId="0" fontId="17" fillId="0" borderId="41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43" fontId="16" fillId="0" borderId="0" xfId="1" applyFont="1"/>
    <xf numFmtId="0" fontId="17" fillId="0" borderId="47" xfId="0" applyFont="1" applyBorder="1" applyAlignment="1">
      <alignment horizontal="center" vertical="center" wrapText="1"/>
    </xf>
    <xf numFmtId="165" fontId="16" fillId="0" borderId="0" xfId="0" applyNumberFormat="1" applyFont="1"/>
    <xf numFmtId="4" fontId="16" fillId="0" borderId="0" xfId="0" applyNumberFormat="1" applyFont="1"/>
    <xf numFmtId="4" fontId="16" fillId="0" borderId="0" xfId="1" applyNumberFormat="1" applyFont="1"/>
    <xf numFmtId="4" fontId="17" fillId="0" borderId="41" xfId="0" applyNumberFormat="1" applyFont="1" applyFill="1" applyBorder="1" applyAlignment="1">
      <alignment horizontal="center" vertical="center" wrapText="1"/>
    </xf>
    <xf numFmtId="4" fontId="17" fillId="0" borderId="28" xfId="0" applyNumberFormat="1" applyFont="1" applyFill="1" applyBorder="1" applyAlignment="1">
      <alignment horizontal="center" vertical="center" wrapText="1"/>
    </xf>
    <xf numFmtId="4" fontId="17" fillId="0" borderId="64" xfId="0" applyNumberFormat="1" applyFont="1" applyFill="1" applyBorder="1" applyAlignment="1">
      <alignment horizontal="center" vertical="center" wrapText="1"/>
    </xf>
    <xf numFmtId="4" fontId="17" fillId="0" borderId="40" xfId="0" applyNumberFormat="1" applyFont="1" applyBorder="1" applyAlignment="1">
      <alignment horizontal="center" vertic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54" xfId="0" applyFont="1" applyBorder="1" applyAlignment="1">
      <alignment horizontal="center" vertical="center" wrapText="1"/>
    </xf>
    <xf numFmtId="0" fontId="8" fillId="0" borderId="0" xfId="0" applyFont="1" applyAlignment="1">
      <alignment horizontal="right"/>
    </xf>
    <xf numFmtId="165" fontId="17" fillId="0" borderId="13" xfId="0" applyNumberFormat="1" applyFont="1" applyFill="1" applyBorder="1" applyAlignment="1">
      <alignment horizontal="center" vertical="center" wrapText="1"/>
    </xf>
    <xf numFmtId="165" fontId="17" fillId="0" borderId="14" xfId="0" applyNumberFormat="1" applyFont="1" applyFill="1" applyBorder="1" applyAlignment="1">
      <alignment horizontal="center" vertical="center" wrapText="1"/>
    </xf>
    <xf numFmtId="165" fontId="17" fillId="0" borderId="13" xfId="0" applyNumberFormat="1" applyFont="1" applyBorder="1" applyAlignment="1">
      <alignment horizontal="center" vertical="center" wrapText="1"/>
    </xf>
    <xf numFmtId="165" fontId="17" fillId="0" borderId="32" xfId="0" applyNumberFormat="1" applyFont="1" applyBorder="1" applyAlignment="1">
      <alignment horizontal="center" vertical="center" wrapText="1"/>
    </xf>
    <xf numFmtId="165" fontId="17" fillId="0" borderId="56" xfId="0" applyNumberFormat="1" applyFont="1" applyBorder="1" applyAlignment="1">
      <alignment horizontal="center" vertical="center" wrapText="1"/>
    </xf>
    <xf numFmtId="165" fontId="17" fillId="0" borderId="55" xfId="0" applyNumberFormat="1" applyFont="1" applyFill="1" applyBorder="1" applyAlignment="1">
      <alignment horizontal="center" vertical="center" wrapText="1"/>
    </xf>
    <xf numFmtId="165" fontId="17" fillId="0" borderId="9" xfId="0" applyNumberFormat="1" applyFont="1" applyFill="1" applyBorder="1" applyAlignment="1">
      <alignment horizontal="center" vertical="center" wrapText="1"/>
    </xf>
    <xf numFmtId="165" fontId="17" fillId="0" borderId="55" xfId="0" applyNumberFormat="1" applyFont="1" applyBorder="1" applyAlignment="1">
      <alignment horizontal="center" vertical="center" wrapText="1"/>
    </xf>
    <xf numFmtId="165" fontId="17" fillId="0" borderId="57" xfId="0" applyNumberFormat="1" applyFont="1" applyBorder="1" applyAlignment="1">
      <alignment horizontal="center" vertical="center" wrapText="1"/>
    </xf>
    <xf numFmtId="165" fontId="17" fillId="0" borderId="58" xfId="0" applyNumberFormat="1" applyFont="1" applyBorder="1" applyAlignment="1">
      <alignment horizontal="center" vertical="center" wrapText="1"/>
    </xf>
    <xf numFmtId="165" fontId="17" fillId="0" borderId="15" xfId="0" applyNumberFormat="1" applyFont="1" applyFill="1" applyBorder="1" applyAlignment="1">
      <alignment horizontal="center" vertical="center" wrapText="1"/>
    </xf>
    <xf numFmtId="165" fontId="17" fillId="0" borderId="10" xfId="0" applyNumberFormat="1" applyFont="1" applyFill="1" applyBorder="1" applyAlignment="1">
      <alignment horizontal="center" vertical="center" wrapText="1"/>
    </xf>
    <xf numFmtId="165" fontId="17" fillId="0" borderId="33" xfId="0" applyNumberFormat="1" applyFont="1" applyFill="1" applyBorder="1" applyAlignment="1">
      <alignment horizontal="center" vertical="center" wrapText="1"/>
    </xf>
    <xf numFmtId="165" fontId="17" fillId="0" borderId="62" xfId="0" applyNumberFormat="1" applyFont="1" applyBorder="1" applyAlignment="1">
      <alignment horizontal="center" vertical="center" wrapText="1"/>
    </xf>
    <xf numFmtId="165" fontId="17" fillId="0" borderId="28" xfId="0" applyNumberFormat="1" applyFont="1" applyFill="1" applyBorder="1" applyAlignment="1">
      <alignment horizontal="center" vertical="center" wrapText="1"/>
    </xf>
    <xf numFmtId="165" fontId="17" fillId="0" borderId="64" xfId="0" applyNumberFormat="1" applyFont="1" applyFill="1" applyBorder="1" applyAlignment="1">
      <alignment horizontal="center" vertical="center" wrapText="1"/>
    </xf>
    <xf numFmtId="165" fontId="17" fillId="0" borderId="41" xfId="0" applyNumberFormat="1" applyFont="1" applyFill="1" applyBorder="1" applyAlignment="1">
      <alignment horizontal="center" vertical="center" wrapText="1"/>
    </xf>
    <xf numFmtId="165" fontId="17" fillId="0" borderId="40" xfId="0" applyNumberFormat="1" applyFont="1" applyBorder="1" applyAlignment="1">
      <alignment horizontal="center" vertical="center" wrapText="1"/>
    </xf>
    <xf numFmtId="165" fontId="17" fillId="0" borderId="28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17" fillId="0" borderId="52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53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39" xfId="0" applyFont="1" applyBorder="1" applyAlignment="1">
      <alignment horizontal="center" vertical="center" wrapText="1"/>
    </xf>
    <xf numFmtId="4" fontId="17" fillId="0" borderId="54" xfId="0" applyNumberFormat="1" applyFont="1" applyFill="1" applyBorder="1" applyAlignment="1">
      <alignment horizontal="center" vertical="center" wrapText="1"/>
    </xf>
    <xf numFmtId="4" fontId="17" fillId="0" borderId="63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wrapText="1"/>
    </xf>
    <xf numFmtId="164" fontId="2" fillId="0" borderId="1" xfId="0" applyNumberFormat="1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wrapText="1"/>
    </xf>
    <xf numFmtId="4" fontId="9" fillId="0" borderId="1" xfId="0" applyNumberFormat="1" applyFont="1" applyBorder="1" applyAlignment="1">
      <alignment horizontal="center" wrapText="1"/>
    </xf>
    <xf numFmtId="4" fontId="9" fillId="2" borderId="1" xfId="0" applyNumberFormat="1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top" wrapText="1"/>
    </xf>
    <xf numFmtId="1" fontId="8" fillId="0" borderId="7" xfId="0" quotePrefix="1" applyNumberFormat="1" applyFont="1" applyBorder="1" applyAlignment="1">
      <alignment horizontal="right" vertical="top" wrapText="1"/>
    </xf>
    <xf numFmtId="1" fontId="8" fillId="0" borderId="3" xfId="0" quotePrefix="1" applyNumberFormat="1" applyFont="1" applyBorder="1" applyAlignment="1">
      <alignment horizontal="right" vertical="top" wrapText="1"/>
    </xf>
    <xf numFmtId="0" fontId="8" fillId="0" borderId="1" xfId="0" applyFont="1" applyBorder="1" applyAlignment="1">
      <alignment horizontal="center" wrapText="1"/>
    </xf>
    <xf numFmtId="1" fontId="9" fillId="0" borderId="1" xfId="0" applyNumberFormat="1" applyFont="1" applyBorder="1" applyAlignment="1">
      <alignment horizontal="center" wrapText="1"/>
    </xf>
    <xf numFmtId="4" fontId="8" fillId="0" borderId="1" xfId="0" applyNumberFormat="1" applyFont="1" applyBorder="1" applyAlignment="1">
      <alignment horizontal="center" vertical="top" wrapText="1"/>
    </xf>
    <xf numFmtId="4" fontId="8" fillId="0" borderId="20" xfId="0" applyNumberFormat="1" applyFont="1" applyFill="1" applyBorder="1" applyAlignment="1">
      <alignment horizontal="center" vertical="top" wrapText="1"/>
    </xf>
    <xf numFmtId="4" fontId="8" fillId="0" borderId="23" xfId="0" applyNumberFormat="1" applyFont="1" applyFill="1" applyBorder="1" applyAlignment="1">
      <alignment horizontal="center" vertical="top" wrapText="1"/>
    </xf>
    <xf numFmtId="4" fontId="8" fillId="0" borderId="30" xfId="0" applyNumberFormat="1" applyFont="1" applyFill="1" applyBorder="1" applyAlignment="1">
      <alignment horizontal="center" vertical="top" wrapText="1"/>
    </xf>
    <xf numFmtId="4" fontId="8" fillId="0" borderId="26" xfId="0" applyNumberFormat="1" applyFont="1" applyFill="1" applyBorder="1" applyAlignment="1">
      <alignment horizontal="center" vertical="top" wrapText="1"/>
    </xf>
    <xf numFmtId="0" fontId="8" fillId="2" borderId="1" xfId="2" applyFont="1" applyFill="1" applyBorder="1" applyAlignment="1">
      <alignment horizontal="center"/>
    </xf>
  </cellXfs>
  <cellStyles count="8">
    <cellStyle name="xl30" xfId="6"/>
    <cellStyle name="xl41" xfId="5"/>
    <cellStyle name="xl70" xfId="7"/>
    <cellStyle name="Обычный" xfId="0" builtinId="0"/>
    <cellStyle name="Обычный 2" xfId="4"/>
    <cellStyle name="Обычный 3" xfId="2"/>
    <cellStyle name="Процентный" xfId="3" builtinId="5"/>
    <cellStyle name="Финансовый" xfId="1" builtinId="3"/>
  </cellStyles>
  <dxfs count="0"/>
  <tableStyles count="0" defaultTableStyle="TableStyleMedium2" defaultPivotStyle="PivotStyleLight16"/>
  <colors>
    <mruColors>
      <color rgb="FF65D7FF"/>
      <color rgb="FFFFFF66"/>
      <color rgb="FFFF99FF"/>
      <color rgb="FF00FF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feo07\Documents\2021%20&#1075;&#1086;&#1076;\&#1042;&#1085;&#1077;&#1089;&#1077;&#1085;&#1080;&#1077;%20&#1080;&#1079;&#1084;&#1077;&#1085;&#1077;&#1085;&#1080;&#1081;%20&#1074;%20&#1073;&#1102;&#1076;&#1078;&#1077;&#1090;%202021\1%20&#1074;&#1085;&#1077;&#1089;&#1077;&#1085;&#1080;&#1077;%20&#1080;&#1079;&#1084;&#1077;&#1085;&#1077;&#1085;&#1080;&#1081;\&#1048;&#1058;&#1054;&#1043;%20&#1057;&#1087;&#1088;&#1072;&#1074;&#1082;&#1080;%20&#1073;&#1102;&#1076;&#1078;&#1077;&#1090;%202021%20&#1087;&#1088;&#1086;&#1077;&#1082;&#1090;%20&#1080;&#1079;&#1084;&#1077;&#1085;&#1077;&#1085;&#1080;&#108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точники (2)"/>
      <sheetName val="Источники"/>
      <sheetName val="Доходы"/>
      <sheetName val="Расходы"/>
      <sheetName val="ТП ОМС"/>
      <sheetName val="НСЗ мероприятия"/>
      <sheetName val="Ведение дела"/>
      <sheetName val="ЛО в РФ корректив"/>
      <sheetName val="РФ в ЛО (проект корректив)"/>
      <sheetName val="РФ в ЛО пром вар"/>
      <sheetName val="Лист1"/>
      <sheetName val="Лист2"/>
      <sheetName val="Лист3"/>
      <sheetName val="НСЗ мер (2)"/>
      <sheetName val="НСЗ мер (3)"/>
      <sheetName val="Лист4"/>
      <sheetName val="Лист5"/>
      <sheetName val="НСЗ мер (4)"/>
      <sheetName val="НСЗ мер (5)"/>
      <sheetName val="Лист7"/>
      <sheetName val="Лист6"/>
      <sheetName val="Лист8"/>
      <sheetName val="НСЗ мер (6)"/>
      <sheetName val="НСЗ мер (7)"/>
    </sheetNames>
    <sheetDataSet>
      <sheetData sheetId="0"/>
      <sheetData sheetId="1">
        <row r="22">
          <cell r="G22">
            <v>42338.1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workbookViewId="0">
      <selection sqref="A1:E19"/>
    </sheetView>
  </sheetViews>
  <sheetFormatPr defaultRowHeight="15" x14ac:dyDescent="0.25"/>
  <cols>
    <col min="1" max="1" width="27.7109375" customWidth="1"/>
    <col min="2" max="2" width="22.85546875" customWidth="1"/>
    <col min="3" max="3" width="13.7109375" customWidth="1"/>
    <col min="4" max="4" width="11.7109375" bestFit="1" customWidth="1"/>
    <col min="5" max="5" width="14.85546875" customWidth="1"/>
    <col min="6" max="6" width="10" bestFit="1" customWidth="1"/>
    <col min="8" max="8" width="15.5703125" customWidth="1"/>
    <col min="255" max="255" width="27.7109375" customWidth="1"/>
    <col min="256" max="256" width="22.85546875" customWidth="1"/>
    <col min="257" max="257" width="14.140625" customWidth="1"/>
    <col min="258" max="258" width="11.7109375" bestFit="1" customWidth="1"/>
    <col min="259" max="259" width="9" bestFit="1" customWidth="1"/>
    <col min="260" max="260" width="14.85546875" customWidth="1"/>
    <col min="511" max="511" width="27.7109375" customWidth="1"/>
    <col min="512" max="512" width="22.85546875" customWidth="1"/>
    <col min="513" max="513" width="14.140625" customWidth="1"/>
    <col min="514" max="514" width="11.7109375" bestFit="1" customWidth="1"/>
    <col min="515" max="515" width="9" bestFit="1" customWidth="1"/>
    <col min="516" max="516" width="14.85546875" customWidth="1"/>
    <col min="767" max="767" width="27.7109375" customWidth="1"/>
    <col min="768" max="768" width="22.85546875" customWidth="1"/>
    <col min="769" max="769" width="14.140625" customWidth="1"/>
    <col min="770" max="770" width="11.7109375" bestFit="1" customWidth="1"/>
    <col min="771" max="771" width="9" bestFit="1" customWidth="1"/>
    <col min="772" max="772" width="14.85546875" customWidth="1"/>
    <col min="1023" max="1023" width="27.7109375" customWidth="1"/>
    <col min="1024" max="1024" width="22.85546875" customWidth="1"/>
    <col min="1025" max="1025" width="14.140625" customWidth="1"/>
    <col min="1026" max="1026" width="11.7109375" bestFit="1" customWidth="1"/>
    <col min="1027" max="1027" width="9" bestFit="1" customWidth="1"/>
    <col min="1028" max="1028" width="14.85546875" customWidth="1"/>
    <col min="1279" max="1279" width="27.7109375" customWidth="1"/>
    <col min="1280" max="1280" width="22.85546875" customWidth="1"/>
    <col min="1281" max="1281" width="14.140625" customWidth="1"/>
    <col min="1282" max="1282" width="11.7109375" bestFit="1" customWidth="1"/>
    <col min="1283" max="1283" width="9" bestFit="1" customWidth="1"/>
    <col min="1284" max="1284" width="14.85546875" customWidth="1"/>
    <col min="1535" max="1535" width="27.7109375" customWidth="1"/>
    <col min="1536" max="1536" width="22.85546875" customWidth="1"/>
    <col min="1537" max="1537" width="14.140625" customWidth="1"/>
    <col min="1538" max="1538" width="11.7109375" bestFit="1" customWidth="1"/>
    <col min="1539" max="1539" width="9" bestFit="1" customWidth="1"/>
    <col min="1540" max="1540" width="14.85546875" customWidth="1"/>
    <col min="1791" max="1791" width="27.7109375" customWidth="1"/>
    <col min="1792" max="1792" width="22.85546875" customWidth="1"/>
    <col min="1793" max="1793" width="14.140625" customWidth="1"/>
    <col min="1794" max="1794" width="11.7109375" bestFit="1" customWidth="1"/>
    <col min="1795" max="1795" width="9" bestFit="1" customWidth="1"/>
    <col min="1796" max="1796" width="14.85546875" customWidth="1"/>
    <col min="2047" max="2047" width="27.7109375" customWidth="1"/>
    <col min="2048" max="2048" width="22.85546875" customWidth="1"/>
    <col min="2049" max="2049" width="14.140625" customWidth="1"/>
    <col min="2050" max="2050" width="11.7109375" bestFit="1" customWidth="1"/>
    <col min="2051" max="2051" width="9" bestFit="1" customWidth="1"/>
    <col min="2052" max="2052" width="14.85546875" customWidth="1"/>
    <col min="2303" max="2303" width="27.7109375" customWidth="1"/>
    <col min="2304" max="2304" width="22.85546875" customWidth="1"/>
    <col min="2305" max="2305" width="14.140625" customWidth="1"/>
    <col min="2306" max="2306" width="11.7109375" bestFit="1" customWidth="1"/>
    <col min="2307" max="2307" width="9" bestFit="1" customWidth="1"/>
    <col min="2308" max="2308" width="14.85546875" customWidth="1"/>
    <col min="2559" max="2559" width="27.7109375" customWidth="1"/>
    <col min="2560" max="2560" width="22.85546875" customWidth="1"/>
    <col min="2561" max="2561" width="14.140625" customWidth="1"/>
    <col min="2562" max="2562" width="11.7109375" bestFit="1" customWidth="1"/>
    <col min="2563" max="2563" width="9" bestFit="1" customWidth="1"/>
    <col min="2564" max="2564" width="14.85546875" customWidth="1"/>
    <col min="2815" max="2815" width="27.7109375" customWidth="1"/>
    <col min="2816" max="2816" width="22.85546875" customWidth="1"/>
    <col min="2817" max="2817" width="14.140625" customWidth="1"/>
    <col min="2818" max="2818" width="11.7109375" bestFit="1" customWidth="1"/>
    <col min="2819" max="2819" width="9" bestFit="1" customWidth="1"/>
    <col min="2820" max="2820" width="14.85546875" customWidth="1"/>
    <col min="3071" max="3071" width="27.7109375" customWidth="1"/>
    <col min="3072" max="3072" width="22.85546875" customWidth="1"/>
    <col min="3073" max="3073" width="14.140625" customWidth="1"/>
    <col min="3074" max="3074" width="11.7109375" bestFit="1" customWidth="1"/>
    <col min="3075" max="3075" width="9" bestFit="1" customWidth="1"/>
    <col min="3076" max="3076" width="14.85546875" customWidth="1"/>
    <col min="3327" max="3327" width="27.7109375" customWidth="1"/>
    <col min="3328" max="3328" width="22.85546875" customWidth="1"/>
    <col min="3329" max="3329" width="14.140625" customWidth="1"/>
    <col min="3330" max="3330" width="11.7109375" bestFit="1" customWidth="1"/>
    <col min="3331" max="3331" width="9" bestFit="1" customWidth="1"/>
    <col min="3332" max="3332" width="14.85546875" customWidth="1"/>
    <col min="3583" max="3583" width="27.7109375" customWidth="1"/>
    <col min="3584" max="3584" width="22.85546875" customWidth="1"/>
    <col min="3585" max="3585" width="14.140625" customWidth="1"/>
    <col min="3586" max="3586" width="11.7109375" bestFit="1" customWidth="1"/>
    <col min="3587" max="3587" width="9" bestFit="1" customWidth="1"/>
    <col min="3588" max="3588" width="14.85546875" customWidth="1"/>
    <col min="3839" max="3839" width="27.7109375" customWidth="1"/>
    <col min="3840" max="3840" width="22.85546875" customWidth="1"/>
    <col min="3841" max="3841" width="14.140625" customWidth="1"/>
    <col min="3842" max="3842" width="11.7109375" bestFit="1" customWidth="1"/>
    <col min="3843" max="3843" width="9" bestFit="1" customWidth="1"/>
    <col min="3844" max="3844" width="14.85546875" customWidth="1"/>
    <col min="4095" max="4095" width="27.7109375" customWidth="1"/>
    <col min="4096" max="4096" width="22.85546875" customWidth="1"/>
    <col min="4097" max="4097" width="14.140625" customWidth="1"/>
    <col min="4098" max="4098" width="11.7109375" bestFit="1" customWidth="1"/>
    <col min="4099" max="4099" width="9" bestFit="1" customWidth="1"/>
    <col min="4100" max="4100" width="14.85546875" customWidth="1"/>
    <col min="4351" max="4351" width="27.7109375" customWidth="1"/>
    <col min="4352" max="4352" width="22.85546875" customWidth="1"/>
    <col min="4353" max="4353" width="14.140625" customWidth="1"/>
    <col min="4354" max="4354" width="11.7109375" bestFit="1" customWidth="1"/>
    <col min="4355" max="4355" width="9" bestFit="1" customWidth="1"/>
    <col min="4356" max="4356" width="14.85546875" customWidth="1"/>
    <col min="4607" max="4607" width="27.7109375" customWidth="1"/>
    <col min="4608" max="4608" width="22.85546875" customWidth="1"/>
    <col min="4609" max="4609" width="14.140625" customWidth="1"/>
    <col min="4610" max="4610" width="11.7109375" bestFit="1" customWidth="1"/>
    <col min="4611" max="4611" width="9" bestFit="1" customWidth="1"/>
    <col min="4612" max="4612" width="14.85546875" customWidth="1"/>
    <col min="4863" max="4863" width="27.7109375" customWidth="1"/>
    <col min="4864" max="4864" width="22.85546875" customWidth="1"/>
    <col min="4865" max="4865" width="14.140625" customWidth="1"/>
    <col min="4866" max="4866" width="11.7109375" bestFit="1" customWidth="1"/>
    <col min="4867" max="4867" width="9" bestFit="1" customWidth="1"/>
    <col min="4868" max="4868" width="14.85546875" customWidth="1"/>
    <col min="5119" max="5119" width="27.7109375" customWidth="1"/>
    <col min="5120" max="5120" width="22.85546875" customWidth="1"/>
    <col min="5121" max="5121" width="14.140625" customWidth="1"/>
    <col min="5122" max="5122" width="11.7109375" bestFit="1" customWidth="1"/>
    <col min="5123" max="5123" width="9" bestFit="1" customWidth="1"/>
    <col min="5124" max="5124" width="14.85546875" customWidth="1"/>
    <col min="5375" max="5375" width="27.7109375" customWidth="1"/>
    <col min="5376" max="5376" width="22.85546875" customWidth="1"/>
    <col min="5377" max="5377" width="14.140625" customWidth="1"/>
    <col min="5378" max="5378" width="11.7109375" bestFit="1" customWidth="1"/>
    <col min="5379" max="5379" width="9" bestFit="1" customWidth="1"/>
    <col min="5380" max="5380" width="14.85546875" customWidth="1"/>
    <col min="5631" max="5631" width="27.7109375" customWidth="1"/>
    <col min="5632" max="5632" width="22.85546875" customWidth="1"/>
    <col min="5633" max="5633" width="14.140625" customWidth="1"/>
    <col min="5634" max="5634" width="11.7109375" bestFit="1" customWidth="1"/>
    <col min="5635" max="5635" width="9" bestFit="1" customWidth="1"/>
    <col min="5636" max="5636" width="14.85546875" customWidth="1"/>
    <col min="5887" max="5887" width="27.7109375" customWidth="1"/>
    <col min="5888" max="5888" width="22.85546875" customWidth="1"/>
    <col min="5889" max="5889" width="14.140625" customWidth="1"/>
    <col min="5890" max="5890" width="11.7109375" bestFit="1" customWidth="1"/>
    <col min="5891" max="5891" width="9" bestFit="1" customWidth="1"/>
    <col min="5892" max="5892" width="14.85546875" customWidth="1"/>
    <col min="6143" max="6143" width="27.7109375" customWidth="1"/>
    <col min="6144" max="6144" width="22.85546875" customWidth="1"/>
    <col min="6145" max="6145" width="14.140625" customWidth="1"/>
    <col min="6146" max="6146" width="11.7109375" bestFit="1" customWidth="1"/>
    <col min="6147" max="6147" width="9" bestFit="1" customWidth="1"/>
    <col min="6148" max="6148" width="14.85546875" customWidth="1"/>
    <col min="6399" max="6399" width="27.7109375" customWidth="1"/>
    <col min="6400" max="6400" width="22.85546875" customWidth="1"/>
    <col min="6401" max="6401" width="14.140625" customWidth="1"/>
    <col min="6402" max="6402" width="11.7109375" bestFit="1" customWidth="1"/>
    <col min="6403" max="6403" width="9" bestFit="1" customWidth="1"/>
    <col min="6404" max="6404" width="14.85546875" customWidth="1"/>
    <col min="6655" max="6655" width="27.7109375" customWidth="1"/>
    <col min="6656" max="6656" width="22.85546875" customWidth="1"/>
    <col min="6657" max="6657" width="14.140625" customWidth="1"/>
    <col min="6658" max="6658" width="11.7109375" bestFit="1" customWidth="1"/>
    <col min="6659" max="6659" width="9" bestFit="1" customWidth="1"/>
    <col min="6660" max="6660" width="14.85546875" customWidth="1"/>
    <col min="6911" max="6911" width="27.7109375" customWidth="1"/>
    <col min="6912" max="6912" width="22.85546875" customWidth="1"/>
    <col min="6913" max="6913" width="14.140625" customWidth="1"/>
    <col min="6914" max="6914" width="11.7109375" bestFit="1" customWidth="1"/>
    <col min="6915" max="6915" width="9" bestFit="1" customWidth="1"/>
    <col min="6916" max="6916" width="14.85546875" customWidth="1"/>
    <col min="7167" max="7167" width="27.7109375" customWidth="1"/>
    <col min="7168" max="7168" width="22.85546875" customWidth="1"/>
    <col min="7169" max="7169" width="14.140625" customWidth="1"/>
    <col min="7170" max="7170" width="11.7109375" bestFit="1" customWidth="1"/>
    <col min="7171" max="7171" width="9" bestFit="1" customWidth="1"/>
    <col min="7172" max="7172" width="14.85546875" customWidth="1"/>
    <col min="7423" max="7423" width="27.7109375" customWidth="1"/>
    <col min="7424" max="7424" width="22.85546875" customWidth="1"/>
    <col min="7425" max="7425" width="14.140625" customWidth="1"/>
    <col min="7426" max="7426" width="11.7109375" bestFit="1" customWidth="1"/>
    <col min="7427" max="7427" width="9" bestFit="1" customWidth="1"/>
    <col min="7428" max="7428" width="14.85546875" customWidth="1"/>
    <col min="7679" max="7679" width="27.7109375" customWidth="1"/>
    <col min="7680" max="7680" width="22.85546875" customWidth="1"/>
    <col min="7681" max="7681" width="14.140625" customWidth="1"/>
    <col min="7682" max="7682" width="11.7109375" bestFit="1" customWidth="1"/>
    <col min="7683" max="7683" width="9" bestFit="1" customWidth="1"/>
    <col min="7684" max="7684" width="14.85546875" customWidth="1"/>
    <col min="7935" max="7935" width="27.7109375" customWidth="1"/>
    <col min="7936" max="7936" width="22.85546875" customWidth="1"/>
    <col min="7937" max="7937" width="14.140625" customWidth="1"/>
    <col min="7938" max="7938" width="11.7109375" bestFit="1" customWidth="1"/>
    <col min="7939" max="7939" width="9" bestFit="1" customWidth="1"/>
    <col min="7940" max="7940" width="14.85546875" customWidth="1"/>
    <col min="8191" max="8191" width="27.7109375" customWidth="1"/>
    <col min="8192" max="8192" width="22.85546875" customWidth="1"/>
    <col min="8193" max="8193" width="14.140625" customWidth="1"/>
    <col min="8194" max="8194" width="11.7109375" bestFit="1" customWidth="1"/>
    <col min="8195" max="8195" width="9" bestFit="1" customWidth="1"/>
    <col min="8196" max="8196" width="14.85546875" customWidth="1"/>
    <col min="8447" max="8447" width="27.7109375" customWidth="1"/>
    <col min="8448" max="8448" width="22.85546875" customWidth="1"/>
    <col min="8449" max="8449" width="14.140625" customWidth="1"/>
    <col min="8450" max="8450" width="11.7109375" bestFit="1" customWidth="1"/>
    <col min="8451" max="8451" width="9" bestFit="1" customWidth="1"/>
    <col min="8452" max="8452" width="14.85546875" customWidth="1"/>
    <col min="8703" max="8703" width="27.7109375" customWidth="1"/>
    <col min="8704" max="8704" width="22.85546875" customWidth="1"/>
    <col min="8705" max="8705" width="14.140625" customWidth="1"/>
    <col min="8706" max="8706" width="11.7109375" bestFit="1" customWidth="1"/>
    <col min="8707" max="8707" width="9" bestFit="1" customWidth="1"/>
    <col min="8708" max="8708" width="14.85546875" customWidth="1"/>
    <col min="8959" max="8959" width="27.7109375" customWidth="1"/>
    <col min="8960" max="8960" width="22.85546875" customWidth="1"/>
    <col min="8961" max="8961" width="14.140625" customWidth="1"/>
    <col min="8962" max="8962" width="11.7109375" bestFit="1" customWidth="1"/>
    <col min="8963" max="8963" width="9" bestFit="1" customWidth="1"/>
    <col min="8964" max="8964" width="14.85546875" customWidth="1"/>
    <col min="9215" max="9215" width="27.7109375" customWidth="1"/>
    <col min="9216" max="9216" width="22.85546875" customWidth="1"/>
    <col min="9217" max="9217" width="14.140625" customWidth="1"/>
    <col min="9218" max="9218" width="11.7109375" bestFit="1" customWidth="1"/>
    <col min="9219" max="9219" width="9" bestFit="1" customWidth="1"/>
    <col min="9220" max="9220" width="14.85546875" customWidth="1"/>
    <col min="9471" max="9471" width="27.7109375" customWidth="1"/>
    <col min="9472" max="9472" width="22.85546875" customWidth="1"/>
    <col min="9473" max="9473" width="14.140625" customWidth="1"/>
    <col min="9474" max="9474" width="11.7109375" bestFit="1" customWidth="1"/>
    <col min="9475" max="9475" width="9" bestFit="1" customWidth="1"/>
    <col min="9476" max="9476" width="14.85546875" customWidth="1"/>
    <col min="9727" max="9727" width="27.7109375" customWidth="1"/>
    <col min="9728" max="9728" width="22.85546875" customWidth="1"/>
    <col min="9729" max="9729" width="14.140625" customWidth="1"/>
    <col min="9730" max="9730" width="11.7109375" bestFit="1" customWidth="1"/>
    <col min="9731" max="9731" width="9" bestFit="1" customWidth="1"/>
    <col min="9732" max="9732" width="14.85546875" customWidth="1"/>
    <col min="9983" max="9983" width="27.7109375" customWidth="1"/>
    <col min="9984" max="9984" width="22.85546875" customWidth="1"/>
    <col min="9985" max="9985" width="14.140625" customWidth="1"/>
    <col min="9986" max="9986" width="11.7109375" bestFit="1" customWidth="1"/>
    <col min="9987" max="9987" width="9" bestFit="1" customWidth="1"/>
    <col min="9988" max="9988" width="14.85546875" customWidth="1"/>
    <col min="10239" max="10239" width="27.7109375" customWidth="1"/>
    <col min="10240" max="10240" width="22.85546875" customWidth="1"/>
    <col min="10241" max="10241" width="14.140625" customWidth="1"/>
    <col min="10242" max="10242" width="11.7109375" bestFit="1" customWidth="1"/>
    <col min="10243" max="10243" width="9" bestFit="1" customWidth="1"/>
    <col min="10244" max="10244" width="14.85546875" customWidth="1"/>
    <col min="10495" max="10495" width="27.7109375" customWidth="1"/>
    <col min="10496" max="10496" width="22.85546875" customWidth="1"/>
    <col min="10497" max="10497" width="14.140625" customWidth="1"/>
    <col min="10498" max="10498" width="11.7109375" bestFit="1" customWidth="1"/>
    <col min="10499" max="10499" width="9" bestFit="1" customWidth="1"/>
    <col min="10500" max="10500" width="14.85546875" customWidth="1"/>
    <col min="10751" max="10751" width="27.7109375" customWidth="1"/>
    <col min="10752" max="10752" width="22.85546875" customWidth="1"/>
    <col min="10753" max="10753" width="14.140625" customWidth="1"/>
    <col min="10754" max="10754" width="11.7109375" bestFit="1" customWidth="1"/>
    <col min="10755" max="10755" width="9" bestFit="1" customWidth="1"/>
    <col min="10756" max="10756" width="14.85546875" customWidth="1"/>
    <col min="11007" max="11007" width="27.7109375" customWidth="1"/>
    <col min="11008" max="11008" width="22.85546875" customWidth="1"/>
    <col min="11009" max="11009" width="14.140625" customWidth="1"/>
    <col min="11010" max="11010" width="11.7109375" bestFit="1" customWidth="1"/>
    <col min="11011" max="11011" width="9" bestFit="1" customWidth="1"/>
    <col min="11012" max="11012" width="14.85546875" customWidth="1"/>
    <col min="11263" max="11263" width="27.7109375" customWidth="1"/>
    <col min="11264" max="11264" width="22.85546875" customWidth="1"/>
    <col min="11265" max="11265" width="14.140625" customWidth="1"/>
    <col min="11266" max="11266" width="11.7109375" bestFit="1" customWidth="1"/>
    <col min="11267" max="11267" width="9" bestFit="1" customWidth="1"/>
    <col min="11268" max="11268" width="14.85546875" customWidth="1"/>
    <col min="11519" max="11519" width="27.7109375" customWidth="1"/>
    <col min="11520" max="11520" width="22.85546875" customWidth="1"/>
    <col min="11521" max="11521" width="14.140625" customWidth="1"/>
    <col min="11522" max="11522" width="11.7109375" bestFit="1" customWidth="1"/>
    <col min="11523" max="11523" width="9" bestFit="1" customWidth="1"/>
    <col min="11524" max="11524" width="14.85546875" customWidth="1"/>
    <col min="11775" max="11775" width="27.7109375" customWidth="1"/>
    <col min="11776" max="11776" width="22.85546875" customWidth="1"/>
    <col min="11777" max="11777" width="14.140625" customWidth="1"/>
    <col min="11778" max="11778" width="11.7109375" bestFit="1" customWidth="1"/>
    <col min="11779" max="11779" width="9" bestFit="1" customWidth="1"/>
    <col min="11780" max="11780" width="14.85546875" customWidth="1"/>
    <col min="12031" max="12031" width="27.7109375" customWidth="1"/>
    <col min="12032" max="12032" width="22.85546875" customWidth="1"/>
    <col min="12033" max="12033" width="14.140625" customWidth="1"/>
    <col min="12034" max="12034" width="11.7109375" bestFit="1" customWidth="1"/>
    <col min="12035" max="12035" width="9" bestFit="1" customWidth="1"/>
    <col min="12036" max="12036" width="14.85546875" customWidth="1"/>
    <col min="12287" max="12287" width="27.7109375" customWidth="1"/>
    <col min="12288" max="12288" width="22.85546875" customWidth="1"/>
    <col min="12289" max="12289" width="14.140625" customWidth="1"/>
    <col min="12290" max="12290" width="11.7109375" bestFit="1" customWidth="1"/>
    <col min="12291" max="12291" width="9" bestFit="1" customWidth="1"/>
    <col min="12292" max="12292" width="14.85546875" customWidth="1"/>
    <col min="12543" max="12543" width="27.7109375" customWidth="1"/>
    <col min="12544" max="12544" width="22.85546875" customWidth="1"/>
    <col min="12545" max="12545" width="14.140625" customWidth="1"/>
    <col min="12546" max="12546" width="11.7109375" bestFit="1" customWidth="1"/>
    <col min="12547" max="12547" width="9" bestFit="1" customWidth="1"/>
    <col min="12548" max="12548" width="14.85546875" customWidth="1"/>
    <col min="12799" max="12799" width="27.7109375" customWidth="1"/>
    <col min="12800" max="12800" width="22.85546875" customWidth="1"/>
    <col min="12801" max="12801" width="14.140625" customWidth="1"/>
    <col min="12802" max="12802" width="11.7109375" bestFit="1" customWidth="1"/>
    <col min="12803" max="12803" width="9" bestFit="1" customWidth="1"/>
    <col min="12804" max="12804" width="14.85546875" customWidth="1"/>
    <col min="13055" max="13055" width="27.7109375" customWidth="1"/>
    <col min="13056" max="13056" width="22.85546875" customWidth="1"/>
    <col min="13057" max="13057" width="14.140625" customWidth="1"/>
    <col min="13058" max="13058" width="11.7109375" bestFit="1" customWidth="1"/>
    <col min="13059" max="13059" width="9" bestFit="1" customWidth="1"/>
    <col min="13060" max="13060" width="14.85546875" customWidth="1"/>
    <col min="13311" max="13311" width="27.7109375" customWidth="1"/>
    <col min="13312" max="13312" width="22.85546875" customWidth="1"/>
    <col min="13313" max="13313" width="14.140625" customWidth="1"/>
    <col min="13314" max="13314" width="11.7109375" bestFit="1" customWidth="1"/>
    <col min="13315" max="13315" width="9" bestFit="1" customWidth="1"/>
    <col min="13316" max="13316" width="14.85546875" customWidth="1"/>
    <col min="13567" max="13567" width="27.7109375" customWidth="1"/>
    <col min="13568" max="13568" width="22.85546875" customWidth="1"/>
    <col min="13569" max="13569" width="14.140625" customWidth="1"/>
    <col min="13570" max="13570" width="11.7109375" bestFit="1" customWidth="1"/>
    <col min="13571" max="13571" width="9" bestFit="1" customWidth="1"/>
    <col min="13572" max="13572" width="14.85546875" customWidth="1"/>
    <col min="13823" max="13823" width="27.7109375" customWidth="1"/>
    <col min="13824" max="13824" width="22.85546875" customWidth="1"/>
    <col min="13825" max="13825" width="14.140625" customWidth="1"/>
    <col min="13826" max="13826" width="11.7109375" bestFit="1" customWidth="1"/>
    <col min="13827" max="13827" width="9" bestFit="1" customWidth="1"/>
    <col min="13828" max="13828" width="14.85546875" customWidth="1"/>
    <col min="14079" max="14079" width="27.7109375" customWidth="1"/>
    <col min="14080" max="14080" width="22.85546875" customWidth="1"/>
    <col min="14081" max="14081" width="14.140625" customWidth="1"/>
    <col min="14082" max="14082" width="11.7109375" bestFit="1" customWidth="1"/>
    <col min="14083" max="14083" width="9" bestFit="1" customWidth="1"/>
    <col min="14084" max="14084" width="14.85546875" customWidth="1"/>
    <col min="14335" max="14335" width="27.7109375" customWidth="1"/>
    <col min="14336" max="14336" width="22.85546875" customWidth="1"/>
    <col min="14337" max="14337" width="14.140625" customWidth="1"/>
    <col min="14338" max="14338" width="11.7109375" bestFit="1" customWidth="1"/>
    <col min="14339" max="14339" width="9" bestFit="1" customWidth="1"/>
    <col min="14340" max="14340" width="14.85546875" customWidth="1"/>
    <col min="14591" max="14591" width="27.7109375" customWidth="1"/>
    <col min="14592" max="14592" width="22.85546875" customWidth="1"/>
    <col min="14593" max="14593" width="14.140625" customWidth="1"/>
    <col min="14594" max="14594" width="11.7109375" bestFit="1" customWidth="1"/>
    <col min="14595" max="14595" width="9" bestFit="1" customWidth="1"/>
    <col min="14596" max="14596" width="14.85546875" customWidth="1"/>
    <col min="14847" max="14847" width="27.7109375" customWidth="1"/>
    <col min="14848" max="14848" width="22.85546875" customWidth="1"/>
    <col min="14849" max="14849" width="14.140625" customWidth="1"/>
    <col min="14850" max="14850" width="11.7109375" bestFit="1" customWidth="1"/>
    <col min="14851" max="14851" width="9" bestFit="1" customWidth="1"/>
    <col min="14852" max="14852" width="14.85546875" customWidth="1"/>
    <col min="15103" max="15103" width="27.7109375" customWidth="1"/>
    <col min="15104" max="15104" width="22.85546875" customWidth="1"/>
    <col min="15105" max="15105" width="14.140625" customWidth="1"/>
    <col min="15106" max="15106" width="11.7109375" bestFit="1" customWidth="1"/>
    <col min="15107" max="15107" width="9" bestFit="1" customWidth="1"/>
    <col min="15108" max="15108" width="14.85546875" customWidth="1"/>
    <col min="15359" max="15359" width="27.7109375" customWidth="1"/>
    <col min="15360" max="15360" width="22.85546875" customWidth="1"/>
    <col min="15361" max="15361" width="14.140625" customWidth="1"/>
    <col min="15362" max="15362" width="11.7109375" bestFit="1" customWidth="1"/>
    <col min="15363" max="15363" width="9" bestFit="1" customWidth="1"/>
    <col min="15364" max="15364" width="14.85546875" customWidth="1"/>
    <col min="15615" max="15615" width="27.7109375" customWidth="1"/>
    <col min="15616" max="15616" width="22.85546875" customWidth="1"/>
    <col min="15617" max="15617" width="14.140625" customWidth="1"/>
    <col min="15618" max="15618" width="11.7109375" bestFit="1" customWidth="1"/>
    <col min="15619" max="15619" width="9" bestFit="1" customWidth="1"/>
    <col min="15620" max="15620" width="14.85546875" customWidth="1"/>
    <col min="15871" max="15871" width="27.7109375" customWidth="1"/>
    <col min="15872" max="15872" width="22.85546875" customWidth="1"/>
    <col min="15873" max="15873" width="14.140625" customWidth="1"/>
    <col min="15874" max="15874" width="11.7109375" bestFit="1" customWidth="1"/>
    <col min="15875" max="15875" width="9" bestFit="1" customWidth="1"/>
    <col min="15876" max="15876" width="14.85546875" customWidth="1"/>
    <col min="16127" max="16127" width="27.7109375" customWidth="1"/>
    <col min="16128" max="16128" width="22.85546875" customWidth="1"/>
    <col min="16129" max="16129" width="14.140625" customWidth="1"/>
    <col min="16130" max="16130" width="11.7109375" bestFit="1" customWidth="1"/>
    <col min="16131" max="16131" width="9" bestFit="1" customWidth="1"/>
    <col min="16132" max="16132" width="14.85546875" customWidth="1"/>
  </cols>
  <sheetData>
    <row r="1" spans="1:5" ht="15.75" x14ac:dyDescent="0.25">
      <c r="A1" s="1"/>
      <c r="B1" s="2"/>
      <c r="C1" s="3"/>
      <c r="D1" s="4"/>
    </row>
    <row r="2" spans="1:5" ht="15.75" x14ac:dyDescent="0.25">
      <c r="A2" s="1"/>
      <c r="B2" s="2"/>
      <c r="C2" s="6"/>
      <c r="D2" s="7"/>
    </row>
    <row r="3" spans="1:5" ht="15.75" x14ac:dyDescent="0.25">
      <c r="A3" s="1"/>
      <c r="B3" s="2"/>
      <c r="C3" s="5"/>
      <c r="D3" s="8"/>
    </row>
    <row r="4" spans="1:5" ht="15.75" x14ac:dyDescent="0.25">
      <c r="A4" s="1"/>
      <c r="B4" s="1"/>
      <c r="C4" s="9"/>
      <c r="D4" s="9"/>
    </row>
    <row r="5" spans="1:5" ht="15.75" x14ac:dyDescent="0.25">
      <c r="A5" s="1"/>
      <c r="B5" s="1"/>
      <c r="C5" s="9"/>
      <c r="D5" s="9"/>
    </row>
    <row r="6" spans="1:5" ht="15.75" x14ac:dyDescent="0.25">
      <c r="A6" s="269" t="s">
        <v>1</v>
      </c>
      <c r="B6" s="270"/>
      <c r="C6" s="270"/>
      <c r="D6" s="270"/>
    </row>
    <row r="7" spans="1:5" ht="15.75" customHeight="1" x14ac:dyDescent="0.25">
      <c r="A7" s="269" t="s">
        <v>2</v>
      </c>
      <c r="B7" s="269"/>
      <c r="C7" s="269"/>
      <c r="D7" s="269"/>
    </row>
    <row r="8" spans="1:5" ht="15.75" customHeight="1" x14ac:dyDescent="0.25">
      <c r="A8" s="269" t="s">
        <v>3</v>
      </c>
      <c r="B8" s="269"/>
      <c r="C8" s="269"/>
      <c r="D8" s="269"/>
    </row>
    <row r="9" spans="1:5" ht="15.75" customHeight="1" x14ac:dyDescent="0.25">
      <c r="A9" s="269" t="s">
        <v>39</v>
      </c>
      <c r="B9" s="270"/>
      <c r="C9" s="270"/>
      <c r="D9" s="270"/>
    </row>
    <row r="10" spans="1:5" ht="15.75" x14ac:dyDescent="0.25">
      <c r="A10" s="10"/>
      <c r="B10" s="11"/>
      <c r="C10" s="11"/>
      <c r="D10" s="11"/>
    </row>
    <row r="11" spans="1:5" ht="15.75" x14ac:dyDescent="0.25">
      <c r="A11" s="1"/>
      <c r="B11" s="2"/>
      <c r="C11" s="5"/>
      <c r="D11" s="5" t="s">
        <v>4</v>
      </c>
    </row>
    <row r="12" spans="1:5" ht="15" customHeight="1" x14ac:dyDescent="0.25">
      <c r="A12" s="268" t="s">
        <v>5</v>
      </c>
      <c r="B12" s="268" t="s">
        <v>6</v>
      </c>
      <c r="C12" s="268" t="s">
        <v>40</v>
      </c>
      <c r="D12" s="268" t="s">
        <v>35</v>
      </c>
      <c r="E12" s="267" t="s">
        <v>7</v>
      </c>
    </row>
    <row r="13" spans="1:5" ht="15" customHeight="1" x14ac:dyDescent="0.25">
      <c r="A13" s="268"/>
      <c r="B13" s="268"/>
      <c r="C13" s="268"/>
      <c r="D13" s="268"/>
      <c r="E13" s="268"/>
    </row>
    <row r="14" spans="1:5" ht="15" customHeight="1" x14ac:dyDescent="0.25">
      <c r="A14" s="268"/>
      <c r="B14" s="268"/>
      <c r="C14" s="268"/>
      <c r="D14" s="268"/>
      <c r="E14" s="268"/>
    </row>
    <row r="15" spans="1:5" ht="78.75" hidden="1" x14ac:dyDescent="0.25">
      <c r="A15" s="40" t="s">
        <v>8</v>
      </c>
      <c r="B15" s="41" t="s">
        <v>9</v>
      </c>
      <c r="C15" s="12">
        <f t="shared" ref="C15:D18" si="0">C16</f>
        <v>0</v>
      </c>
      <c r="D15" s="12">
        <f t="shared" si="0"/>
        <v>38601.800000000003</v>
      </c>
      <c r="E15" s="12"/>
    </row>
    <row r="16" spans="1:5" ht="63" hidden="1" x14ac:dyDescent="0.25">
      <c r="A16" s="40" t="s">
        <v>10</v>
      </c>
      <c r="B16" s="41" t="s">
        <v>11</v>
      </c>
      <c r="C16" s="12">
        <f t="shared" si="0"/>
        <v>0</v>
      </c>
      <c r="D16" s="12">
        <f t="shared" si="0"/>
        <v>38601.800000000003</v>
      </c>
      <c r="E16" s="12"/>
    </row>
    <row r="17" spans="1:8" ht="47.25" hidden="1" x14ac:dyDescent="0.25">
      <c r="A17" s="40" t="s">
        <v>12</v>
      </c>
      <c r="B17" s="41" t="s">
        <v>13</v>
      </c>
      <c r="C17" s="12">
        <f t="shared" si="0"/>
        <v>0</v>
      </c>
      <c r="D17" s="12">
        <f t="shared" si="0"/>
        <v>38601.800000000003</v>
      </c>
      <c r="E17" s="12"/>
    </row>
    <row r="18" spans="1:8" ht="47.25" hidden="1" x14ac:dyDescent="0.25">
      <c r="A18" s="40" t="s">
        <v>14</v>
      </c>
      <c r="B18" s="41" t="s">
        <v>15</v>
      </c>
      <c r="C18" s="12">
        <f t="shared" si="0"/>
        <v>0</v>
      </c>
      <c r="D18" s="12">
        <f t="shared" si="0"/>
        <v>38601.800000000003</v>
      </c>
      <c r="E18" s="12"/>
    </row>
    <row r="19" spans="1:8" ht="126" x14ac:dyDescent="0.25">
      <c r="A19" s="40" t="s">
        <v>16</v>
      </c>
      <c r="B19" s="19" t="s">
        <v>17</v>
      </c>
      <c r="C19" s="42">
        <v>0</v>
      </c>
      <c r="D19" s="42">
        <f>37659.1+343.2+90.4+61.8+447.3</f>
        <v>38601.800000000003</v>
      </c>
      <c r="E19" s="43" t="s">
        <v>49</v>
      </c>
    </row>
    <row r="20" spans="1:8" ht="15.75" x14ac:dyDescent="0.25">
      <c r="C20" s="39"/>
    </row>
    <row r="22" spans="1:8" x14ac:dyDescent="0.25">
      <c r="B22" t="s">
        <v>26</v>
      </c>
      <c r="D22" s="18">
        <f>72859.1</f>
        <v>72859.100000000006</v>
      </c>
      <c r="E22" s="18">
        <f>72859062.52+0.21</f>
        <v>72859062.729999989</v>
      </c>
      <c r="G22">
        <v>37659.1</v>
      </c>
      <c r="H22" s="18">
        <f>E22-35200000</f>
        <v>37659062.729999989</v>
      </c>
    </row>
    <row r="23" spans="1:8" x14ac:dyDescent="0.25">
      <c r="B23" t="s">
        <v>33</v>
      </c>
      <c r="C23" s="13"/>
      <c r="D23" s="18">
        <v>433.6</v>
      </c>
      <c r="E23" s="18">
        <v>433581.46</v>
      </c>
      <c r="G23" s="18">
        <f>D23</f>
        <v>433.6</v>
      </c>
      <c r="H23" s="18">
        <f>E23</f>
        <v>433581.46</v>
      </c>
    </row>
    <row r="24" spans="1:8" x14ac:dyDescent="0.25">
      <c r="B24" t="s">
        <v>34</v>
      </c>
      <c r="C24" s="13"/>
      <c r="D24" s="18">
        <v>61.8</v>
      </c>
      <c r="E24" s="18">
        <f>61808.3+0.39</f>
        <v>61808.69</v>
      </c>
      <c r="F24" s="18">
        <f>D24+D25</f>
        <v>509.1</v>
      </c>
      <c r="G24" s="18">
        <f t="shared" ref="G24:G25" si="1">D24</f>
        <v>61.8</v>
      </c>
      <c r="H24" s="18">
        <f>E24</f>
        <v>61808.69</v>
      </c>
    </row>
    <row r="25" spans="1:8" x14ac:dyDescent="0.25">
      <c r="B25" t="s">
        <v>36</v>
      </c>
      <c r="D25" s="18">
        <v>447.3</v>
      </c>
      <c r="E25" s="18">
        <v>447333.36</v>
      </c>
      <c r="F25" s="18">
        <f>E24+E25</f>
        <v>509142.05</v>
      </c>
      <c r="G25" s="18">
        <f t="shared" si="1"/>
        <v>447.3</v>
      </c>
      <c r="H25" s="18">
        <f>E25</f>
        <v>447333.36</v>
      </c>
    </row>
    <row r="26" spans="1:8" x14ac:dyDescent="0.25">
      <c r="D26" s="52">
        <f>SUM(D22:D25)</f>
        <v>73801.800000000017</v>
      </c>
      <c r="E26" s="52">
        <f>SUM(E22:E25)</f>
        <v>73801786.23999998</v>
      </c>
      <c r="F26" s="14"/>
      <c r="G26" s="52">
        <f>G22+G23+G24+G25</f>
        <v>38601.800000000003</v>
      </c>
      <c r="H26" s="52">
        <f>H22+H23+H24+H25</f>
        <v>38601786.239999987</v>
      </c>
    </row>
    <row r="27" spans="1:8" x14ac:dyDescent="0.25">
      <c r="D27" s="18"/>
    </row>
    <row r="28" spans="1:8" x14ac:dyDescent="0.25">
      <c r="E28">
        <f>29000</f>
        <v>29000</v>
      </c>
    </row>
    <row r="29" spans="1:8" x14ac:dyDescent="0.25">
      <c r="D29" s="18"/>
      <c r="E29" s="18">
        <f>D26-E28</f>
        <v>44801.800000000017</v>
      </c>
      <c r="H29" s="18"/>
    </row>
    <row r="30" spans="1:8" x14ac:dyDescent="0.25">
      <c r="D30" s="18"/>
      <c r="E30" s="18">
        <f>D22-E28</f>
        <v>43859.100000000006</v>
      </c>
      <c r="H30" s="18"/>
    </row>
    <row r="31" spans="1:8" x14ac:dyDescent="0.25">
      <c r="D31" s="18" t="e">
        <f>D26+#REF!-#REF!</f>
        <v>#REF!</v>
      </c>
    </row>
  </sheetData>
  <mergeCells count="9">
    <mergeCell ref="E12:E14"/>
    <mergeCell ref="A6:D6"/>
    <mergeCell ref="A7:D7"/>
    <mergeCell ref="A8:D8"/>
    <mergeCell ref="A9:D9"/>
    <mergeCell ref="A12:A14"/>
    <mergeCell ref="B12:B14"/>
    <mergeCell ref="C12:C14"/>
    <mergeCell ref="D12:D14"/>
  </mergeCells>
  <pageMargins left="0.31496062992125984" right="0.31496062992125984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64"/>
  <sheetViews>
    <sheetView tabSelected="1" topLeftCell="A19" zoomScale="80" zoomScaleNormal="80" workbookViewId="0">
      <selection activeCell="P28" sqref="P28"/>
    </sheetView>
  </sheetViews>
  <sheetFormatPr defaultColWidth="9.140625" defaultRowHeight="15.75" x14ac:dyDescent="0.25"/>
  <cols>
    <col min="1" max="1" width="9.140625" style="230"/>
    <col min="2" max="2" width="41" style="230" customWidth="1"/>
    <col min="3" max="3" width="17" style="230" customWidth="1"/>
    <col min="4" max="4" width="25.5703125" style="230" customWidth="1"/>
    <col min="5" max="5" width="27.28515625" style="230" customWidth="1"/>
    <col min="6" max="6" width="23.7109375" style="230" customWidth="1"/>
    <col min="7" max="7" width="21.5703125" style="230" customWidth="1"/>
    <col min="8" max="8" width="31.7109375" style="230" customWidth="1"/>
    <col min="9" max="9" width="23.85546875" style="230" customWidth="1"/>
    <col min="10" max="10" width="26.42578125" style="230" customWidth="1"/>
    <col min="11" max="11" width="20.85546875" style="230" customWidth="1"/>
    <col min="12" max="12" width="9.140625" style="230"/>
    <col min="13" max="13" width="13.7109375" style="230" bestFit="1" customWidth="1"/>
    <col min="14" max="14" width="11" style="230" bestFit="1" customWidth="1"/>
    <col min="15" max="15" width="9.140625" style="230"/>
    <col min="16" max="16" width="11" style="230" bestFit="1" customWidth="1"/>
    <col min="17" max="16384" width="9.140625" style="230"/>
  </cols>
  <sheetData>
    <row r="1" spans="2:16" x14ac:dyDescent="0.25">
      <c r="K1" s="247" t="s">
        <v>146</v>
      </c>
    </row>
    <row r="2" spans="2:16" ht="16.5" thickBot="1" x14ac:dyDescent="0.3">
      <c r="K2" s="247" t="s">
        <v>154</v>
      </c>
    </row>
    <row r="3" spans="2:16" ht="16.5" customHeight="1" thickBot="1" x14ac:dyDescent="0.3">
      <c r="B3" s="271" t="s">
        <v>127</v>
      </c>
      <c r="C3" s="271" t="s">
        <v>128</v>
      </c>
      <c r="D3" s="274" t="s">
        <v>129</v>
      </c>
      <c r="E3" s="275"/>
      <c r="F3" s="275"/>
      <c r="G3" s="275"/>
      <c r="H3" s="275"/>
      <c r="I3" s="275"/>
      <c r="J3" s="276"/>
      <c r="K3" s="271" t="s">
        <v>64</v>
      </c>
    </row>
    <row r="4" spans="2:16" ht="205.5" thickBot="1" x14ac:dyDescent="0.3">
      <c r="B4" s="272"/>
      <c r="C4" s="272"/>
      <c r="D4" s="231" t="s">
        <v>123</v>
      </c>
      <c r="E4" s="245" t="s">
        <v>130</v>
      </c>
      <c r="F4" s="231" t="s">
        <v>124</v>
      </c>
      <c r="G4" s="237" t="s">
        <v>125</v>
      </c>
      <c r="H4" s="245" t="s">
        <v>126</v>
      </c>
      <c r="I4" s="245" t="s">
        <v>142</v>
      </c>
      <c r="J4" s="245" t="s">
        <v>143</v>
      </c>
      <c r="K4" s="272"/>
    </row>
    <row r="5" spans="2:16" x14ac:dyDescent="0.25">
      <c r="B5" s="271" t="s">
        <v>139</v>
      </c>
      <c r="C5" s="232" t="s">
        <v>136</v>
      </c>
      <c r="D5" s="248">
        <v>29063950.800000001</v>
      </c>
      <c r="E5" s="249">
        <v>253694.6</v>
      </c>
      <c r="F5" s="250">
        <v>0</v>
      </c>
      <c r="G5" s="251">
        <v>0</v>
      </c>
      <c r="H5" s="250">
        <v>0</v>
      </c>
      <c r="I5" s="250">
        <v>0</v>
      </c>
      <c r="J5" s="250">
        <v>0</v>
      </c>
      <c r="K5" s="252">
        <f t="shared" ref="K5:K17" si="0">SUM(D5:J5)</f>
        <v>29317645.400000002</v>
      </c>
    </row>
    <row r="6" spans="2:16" ht="31.5" x14ac:dyDescent="0.25">
      <c r="B6" s="273"/>
      <c r="C6" s="233" t="s">
        <v>137</v>
      </c>
      <c r="D6" s="253">
        <f>29063950.8+566291.6</f>
        <v>29630242.400000002</v>
      </c>
      <c r="E6" s="254">
        <f>253694.6-4503+5073.3</f>
        <v>254264.9</v>
      </c>
      <c r="F6" s="255">
        <v>0</v>
      </c>
      <c r="G6" s="256">
        <v>0</v>
      </c>
      <c r="H6" s="255">
        <v>0</v>
      </c>
      <c r="I6" s="255">
        <v>0</v>
      </c>
      <c r="J6" s="255">
        <v>0</v>
      </c>
      <c r="K6" s="257">
        <f>SUM(D6:J6)</f>
        <v>29884507.300000001</v>
      </c>
      <c r="N6" s="239"/>
    </row>
    <row r="7" spans="2:16" x14ac:dyDescent="0.25">
      <c r="B7" s="273"/>
      <c r="C7" s="235" t="s">
        <v>144</v>
      </c>
      <c r="D7" s="258">
        <f>D6-D5</f>
        <v>566291.60000000149</v>
      </c>
      <c r="E7" s="259">
        <f t="shared" ref="E7:J7" si="1">E6-E5</f>
        <v>570.29999999998836</v>
      </c>
      <c r="F7" s="258">
        <f t="shared" si="1"/>
        <v>0</v>
      </c>
      <c r="G7" s="260">
        <f t="shared" si="1"/>
        <v>0</v>
      </c>
      <c r="H7" s="258">
        <f t="shared" si="1"/>
        <v>0</v>
      </c>
      <c r="I7" s="260">
        <f t="shared" si="1"/>
        <v>0</v>
      </c>
      <c r="J7" s="258">
        <f t="shared" si="1"/>
        <v>0</v>
      </c>
      <c r="K7" s="261">
        <f>K6-K5</f>
        <v>566861.89999999851</v>
      </c>
      <c r="M7" s="239"/>
      <c r="P7" s="239"/>
    </row>
    <row r="8" spans="2:16" ht="189.75" thickBot="1" x14ac:dyDescent="0.3">
      <c r="B8" s="272"/>
      <c r="C8" s="234" t="s">
        <v>138</v>
      </c>
      <c r="D8" s="242" t="s">
        <v>152</v>
      </c>
      <c r="E8" s="242" t="s">
        <v>153</v>
      </c>
      <c r="F8" s="242"/>
      <c r="G8" s="241"/>
      <c r="H8" s="242"/>
      <c r="I8" s="241"/>
      <c r="J8" s="242"/>
      <c r="K8" s="244"/>
    </row>
    <row r="9" spans="2:16" x14ac:dyDescent="0.25">
      <c r="B9" s="271" t="s">
        <v>145</v>
      </c>
      <c r="C9" s="232" t="s">
        <v>136</v>
      </c>
      <c r="D9" s="248">
        <v>0</v>
      </c>
      <c r="E9" s="249">
        <v>0</v>
      </c>
      <c r="F9" s="250">
        <v>0</v>
      </c>
      <c r="G9" s="251">
        <v>4306541.5</v>
      </c>
      <c r="H9" s="250">
        <v>0</v>
      </c>
      <c r="I9" s="250">
        <v>0</v>
      </c>
      <c r="J9" s="250">
        <v>0</v>
      </c>
      <c r="K9" s="252">
        <f t="shared" si="0"/>
        <v>4306541.5</v>
      </c>
    </row>
    <row r="10" spans="2:16" ht="31.5" x14ac:dyDescent="0.25">
      <c r="B10" s="273"/>
      <c r="C10" s="233" t="s">
        <v>137</v>
      </c>
      <c r="D10" s="253">
        <v>0</v>
      </c>
      <c r="E10" s="254">
        <v>0</v>
      </c>
      <c r="F10" s="255">
        <v>0</v>
      </c>
      <c r="G10" s="256">
        <f>4306541.5+4383.8</f>
        <v>4310925.3</v>
      </c>
      <c r="H10" s="255">
        <v>0</v>
      </c>
      <c r="I10" s="255">
        <v>0</v>
      </c>
      <c r="J10" s="255">
        <v>0</v>
      </c>
      <c r="K10" s="257">
        <f>SUM(D10:J10)</f>
        <v>4310925.3</v>
      </c>
    </row>
    <row r="11" spans="2:16" x14ac:dyDescent="0.25">
      <c r="B11" s="273"/>
      <c r="C11" s="235" t="s">
        <v>144</v>
      </c>
      <c r="D11" s="258">
        <f>D10-D9</f>
        <v>0</v>
      </c>
      <c r="E11" s="259">
        <f t="shared" ref="E11" si="2">E10-E9</f>
        <v>0</v>
      </c>
      <c r="F11" s="258">
        <f t="shared" ref="F11" si="3">F10-F9</f>
        <v>0</v>
      </c>
      <c r="G11" s="260">
        <f t="shared" ref="G11" si="4">G10-G9</f>
        <v>4383.7999999998137</v>
      </c>
      <c r="H11" s="258">
        <f t="shared" ref="H11" si="5">H10-H9</f>
        <v>0</v>
      </c>
      <c r="I11" s="260">
        <f t="shared" ref="I11" si="6">I10-I9</f>
        <v>0</v>
      </c>
      <c r="J11" s="258">
        <f t="shared" ref="J11" si="7">J10-J9</f>
        <v>0</v>
      </c>
      <c r="K11" s="261">
        <f>K10-K9</f>
        <v>4383.7999999998137</v>
      </c>
    </row>
    <row r="12" spans="2:16" ht="63.75" thickBot="1" x14ac:dyDescent="0.3">
      <c r="B12" s="272"/>
      <c r="C12" s="234" t="s">
        <v>138</v>
      </c>
      <c r="D12" s="242"/>
      <c r="E12" s="243"/>
      <c r="F12" s="242"/>
      <c r="G12" s="241" t="s">
        <v>152</v>
      </c>
      <c r="H12" s="242"/>
      <c r="I12" s="241"/>
      <c r="J12" s="242"/>
      <c r="K12" s="244"/>
    </row>
    <row r="13" spans="2:16" x14ac:dyDescent="0.25">
      <c r="B13" s="271" t="s">
        <v>140</v>
      </c>
      <c r="C13" s="232" t="s">
        <v>136</v>
      </c>
      <c r="D13" s="248">
        <v>0</v>
      </c>
      <c r="E13" s="249">
        <v>0</v>
      </c>
      <c r="F13" s="250">
        <v>4312577.4000000004</v>
      </c>
      <c r="G13" s="251">
        <v>0</v>
      </c>
      <c r="H13" s="250">
        <v>0</v>
      </c>
      <c r="I13" s="250">
        <v>0</v>
      </c>
      <c r="J13" s="250">
        <v>0</v>
      </c>
      <c r="K13" s="252">
        <f t="shared" si="0"/>
        <v>4312577.4000000004</v>
      </c>
    </row>
    <row r="14" spans="2:16" ht="31.5" x14ac:dyDescent="0.25">
      <c r="B14" s="273" t="s">
        <v>134</v>
      </c>
      <c r="C14" s="233" t="s">
        <v>137</v>
      </c>
      <c r="D14" s="253">
        <v>21195.7</v>
      </c>
      <c r="E14" s="254">
        <v>0</v>
      </c>
      <c r="F14" s="255">
        <v>4523580.3</v>
      </c>
      <c r="G14" s="256">
        <v>0</v>
      </c>
      <c r="H14" s="255">
        <v>0</v>
      </c>
      <c r="I14" s="255">
        <v>0</v>
      </c>
      <c r="J14" s="255">
        <v>0</v>
      </c>
      <c r="K14" s="257">
        <f>SUM(D14:J14)</f>
        <v>4544776</v>
      </c>
    </row>
    <row r="15" spans="2:16" x14ac:dyDescent="0.25">
      <c r="B15" s="273" t="s">
        <v>135</v>
      </c>
      <c r="C15" s="235" t="s">
        <v>144</v>
      </c>
      <c r="D15" s="258">
        <f>D14-D13</f>
        <v>21195.7</v>
      </c>
      <c r="E15" s="259">
        <f t="shared" ref="E15" si="8">E14-E13</f>
        <v>0</v>
      </c>
      <c r="F15" s="258">
        <f t="shared" ref="F15" si="9">F14-F13</f>
        <v>211002.89999999944</v>
      </c>
      <c r="G15" s="260">
        <f t="shared" ref="G15" si="10">G14-G13</f>
        <v>0</v>
      </c>
      <c r="H15" s="258">
        <f t="shared" ref="H15" si="11">H14-H13</f>
        <v>0</v>
      </c>
      <c r="I15" s="260">
        <f t="shared" ref="I15" si="12">I14-I13</f>
        <v>0</v>
      </c>
      <c r="J15" s="258">
        <f t="shared" ref="J15" si="13">J14-J13</f>
        <v>0</v>
      </c>
      <c r="K15" s="261">
        <f>K14-K13</f>
        <v>232198.59999999963</v>
      </c>
    </row>
    <row r="16" spans="2:16" ht="63.75" thickBot="1" x14ac:dyDescent="0.3">
      <c r="B16" s="272"/>
      <c r="C16" s="234" t="s">
        <v>138</v>
      </c>
      <c r="D16" s="242" t="s">
        <v>147</v>
      </c>
      <c r="E16" s="242"/>
      <c r="F16" s="242" t="s">
        <v>148</v>
      </c>
      <c r="G16" s="241"/>
      <c r="H16" s="242"/>
      <c r="I16" s="241"/>
      <c r="J16" s="242"/>
      <c r="K16" s="244"/>
      <c r="M16" s="239"/>
    </row>
    <row r="17" spans="2:13" x14ac:dyDescent="0.25">
      <c r="B17" s="271" t="s">
        <v>131</v>
      </c>
      <c r="C17" s="232" t="s">
        <v>136</v>
      </c>
      <c r="D17" s="248">
        <v>0</v>
      </c>
      <c r="E17" s="249">
        <v>0</v>
      </c>
      <c r="F17" s="250">
        <v>0</v>
      </c>
      <c r="G17" s="251">
        <v>0</v>
      </c>
      <c r="H17" s="250">
        <v>99854.3</v>
      </c>
      <c r="I17" s="250">
        <v>0</v>
      </c>
      <c r="J17" s="250">
        <v>0</v>
      </c>
      <c r="K17" s="252">
        <f t="shared" si="0"/>
        <v>99854.3</v>
      </c>
    </row>
    <row r="18" spans="2:13" ht="31.5" x14ac:dyDescent="0.25">
      <c r="B18" s="273" t="s">
        <v>134</v>
      </c>
      <c r="C18" s="233" t="s">
        <v>137</v>
      </c>
      <c r="D18" s="253">
        <v>0</v>
      </c>
      <c r="E18" s="254">
        <v>0</v>
      </c>
      <c r="F18" s="255">
        <v>0</v>
      </c>
      <c r="G18" s="256">
        <v>0</v>
      </c>
      <c r="H18" s="255">
        <v>173795.20000000001</v>
      </c>
      <c r="I18" s="255">
        <v>0</v>
      </c>
      <c r="J18" s="255">
        <v>0</v>
      </c>
      <c r="K18" s="257">
        <f>SUM(D18:J18)</f>
        <v>173795.20000000001</v>
      </c>
    </row>
    <row r="19" spans="2:13" x14ac:dyDescent="0.25">
      <c r="B19" s="273" t="s">
        <v>135</v>
      </c>
      <c r="C19" s="235" t="s">
        <v>144</v>
      </c>
      <c r="D19" s="258">
        <f>D18-D17</f>
        <v>0</v>
      </c>
      <c r="E19" s="259">
        <f t="shared" ref="E19" si="14">E18-E17</f>
        <v>0</v>
      </c>
      <c r="F19" s="258">
        <f t="shared" ref="F19" si="15">F18-F17</f>
        <v>0</v>
      </c>
      <c r="G19" s="260">
        <f t="shared" ref="G19" si="16">G18-G17</f>
        <v>0</v>
      </c>
      <c r="H19" s="258">
        <f t="shared" ref="H19" si="17">H18-H17</f>
        <v>73940.900000000009</v>
      </c>
      <c r="I19" s="260">
        <f t="shared" ref="I19" si="18">I18-I17</f>
        <v>0</v>
      </c>
      <c r="J19" s="258">
        <f t="shared" ref="J19" si="19">J18-J17</f>
        <v>0</v>
      </c>
      <c r="K19" s="261">
        <f>K18-K17</f>
        <v>73940.900000000009</v>
      </c>
    </row>
    <row r="20" spans="2:13" ht="32.25" thickBot="1" x14ac:dyDescent="0.3">
      <c r="B20" s="272"/>
      <c r="C20" s="234" t="s">
        <v>138</v>
      </c>
      <c r="D20" s="242"/>
      <c r="E20" s="243"/>
      <c r="F20" s="242"/>
      <c r="G20" s="241"/>
      <c r="H20" s="242" t="s">
        <v>148</v>
      </c>
      <c r="I20" s="241"/>
      <c r="J20" s="242"/>
      <c r="K20" s="244"/>
    </row>
    <row r="21" spans="2:13" ht="29.25" customHeight="1" x14ac:dyDescent="0.25">
      <c r="B21" s="271" t="s">
        <v>151</v>
      </c>
      <c r="C21" s="232" t="s">
        <v>136</v>
      </c>
      <c r="D21" s="248">
        <v>2982751.9</v>
      </c>
      <c r="E21" s="249">
        <v>34147.1</v>
      </c>
      <c r="F21" s="250">
        <v>0</v>
      </c>
      <c r="G21" s="251">
        <v>0</v>
      </c>
      <c r="H21" s="250">
        <v>0</v>
      </c>
      <c r="I21" s="250">
        <v>0</v>
      </c>
      <c r="J21" s="250">
        <v>0</v>
      </c>
      <c r="K21" s="252">
        <f>SUM(D21:J21)</f>
        <v>3016899</v>
      </c>
    </row>
    <row r="22" spans="2:13" ht="31.5" x14ac:dyDescent="0.25">
      <c r="B22" s="273" t="s">
        <v>134</v>
      </c>
      <c r="C22" s="233" t="s">
        <v>137</v>
      </c>
      <c r="D22" s="253">
        <f>2982751.9-4503</f>
        <v>2978248.9</v>
      </c>
      <c r="E22" s="254">
        <f>41312-2661.9</f>
        <v>38650.1</v>
      </c>
      <c r="F22" s="255">
        <v>0</v>
      </c>
      <c r="G22" s="256">
        <v>0</v>
      </c>
      <c r="H22" s="255">
        <v>0</v>
      </c>
      <c r="I22" s="255">
        <v>0</v>
      </c>
      <c r="J22" s="255">
        <v>0</v>
      </c>
      <c r="K22" s="257">
        <f>SUM(D22:J22)</f>
        <v>3016899</v>
      </c>
    </row>
    <row r="23" spans="2:13" x14ac:dyDescent="0.25">
      <c r="B23" s="273" t="s">
        <v>135</v>
      </c>
      <c r="C23" s="235" t="s">
        <v>144</v>
      </c>
      <c r="D23" s="258">
        <f>D22-D21</f>
        <v>-4503</v>
      </c>
      <c r="E23" s="259">
        <f t="shared" ref="E23" si="20">E22-E21</f>
        <v>4503</v>
      </c>
      <c r="F23" s="258">
        <f t="shared" ref="F23" si="21">F22-F21</f>
        <v>0</v>
      </c>
      <c r="G23" s="260">
        <f t="shared" ref="G23" si="22">G22-G21</f>
        <v>0</v>
      </c>
      <c r="H23" s="258">
        <f t="shared" ref="H23" si="23">H22-H21</f>
        <v>0</v>
      </c>
      <c r="I23" s="260">
        <f t="shared" ref="I23" si="24">I22-I21</f>
        <v>0</v>
      </c>
      <c r="J23" s="258">
        <f t="shared" ref="J23" si="25">J22-J21</f>
        <v>0</v>
      </c>
      <c r="K23" s="261">
        <f>K22-K21</f>
        <v>0</v>
      </c>
      <c r="M23" s="239"/>
    </row>
    <row r="24" spans="2:13" ht="65.25" customHeight="1" thickBot="1" x14ac:dyDescent="0.3">
      <c r="B24" s="272"/>
      <c r="C24" s="234" t="s">
        <v>138</v>
      </c>
      <c r="D24" s="277" t="s">
        <v>149</v>
      </c>
      <c r="E24" s="278"/>
      <c r="F24" s="242"/>
      <c r="G24" s="241"/>
      <c r="H24" s="242"/>
      <c r="I24" s="241"/>
      <c r="J24" s="242"/>
      <c r="K24" s="244"/>
    </row>
    <row r="25" spans="2:13" ht="20.25" customHeight="1" x14ac:dyDescent="0.25">
      <c r="B25" s="271" t="s">
        <v>132</v>
      </c>
      <c r="C25" s="232" t="s">
        <v>136</v>
      </c>
      <c r="D25" s="248">
        <v>231473.5</v>
      </c>
      <c r="E25" s="249">
        <v>2661.9</v>
      </c>
      <c r="F25" s="250">
        <v>0</v>
      </c>
      <c r="G25" s="251">
        <v>0</v>
      </c>
      <c r="H25" s="250">
        <v>0</v>
      </c>
      <c r="I25" s="250">
        <v>0</v>
      </c>
      <c r="J25" s="250">
        <v>0</v>
      </c>
      <c r="K25" s="252">
        <f>SUM(D25:J25)</f>
        <v>234135.4</v>
      </c>
    </row>
    <row r="26" spans="2:13" ht="31.5" x14ac:dyDescent="0.25">
      <c r="B26" s="273"/>
      <c r="C26" s="233" t="s">
        <v>137</v>
      </c>
      <c r="D26" s="253">
        <v>231473.5</v>
      </c>
      <c r="E26" s="254">
        <v>2661.9</v>
      </c>
      <c r="F26" s="255">
        <v>0</v>
      </c>
      <c r="G26" s="256">
        <v>0</v>
      </c>
      <c r="H26" s="255">
        <v>0</v>
      </c>
      <c r="I26" s="255">
        <v>0</v>
      </c>
      <c r="J26" s="255">
        <v>0</v>
      </c>
      <c r="K26" s="257">
        <f>SUM(D26:J26)</f>
        <v>234135.4</v>
      </c>
      <c r="M26" s="239"/>
    </row>
    <row r="27" spans="2:13" x14ac:dyDescent="0.25">
      <c r="B27" s="273"/>
      <c r="C27" s="235" t="s">
        <v>144</v>
      </c>
      <c r="D27" s="258">
        <f>D26-D25</f>
        <v>0</v>
      </c>
      <c r="E27" s="259">
        <f t="shared" ref="E27" si="26">E26-E25</f>
        <v>0</v>
      </c>
      <c r="F27" s="258">
        <f t="shared" ref="F27" si="27">F26-F25</f>
        <v>0</v>
      </c>
      <c r="G27" s="260">
        <f t="shared" ref="G27" si="28">G26-G25</f>
        <v>0</v>
      </c>
      <c r="H27" s="258">
        <f t="shared" ref="H27" si="29">H26-H25</f>
        <v>0</v>
      </c>
      <c r="I27" s="260">
        <f t="shared" ref="I27" si="30">I26-I25</f>
        <v>0</v>
      </c>
      <c r="J27" s="258">
        <f t="shared" ref="J27" si="31">J26-J25</f>
        <v>0</v>
      </c>
      <c r="K27" s="261">
        <f>K26-K25</f>
        <v>0</v>
      </c>
    </row>
    <row r="28" spans="2:13" ht="16.5" thickBot="1" x14ac:dyDescent="0.3">
      <c r="B28" s="272"/>
      <c r="C28" s="234" t="s">
        <v>138</v>
      </c>
      <c r="D28" s="262">
        <v>0</v>
      </c>
      <c r="E28" s="263">
        <v>0</v>
      </c>
      <c r="F28" s="262">
        <v>0</v>
      </c>
      <c r="G28" s="264">
        <v>0</v>
      </c>
      <c r="H28" s="262">
        <v>0</v>
      </c>
      <c r="I28" s="264">
        <v>0</v>
      </c>
      <c r="J28" s="262">
        <v>0</v>
      </c>
      <c r="K28" s="265">
        <v>0</v>
      </c>
      <c r="M28" s="239"/>
    </row>
    <row r="29" spans="2:13" x14ac:dyDescent="0.25">
      <c r="B29" s="271" t="s">
        <v>141</v>
      </c>
      <c r="C29" s="232" t="s">
        <v>136</v>
      </c>
      <c r="D29" s="248">
        <v>0</v>
      </c>
      <c r="E29" s="248">
        <v>0</v>
      </c>
      <c r="F29" s="248">
        <v>0</v>
      </c>
      <c r="G29" s="248">
        <v>0</v>
      </c>
      <c r="H29" s="248">
        <v>0</v>
      </c>
      <c r="I29" s="250">
        <v>0</v>
      </c>
      <c r="J29" s="250">
        <v>0</v>
      </c>
      <c r="K29" s="252">
        <f>SUM(D29:J29)</f>
        <v>0</v>
      </c>
    </row>
    <row r="30" spans="2:13" ht="31.5" x14ac:dyDescent="0.25">
      <c r="B30" s="273"/>
      <c r="C30" s="233" t="s">
        <v>137</v>
      </c>
      <c r="D30" s="253">
        <v>0</v>
      </c>
      <c r="E30" s="253">
        <v>0</v>
      </c>
      <c r="F30" s="253">
        <v>0</v>
      </c>
      <c r="G30" s="253">
        <v>0</v>
      </c>
      <c r="H30" s="253">
        <v>0</v>
      </c>
      <c r="I30" s="255">
        <v>60163.7</v>
      </c>
      <c r="J30" s="255">
        <v>0</v>
      </c>
      <c r="K30" s="257">
        <f>SUM(D30:J30)</f>
        <v>60163.7</v>
      </c>
    </row>
    <row r="31" spans="2:13" x14ac:dyDescent="0.25">
      <c r="B31" s="273"/>
      <c r="C31" s="235" t="s">
        <v>144</v>
      </c>
      <c r="D31" s="258">
        <f>D30-D29</f>
        <v>0</v>
      </c>
      <c r="E31" s="258">
        <f t="shared" ref="E31:H31" si="32">E30-E29</f>
        <v>0</v>
      </c>
      <c r="F31" s="258">
        <f t="shared" si="32"/>
        <v>0</v>
      </c>
      <c r="G31" s="258">
        <f t="shared" si="32"/>
        <v>0</v>
      </c>
      <c r="H31" s="258">
        <f t="shared" si="32"/>
        <v>0</v>
      </c>
      <c r="I31" s="258">
        <f t="shared" ref="I31" si="33">I30-I29</f>
        <v>60163.7</v>
      </c>
      <c r="J31" s="258">
        <f t="shared" ref="J31" si="34">J30-J29</f>
        <v>0</v>
      </c>
      <c r="K31" s="261">
        <f>SUM(D31:J31)</f>
        <v>60163.7</v>
      </c>
    </row>
    <row r="32" spans="2:13" ht="48" thickBot="1" x14ac:dyDescent="0.3">
      <c r="B32" s="272"/>
      <c r="C32" s="234" t="s">
        <v>138</v>
      </c>
      <c r="D32" s="242"/>
      <c r="E32" s="243"/>
      <c r="F32" s="242"/>
      <c r="G32" s="241"/>
      <c r="H32" s="242"/>
      <c r="I32" s="241" t="s">
        <v>155</v>
      </c>
      <c r="J32" s="242"/>
      <c r="K32" s="244"/>
    </row>
    <row r="33" spans="2:11" x14ac:dyDescent="0.25">
      <c r="B33" s="271" t="s">
        <v>133</v>
      </c>
      <c r="C33" s="232" t="s">
        <v>136</v>
      </c>
      <c r="D33" s="248">
        <v>0</v>
      </c>
      <c r="E33" s="248">
        <v>0</v>
      </c>
      <c r="F33" s="248">
        <v>0</v>
      </c>
      <c r="G33" s="248">
        <v>0</v>
      </c>
      <c r="H33" s="248">
        <v>0</v>
      </c>
      <c r="I33" s="250">
        <v>0</v>
      </c>
      <c r="J33" s="250">
        <v>0</v>
      </c>
      <c r="K33" s="252">
        <f>SUM(D33:J33)</f>
        <v>0</v>
      </c>
    </row>
    <row r="34" spans="2:11" ht="31.5" x14ac:dyDescent="0.25">
      <c r="B34" s="273"/>
      <c r="C34" s="233" t="s">
        <v>137</v>
      </c>
      <c r="D34" s="253">
        <v>0</v>
      </c>
      <c r="E34" s="253">
        <v>0</v>
      </c>
      <c r="F34" s="253">
        <v>0</v>
      </c>
      <c r="G34" s="253">
        <v>0</v>
      </c>
      <c r="H34" s="253">
        <v>0</v>
      </c>
      <c r="I34" s="255">
        <v>0</v>
      </c>
      <c r="J34" s="255">
        <f>1445.6+65.8</f>
        <v>1511.3999999999999</v>
      </c>
      <c r="K34" s="257">
        <f>SUM(D34:J34)</f>
        <v>1511.3999999999999</v>
      </c>
    </row>
    <row r="35" spans="2:11" x14ac:dyDescent="0.25">
      <c r="B35" s="273"/>
      <c r="C35" s="235" t="s">
        <v>144</v>
      </c>
      <c r="D35" s="258">
        <f>D34-D33</f>
        <v>0</v>
      </c>
      <c r="E35" s="258">
        <f t="shared" ref="E35:J35" si="35">E34-E33</f>
        <v>0</v>
      </c>
      <c r="F35" s="258">
        <f t="shared" si="35"/>
        <v>0</v>
      </c>
      <c r="G35" s="258">
        <f t="shared" si="35"/>
        <v>0</v>
      </c>
      <c r="H35" s="258">
        <f t="shared" si="35"/>
        <v>0</v>
      </c>
      <c r="I35" s="258">
        <f t="shared" si="35"/>
        <v>0</v>
      </c>
      <c r="J35" s="258">
        <f t="shared" si="35"/>
        <v>1511.3999999999999</v>
      </c>
      <c r="K35" s="261">
        <f>SUM(K33:K34)</f>
        <v>1511.3999999999999</v>
      </c>
    </row>
    <row r="36" spans="2:11" ht="95.25" thickBot="1" x14ac:dyDescent="0.3">
      <c r="B36" s="272"/>
      <c r="C36" s="234" t="s">
        <v>138</v>
      </c>
      <c r="D36" s="242"/>
      <c r="E36" s="243"/>
      <c r="F36" s="242"/>
      <c r="G36" s="241"/>
      <c r="H36" s="242"/>
      <c r="I36" s="241"/>
      <c r="J36" s="242" t="s">
        <v>150</v>
      </c>
      <c r="K36" s="244"/>
    </row>
    <row r="37" spans="2:11" x14ac:dyDescent="0.25">
      <c r="B37" s="271" t="s">
        <v>122</v>
      </c>
      <c r="C37" s="232" t="s">
        <v>136</v>
      </c>
      <c r="D37" s="250">
        <f>D5+D9+D13+D17+D21+D25+D29+D33</f>
        <v>32278176.199999999</v>
      </c>
      <c r="E37" s="250">
        <f t="shared" ref="E37:J37" si="36">E5+E9+E13+E17+E21+E25+E29+E33</f>
        <v>290503.60000000003</v>
      </c>
      <c r="F37" s="250">
        <f t="shared" si="36"/>
        <v>4312577.4000000004</v>
      </c>
      <c r="G37" s="250">
        <f t="shared" si="36"/>
        <v>4306541.5</v>
      </c>
      <c r="H37" s="250">
        <f t="shared" si="36"/>
        <v>99854.3</v>
      </c>
      <c r="I37" s="250">
        <f t="shared" si="36"/>
        <v>0</v>
      </c>
      <c r="J37" s="250">
        <f t="shared" si="36"/>
        <v>0</v>
      </c>
      <c r="K37" s="250">
        <f>SUM(D37:J37)</f>
        <v>41287653</v>
      </c>
    </row>
    <row r="38" spans="2:11" ht="31.5" x14ac:dyDescent="0.25">
      <c r="B38" s="273"/>
      <c r="C38" s="233" t="s">
        <v>137</v>
      </c>
      <c r="D38" s="253">
        <f>D6+D10+D14+D18+D22+D26+D30+D34</f>
        <v>32861160.5</v>
      </c>
      <c r="E38" s="253">
        <f t="shared" ref="E38:J38" si="37">E6+E10+E14+E18+E22+E26+E30+E34</f>
        <v>295576.90000000002</v>
      </c>
      <c r="F38" s="253">
        <f t="shared" si="37"/>
        <v>4523580.3</v>
      </c>
      <c r="G38" s="253">
        <f t="shared" si="37"/>
        <v>4310925.3</v>
      </c>
      <c r="H38" s="253">
        <f t="shared" si="37"/>
        <v>173795.20000000001</v>
      </c>
      <c r="I38" s="253">
        <f t="shared" si="37"/>
        <v>60163.7</v>
      </c>
      <c r="J38" s="253">
        <f t="shared" si="37"/>
        <v>1511.3999999999999</v>
      </c>
      <c r="K38" s="255">
        <f>SUM(D38:J38)</f>
        <v>42226713.299999997</v>
      </c>
    </row>
    <row r="39" spans="2:11" ht="16.5" thickBot="1" x14ac:dyDescent="0.3">
      <c r="B39" s="272"/>
      <c r="C39" s="246" t="s">
        <v>144</v>
      </c>
      <c r="D39" s="262">
        <f>D38-D37</f>
        <v>582984.30000000075</v>
      </c>
      <c r="E39" s="263">
        <f t="shared" ref="E39" si="38">E38-E37</f>
        <v>5073.2999999999884</v>
      </c>
      <c r="F39" s="264">
        <f t="shared" ref="F39" si="39">F38-F37</f>
        <v>211002.89999999944</v>
      </c>
      <c r="G39" s="264">
        <f t="shared" ref="G39" si="40">G38-G37</f>
        <v>4383.7999999998137</v>
      </c>
      <c r="H39" s="264">
        <f t="shared" ref="H39" si="41">H38-H37</f>
        <v>73940.900000000009</v>
      </c>
      <c r="I39" s="264">
        <f t="shared" ref="I39" si="42">I38-I37</f>
        <v>60163.7</v>
      </c>
      <c r="J39" s="262">
        <f t="shared" ref="J39" si="43">J38-J37</f>
        <v>1511.3999999999999</v>
      </c>
      <c r="K39" s="266">
        <f>K38-K37</f>
        <v>939060.29999999702</v>
      </c>
    </row>
    <row r="40" spans="2:11" x14ac:dyDescent="0.25">
      <c r="D40" s="239"/>
      <c r="E40" s="239"/>
      <c r="F40" s="239"/>
      <c r="G40" s="239"/>
      <c r="H40" s="239"/>
      <c r="I40" s="239"/>
      <c r="J40" s="239"/>
      <c r="K40" s="239"/>
    </row>
    <row r="41" spans="2:11" x14ac:dyDescent="0.25">
      <c r="C41" s="236"/>
      <c r="D41" s="240"/>
      <c r="E41" s="240"/>
      <c r="F41" s="240"/>
      <c r="G41" s="240"/>
      <c r="H41" s="240"/>
      <c r="I41" s="240"/>
      <c r="J41" s="240"/>
      <c r="K41" s="240"/>
    </row>
    <row r="42" spans="2:11" x14ac:dyDescent="0.25">
      <c r="C42" s="236"/>
      <c r="D42" s="240"/>
      <c r="E42" s="240"/>
      <c r="F42" s="240"/>
      <c r="G42" s="240"/>
      <c r="H42" s="240"/>
      <c r="I42" s="240"/>
      <c r="J42" s="240"/>
      <c r="K42" s="240"/>
    </row>
    <row r="43" spans="2:11" x14ac:dyDescent="0.25">
      <c r="C43" s="236"/>
      <c r="D43" s="240"/>
      <c r="E43" s="240"/>
      <c r="F43" s="240"/>
      <c r="G43" s="240"/>
      <c r="H43" s="240"/>
      <c r="I43" s="240"/>
      <c r="J43" s="240"/>
      <c r="K43" s="240"/>
    </row>
    <row r="44" spans="2:11" x14ac:dyDescent="0.25">
      <c r="C44" s="236"/>
      <c r="D44" s="240"/>
      <c r="E44" s="240"/>
      <c r="F44" s="240"/>
      <c r="G44" s="240"/>
      <c r="H44" s="240"/>
      <c r="I44" s="240"/>
      <c r="J44" s="240"/>
      <c r="K44" s="240"/>
    </row>
    <row r="45" spans="2:11" x14ac:dyDescent="0.25">
      <c r="C45" s="236"/>
      <c r="D45" s="240"/>
      <c r="E45" s="240"/>
      <c r="F45" s="240"/>
      <c r="G45" s="240"/>
      <c r="H45" s="240"/>
      <c r="I45" s="240"/>
      <c r="J45" s="240"/>
      <c r="K45" s="240"/>
    </row>
    <row r="46" spans="2:11" x14ac:dyDescent="0.25">
      <c r="D46" s="240"/>
      <c r="E46" s="240"/>
      <c r="F46" s="240"/>
      <c r="G46" s="239"/>
      <c r="H46" s="239"/>
      <c r="I46" s="239"/>
      <c r="J46" s="239"/>
      <c r="K46" s="239"/>
    </row>
    <row r="47" spans="2:11" x14ac:dyDescent="0.25">
      <c r="D47" s="239"/>
      <c r="E47" s="239"/>
      <c r="F47" s="239"/>
      <c r="G47" s="239"/>
      <c r="H47" s="239"/>
      <c r="I47" s="239"/>
      <c r="J47" s="239"/>
      <c r="K47" s="239"/>
    </row>
    <row r="48" spans="2:11" x14ac:dyDescent="0.25">
      <c r="D48" s="239"/>
      <c r="E48" s="239"/>
      <c r="F48" s="239"/>
      <c r="G48" s="239"/>
      <c r="H48" s="239"/>
      <c r="I48" s="239"/>
      <c r="J48" s="239"/>
      <c r="K48" s="239"/>
    </row>
    <row r="49" spans="4:11" x14ac:dyDescent="0.25">
      <c r="D49" s="239"/>
      <c r="E49" s="239"/>
      <c r="F49" s="239"/>
      <c r="G49" s="239"/>
      <c r="H49" s="239"/>
      <c r="I49" s="239"/>
      <c r="J49" s="239"/>
      <c r="K49" s="239"/>
    </row>
    <row r="50" spans="4:11" x14ac:dyDescent="0.25">
      <c r="D50" s="239"/>
      <c r="E50" s="239"/>
      <c r="F50" s="239"/>
      <c r="G50" s="239"/>
      <c r="H50" s="239"/>
      <c r="I50" s="239"/>
      <c r="J50" s="239"/>
      <c r="K50" s="239"/>
    </row>
    <row r="51" spans="4:11" x14ac:dyDescent="0.25">
      <c r="D51" s="239"/>
      <c r="E51" s="239"/>
      <c r="F51" s="239"/>
      <c r="G51" s="239"/>
      <c r="H51" s="239"/>
      <c r="I51" s="239"/>
      <c r="J51" s="239"/>
      <c r="K51" s="239"/>
    </row>
    <row r="52" spans="4:11" x14ac:dyDescent="0.25">
      <c r="D52" s="239"/>
      <c r="E52" s="238"/>
    </row>
    <row r="53" spans="4:11" x14ac:dyDescent="0.25">
      <c r="F53" s="239"/>
    </row>
    <row r="54" spans="4:11" x14ac:dyDescent="0.25">
      <c r="D54" s="239"/>
      <c r="E54" s="239"/>
    </row>
    <row r="55" spans="4:11" x14ac:dyDescent="0.25">
      <c r="E55" s="238"/>
      <c r="F55" s="239"/>
    </row>
    <row r="56" spans="4:11" x14ac:dyDescent="0.25">
      <c r="D56" s="239"/>
    </row>
    <row r="57" spans="4:11" x14ac:dyDescent="0.25">
      <c r="D57" s="239"/>
      <c r="F57" s="239"/>
    </row>
    <row r="58" spans="4:11" x14ac:dyDescent="0.25">
      <c r="D58" s="239"/>
      <c r="F58" s="236"/>
    </row>
    <row r="59" spans="4:11" x14ac:dyDescent="0.25">
      <c r="D59" s="239"/>
    </row>
    <row r="61" spans="4:11" x14ac:dyDescent="0.25">
      <c r="E61" s="239"/>
    </row>
    <row r="62" spans="4:11" x14ac:dyDescent="0.25">
      <c r="G62" s="239"/>
    </row>
    <row r="63" spans="4:11" x14ac:dyDescent="0.25">
      <c r="E63" s="239"/>
    </row>
    <row r="64" spans="4:11" x14ac:dyDescent="0.25">
      <c r="G64" s="239"/>
    </row>
  </sheetData>
  <mergeCells count="14">
    <mergeCell ref="K3:K4"/>
    <mergeCell ref="B25:B28"/>
    <mergeCell ref="B37:B39"/>
    <mergeCell ref="B29:B32"/>
    <mergeCell ref="B33:B36"/>
    <mergeCell ref="D3:J3"/>
    <mergeCell ref="D24:E24"/>
    <mergeCell ref="B5:B8"/>
    <mergeCell ref="B9:B12"/>
    <mergeCell ref="B13:B16"/>
    <mergeCell ref="B17:B20"/>
    <mergeCell ref="B21:B24"/>
    <mergeCell ref="B3:B4"/>
    <mergeCell ref="C3:C4"/>
  </mergeCells>
  <pageMargins left="0.11811023622047245" right="0.11811023622047245" top="0.15748031496062992" bottom="0.15748031496062992" header="0.31496062992125984" footer="0.31496062992125984"/>
  <pageSetup paperSize="9" scale="4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3"/>
  <sheetViews>
    <sheetView workbookViewId="0">
      <selection activeCell="H7" sqref="H7"/>
    </sheetView>
  </sheetViews>
  <sheetFormatPr defaultColWidth="9.140625" defaultRowHeight="15.75" x14ac:dyDescent="0.25"/>
  <cols>
    <col min="1" max="1" width="40.42578125" style="15" customWidth="1"/>
    <col min="2" max="2" width="21" style="15" customWidth="1"/>
    <col min="3" max="12" width="22.85546875" style="16" customWidth="1"/>
    <col min="13" max="13" width="10.140625" style="16" bestFit="1" customWidth="1"/>
    <col min="14" max="14" width="11" style="16" bestFit="1" customWidth="1"/>
    <col min="15" max="16384" width="9.140625" style="16"/>
  </cols>
  <sheetData>
    <row r="1" spans="1:18" x14ac:dyDescent="0.25">
      <c r="A1" s="15" t="s">
        <v>26</v>
      </c>
    </row>
    <row r="2" spans="1:18" ht="16.5" thickBot="1" x14ac:dyDescent="0.3"/>
    <row r="3" spans="1:18" x14ac:dyDescent="0.25">
      <c r="A3" s="20"/>
      <c r="B3" s="34" t="s">
        <v>37</v>
      </c>
      <c r="C3" s="27" t="s">
        <v>38</v>
      </c>
      <c r="D3" s="28" t="s">
        <v>41</v>
      </c>
      <c r="E3" s="27" t="s">
        <v>84</v>
      </c>
      <c r="F3" s="27" t="s">
        <v>85</v>
      </c>
      <c r="G3" s="47"/>
      <c r="H3" s="47"/>
      <c r="I3" s="47"/>
      <c r="J3" s="47"/>
      <c r="K3" s="47"/>
      <c r="L3" s="47"/>
    </row>
    <row r="4" spans="1:18" ht="16.5" thickBot="1" x14ac:dyDescent="0.3">
      <c r="A4" s="22" t="s">
        <v>31</v>
      </c>
      <c r="B4" s="29">
        <v>30917.9</v>
      </c>
      <c r="C4" s="45">
        <v>29600</v>
      </c>
      <c r="D4" s="45">
        <f>Источники!D22</f>
        <v>72859.100000000006</v>
      </c>
      <c r="E4" s="45">
        <v>72859.100000000006</v>
      </c>
      <c r="F4" s="45">
        <f>E10</f>
        <v>35200</v>
      </c>
      <c r="G4" s="48"/>
      <c r="H4" s="48"/>
      <c r="I4" s="48"/>
      <c r="J4" s="48"/>
      <c r="K4" s="48"/>
      <c r="L4" s="48"/>
    </row>
    <row r="5" spans="1:18" x14ac:dyDescent="0.25">
      <c r="A5" s="24" t="s">
        <v>30</v>
      </c>
      <c r="B5" s="30">
        <v>136868.30000000002</v>
      </c>
      <c r="C5" s="46">
        <v>125750.59999999999</v>
      </c>
      <c r="D5" s="46">
        <f>D6+D7+D8</f>
        <v>19583.7</v>
      </c>
      <c r="E5" s="46">
        <v>125750.6</v>
      </c>
      <c r="F5" s="46">
        <f>F6+F7+F8</f>
        <v>136868.30000000002</v>
      </c>
      <c r="G5" s="48"/>
      <c r="H5" s="48"/>
      <c r="I5" s="48"/>
      <c r="J5" s="48"/>
      <c r="K5" s="48"/>
      <c r="L5" s="48"/>
      <c r="N5" s="16" t="s">
        <v>20</v>
      </c>
      <c r="O5" s="16" t="s">
        <v>21</v>
      </c>
      <c r="P5" s="16" t="s">
        <v>22</v>
      </c>
      <c r="Q5" s="16" t="s">
        <v>23</v>
      </c>
      <c r="R5" s="16" t="s">
        <v>24</v>
      </c>
    </row>
    <row r="6" spans="1:18" x14ac:dyDescent="0.25">
      <c r="A6" s="21" t="s">
        <v>25</v>
      </c>
      <c r="B6" s="35">
        <v>115643.6</v>
      </c>
      <c r="C6" s="36">
        <v>106738.4</v>
      </c>
      <c r="D6" s="36">
        <v>17595.599999999999</v>
      </c>
      <c r="E6" s="36">
        <v>106738.4</v>
      </c>
      <c r="F6" s="36">
        <f>B6</f>
        <v>115643.6</v>
      </c>
      <c r="G6" s="49">
        <v>115717</v>
      </c>
      <c r="H6" s="49">
        <f>G6-F6</f>
        <v>73.399999999994179</v>
      </c>
      <c r="I6" s="49"/>
      <c r="J6" s="49"/>
      <c r="K6" s="49"/>
      <c r="L6" s="49"/>
      <c r="M6" s="17" t="e">
        <f>C6-#REF!</f>
        <v>#REF!</v>
      </c>
      <c r="N6" s="16" t="e">
        <f>M6/5</f>
        <v>#REF!</v>
      </c>
      <c r="O6" s="16">
        <v>8380</v>
      </c>
      <c r="P6" s="16">
        <v>8380</v>
      </c>
      <c r="Q6" s="16">
        <v>8380</v>
      </c>
      <c r="R6" s="16">
        <v>8380</v>
      </c>
    </row>
    <row r="7" spans="1:18" x14ac:dyDescent="0.25">
      <c r="A7" s="21" t="s">
        <v>28</v>
      </c>
      <c r="B7" s="35">
        <v>14870.8</v>
      </c>
      <c r="C7" s="36">
        <v>12041.5</v>
      </c>
      <c r="D7" s="36">
        <v>1956.7</v>
      </c>
      <c r="E7" s="36">
        <v>12041.5</v>
      </c>
      <c r="F7" s="36">
        <f t="shared" ref="F7:F8" si="0">B7</f>
        <v>14870.8</v>
      </c>
      <c r="G7" s="49"/>
      <c r="H7" s="49"/>
      <c r="I7" s="49"/>
      <c r="J7" s="49"/>
      <c r="K7" s="49"/>
      <c r="L7" s="49"/>
      <c r="M7" s="17" t="e">
        <f>C7-#REF!</f>
        <v>#REF!</v>
      </c>
      <c r="N7" s="16" t="e">
        <f>M7/5</f>
        <v>#REF!</v>
      </c>
      <c r="O7" s="16">
        <v>1172.1600000000001</v>
      </c>
      <c r="P7" s="16">
        <v>1172.1600000000001</v>
      </c>
      <c r="Q7" s="16">
        <v>1172.1600000000001</v>
      </c>
      <c r="R7" s="16">
        <v>1172.1600000000001</v>
      </c>
    </row>
    <row r="8" spans="1:18" ht="16.5" thickBot="1" x14ac:dyDescent="0.3">
      <c r="A8" s="25" t="s">
        <v>29</v>
      </c>
      <c r="B8" s="37">
        <v>6353.9</v>
      </c>
      <c r="C8" s="38">
        <v>6970.7</v>
      </c>
      <c r="D8" s="38">
        <v>31.4</v>
      </c>
      <c r="E8" s="38">
        <v>6970.7</v>
      </c>
      <c r="F8" s="36">
        <f t="shared" si="0"/>
        <v>6353.9</v>
      </c>
      <c r="G8" s="49"/>
      <c r="H8" s="49"/>
      <c r="I8" s="49"/>
      <c r="J8" s="49"/>
      <c r="K8" s="49"/>
      <c r="L8" s="49"/>
      <c r="M8" s="17" t="e">
        <f>C8-#REF!</f>
        <v>#REF!</v>
      </c>
      <c r="N8" s="16" t="e">
        <f>M8/5</f>
        <v>#REF!</v>
      </c>
      <c r="O8" s="16">
        <v>321.36</v>
      </c>
      <c r="P8" s="16">
        <v>321.36</v>
      </c>
      <c r="Q8" s="16">
        <v>321.36</v>
      </c>
      <c r="R8" s="16">
        <v>321.36</v>
      </c>
    </row>
    <row r="9" spans="1:18" ht="16.5" thickBot="1" x14ac:dyDescent="0.3">
      <c r="A9" s="23" t="s">
        <v>27</v>
      </c>
      <c r="B9" s="31">
        <v>94927.1</v>
      </c>
      <c r="C9" s="44">
        <v>125750.6</v>
      </c>
      <c r="D9" s="44">
        <v>6566.5</v>
      </c>
      <c r="E9" s="44">
        <v>163409.70000000001</v>
      </c>
      <c r="F9" s="44">
        <f>F5</f>
        <v>136868.30000000002</v>
      </c>
      <c r="G9" s="50"/>
      <c r="H9" s="50"/>
      <c r="I9" s="50"/>
      <c r="J9" s="50"/>
      <c r="K9" s="50"/>
      <c r="L9" s="50"/>
    </row>
    <row r="10" spans="1:18" ht="16.5" thickBot="1" x14ac:dyDescent="0.3">
      <c r="A10" s="26" t="s">
        <v>32</v>
      </c>
      <c r="B10" s="32">
        <v>72859.100000000006</v>
      </c>
      <c r="C10" s="33">
        <v>29600</v>
      </c>
      <c r="D10" s="33">
        <f>D4+D5-D9</f>
        <v>85876.3</v>
      </c>
      <c r="E10" s="33">
        <v>35200</v>
      </c>
      <c r="F10" s="33">
        <f>F4+F5-F9</f>
        <v>35200</v>
      </c>
      <c r="G10" s="51"/>
      <c r="H10" s="51"/>
      <c r="I10" s="51"/>
      <c r="J10" s="51"/>
      <c r="K10" s="51"/>
      <c r="L10" s="51"/>
    </row>
    <row r="11" spans="1:18" x14ac:dyDescent="0.25">
      <c r="C11" s="17"/>
      <c r="D11" s="17"/>
      <c r="E11" s="17"/>
      <c r="F11" s="17"/>
      <c r="G11" s="17"/>
      <c r="H11" s="17"/>
      <c r="I11" s="17"/>
      <c r="J11" s="17"/>
      <c r="K11" s="17"/>
      <c r="L11" s="17"/>
    </row>
    <row r="12" spans="1:18" x14ac:dyDescent="0.25">
      <c r="B12" s="15">
        <v>2017</v>
      </c>
      <c r="D12" s="16">
        <v>2018</v>
      </c>
      <c r="F12" s="179">
        <f>F4+F5</f>
        <v>172068.30000000002</v>
      </c>
      <c r="H12" s="16">
        <v>2020</v>
      </c>
    </row>
    <row r="13" spans="1:18" x14ac:dyDescent="0.25">
      <c r="A13" s="15" t="s">
        <v>42</v>
      </c>
      <c r="B13" s="35">
        <v>144194.07999999999</v>
      </c>
      <c r="C13" s="54">
        <f>(B13+B14+B15)/B25*100</f>
        <v>11.151542180885901</v>
      </c>
      <c r="D13" s="35">
        <v>580376.31999999995</v>
      </c>
      <c r="E13" s="54">
        <f>(D13+D14+D15)/D25*100</f>
        <v>20.129841170545955</v>
      </c>
      <c r="G13" s="15" t="s">
        <v>42</v>
      </c>
    </row>
    <row r="14" spans="1:18" x14ac:dyDescent="0.25">
      <c r="A14" s="15" t="s">
        <v>43</v>
      </c>
      <c r="B14" s="35">
        <v>4462609.54</v>
      </c>
      <c r="C14" s="54"/>
      <c r="D14" s="35">
        <v>13371505.35</v>
      </c>
      <c r="E14" s="54"/>
      <c r="G14" s="15" t="s">
        <v>43</v>
      </c>
    </row>
    <row r="15" spans="1:18" x14ac:dyDescent="0.25">
      <c r="A15" s="15" t="s">
        <v>44</v>
      </c>
      <c r="B15" s="35">
        <v>3113195.23</v>
      </c>
      <c r="C15" s="54"/>
      <c r="D15" s="35">
        <v>9326995.0700000003</v>
      </c>
      <c r="E15" s="54"/>
      <c r="G15" s="15" t="s">
        <v>44</v>
      </c>
      <c r="N15" s="17">
        <f>C15-C4</f>
        <v>-29600</v>
      </c>
    </row>
    <row r="16" spans="1:18" x14ac:dyDescent="0.25">
      <c r="A16" s="15" t="s">
        <v>45</v>
      </c>
      <c r="B16" s="35">
        <v>7398841.5499999998</v>
      </c>
      <c r="C16" s="54">
        <f>(B16+B17+B18)/B25*100</f>
        <v>26.157073673088675</v>
      </c>
      <c r="D16" s="35">
        <v>9845880.9399999995</v>
      </c>
      <c r="E16" s="54">
        <f>(D16+D17+D18)/D25*100</f>
        <v>28.690706666866856</v>
      </c>
      <c r="F16" s="17"/>
      <c r="G16" s="15" t="s">
        <v>45</v>
      </c>
      <c r="H16" s="17"/>
      <c r="I16" s="17"/>
      <c r="J16" s="17"/>
      <c r="K16" s="17"/>
      <c r="L16" s="17"/>
      <c r="N16" s="16">
        <f>10587.8</f>
        <v>10587.8</v>
      </c>
    </row>
    <row r="17" spans="1:14" x14ac:dyDescent="0.25">
      <c r="A17" s="15" t="s">
        <v>46</v>
      </c>
      <c r="B17" s="35">
        <v>4740129.82</v>
      </c>
      <c r="C17" s="54"/>
      <c r="D17" s="35">
        <v>12671684.76</v>
      </c>
      <c r="E17" s="54"/>
      <c r="G17" s="15" t="s">
        <v>46</v>
      </c>
      <c r="N17" s="17">
        <f>N16+C7+C8</f>
        <v>29600</v>
      </c>
    </row>
    <row r="18" spans="1:14" x14ac:dyDescent="0.25">
      <c r="A18" s="15" t="s">
        <v>47</v>
      </c>
      <c r="B18" s="35">
        <v>5969069.2400000002</v>
      </c>
      <c r="C18" s="54"/>
      <c r="D18" s="35">
        <v>10661405.68</v>
      </c>
      <c r="E18" s="54"/>
      <c r="F18" s="17"/>
      <c r="G18" s="15" t="s">
        <v>47</v>
      </c>
      <c r="H18" s="17"/>
      <c r="I18" s="17"/>
      <c r="J18" s="17"/>
      <c r="K18" s="17"/>
      <c r="L18" s="17"/>
    </row>
    <row r="19" spans="1:14" x14ac:dyDescent="0.25">
      <c r="A19" s="15" t="s">
        <v>48</v>
      </c>
      <c r="B19" s="35">
        <v>7071438.3300000001</v>
      </c>
      <c r="C19" s="54">
        <f>(B19+B20+B21)/B25*100</f>
        <v>30.056121172869531</v>
      </c>
      <c r="D19" s="35">
        <v>8380583.2300000004</v>
      </c>
      <c r="E19" s="54">
        <f>(D19+D20+D21)/D25*100</f>
        <v>23.42185572128815</v>
      </c>
      <c r="F19" s="17"/>
      <c r="G19" s="17"/>
      <c r="H19" s="17"/>
      <c r="I19" s="17"/>
      <c r="J19" s="17"/>
      <c r="K19" s="17"/>
      <c r="L19" s="17"/>
    </row>
    <row r="20" spans="1:14" x14ac:dyDescent="0.25">
      <c r="A20" s="15" t="s">
        <v>20</v>
      </c>
      <c r="B20" s="35">
        <v>6641544.5899999999</v>
      </c>
      <c r="C20" s="54"/>
      <c r="D20" s="35">
        <v>9711265.4800000004</v>
      </c>
      <c r="E20" s="54"/>
    </row>
    <row r="21" spans="1:14" x14ac:dyDescent="0.25">
      <c r="A21" s="15" t="s">
        <v>21</v>
      </c>
      <c r="B21" s="35">
        <v>7094293.5199999996</v>
      </c>
      <c r="C21" s="54"/>
      <c r="D21" s="35">
        <v>8994032.7799999993</v>
      </c>
      <c r="E21" s="54"/>
    </row>
    <row r="22" spans="1:14" x14ac:dyDescent="0.25">
      <c r="A22" s="15" t="s">
        <v>22</v>
      </c>
      <c r="B22" s="35">
        <v>6614420.8099999996</v>
      </c>
      <c r="C22" s="54">
        <f>(B22+B23+B24)/B25*100</f>
        <v>32.635262973155896</v>
      </c>
      <c r="D22" s="35">
        <v>10615421.470000001</v>
      </c>
      <c r="E22" s="54">
        <f>(D22+D23+D24)/D25*100</f>
        <v>27.757596441299036</v>
      </c>
      <c r="F22" s="16">
        <f>E6*E22/100</f>
        <v>29628.014319899528</v>
      </c>
    </row>
    <row r="23" spans="1:14" x14ac:dyDescent="0.25">
      <c r="A23" s="15" t="s">
        <v>23</v>
      </c>
      <c r="B23" s="35">
        <v>7099921.4500000002</v>
      </c>
      <c r="C23" s="17"/>
      <c r="D23" s="35">
        <v>11461849.859999999</v>
      </c>
      <c r="E23" s="17"/>
      <c r="F23" s="17"/>
      <c r="G23" s="17"/>
      <c r="H23" s="17"/>
      <c r="I23" s="17"/>
      <c r="J23" s="17"/>
      <c r="K23" s="17"/>
      <c r="L23" s="17"/>
    </row>
    <row r="24" spans="1:14" x14ac:dyDescent="0.25">
      <c r="A24" s="15" t="s">
        <v>24</v>
      </c>
      <c r="B24" s="35">
        <v>8878424.5999999996</v>
      </c>
      <c r="D24" s="35">
        <v>10022617.619999999</v>
      </c>
    </row>
    <row r="25" spans="1:14" x14ac:dyDescent="0.25">
      <c r="B25" s="53">
        <f>SUM(B13:B24)</f>
        <v>69228082.75999999</v>
      </c>
      <c r="C25" s="53">
        <f>SUM(C13:C24)</f>
        <v>100</v>
      </c>
      <c r="D25" s="53">
        <f>SUM(D13:D24)</f>
        <v>115643618.56</v>
      </c>
      <c r="E25" s="16">
        <f>SUM(E13:E24)</f>
        <v>100</v>
      </c>
    </row>
    <row r="26" spans="1:14" x14ac:dyDescent="0.25"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9" spans="1:14" x14ac:dyDescent="0.25">
      <c r="A29" s="15" t="s">
        <v>50</v>
      </c>
    </row>
    <row r="30" spans="1:14" x14ac:dyDescent="0.25">
      <c r="B30" s="15">
        <v>2017</v>
      </c>
      <c r="D30" s="16">
        <v>2018</v>
      </c>
    </row>
    <row r="31" spans="1:14" x14ac:dyDescent="0.25">
      <c r="A31" s="15" t="s">
        <v>42</v>
      </c>
      <c r="B31" s="35">
        <v>1048202.42</v>
      </c>
      <c r="C31" s="54">
        <f>(B31+B32+B33)/B43*100</f>
        <v>12.1948785659285</v>
      </c>
      <c r="D31" s="35">
        <v>1804466.33</v>
      </c>
      <c r="E31" s="54">
        <f>(D31+D32+D33)/D43*100</f>
        <v>19.609743577423117</v>
      </c>
    </row>
    <row r="32" spans="1:14" x14ac:dyDescent="0.25">
      <c r="A32" s="15" t="s">
        <v>43</v>
      </c>
      <c r="B32" s="35">
        <v>5639762.8700000001</v>
      </c>
      <c r="C32" s="54"/>
      <c r="D32" s="35">
        <v>14598026.84</v>
      </c>
      <c r="E32" s="54"/>
    </row>
    <row r="33" spans="1:6" x14ac:dyDescent="0.25">
      <c r="A33" s="15" t="s">
        <v>44</v>
      </c>
      <c r="B33" s="35">
        <v>4251646.32</v>
      </c>
      <c r="C33" s="54"/>
      <c r="D33" s="35">
        <v>10437025.92</v>
      </c>
      <c r="E33" s="54"/>
    </row>
    <row r="34" spans="1:6" x14ac:dyDescent="0.25">
      <c r="A34" s="15" t="s">
        <v>45</v>
      </c>
      <c r="B34" s="35">
        <v>8655440.2100000009</v>
      </c>
      <c r="C34" s="54">
        <f>(B34+B35+B36)/B43*100</f>
        <v>25.492869978623965</v>
      </c>
      <c r="D34" s="35">
        <v>10883167.08</v>
      </c>
      <c r="E34" s="54">
        <f>(D34+D35+D36)/D43*100</f>
        <v>29.143841589872228</v>
      </c>
    </row>
    <row r="35" spans="1:6" x14ac:dyDescent="0.25">
      <c r="A35" s="15" t="s">
        <v>46</v>
      </c>
      <c r="B35" s="35">
        <v>7035336.9699999997</v>
      </c>
      <c r="C35" s="54"/>
      <c r="D35" s="35">
        <v>15334346.24</v>
      </c>
      <c r="E35" s="54"/>
    </row>
    <row r="36" spans="1:6" x14ac:dyDescent="0.25">
      <c r="A36" s="15" t="s">
        <v>47</v>
      </c>
      <c r="B36" s="35">
        <v>7178011.1299999999</v>
      </c>
      <c r="C36" s="54"/>
      <c r="D36" s="35">
        <v>13671161.9</v>
      </c>
      <c r="E36" s="54"/>
    </row>
    <row r="37" spans="1:6" x14ac:dyDescent="0.25">
      <c r="A37" s="15" t="s">
        <v>48</v>
      </c>
      <c r="B37" s="35">
        <v>8549551.1699999999</v>
      </c>
      <c r="C37" s="54">
        <f>(B37+B38+B39)/B43*100</f>
        <v>30.037025301318408</v>
      </c>
      <c r="D37" s="35">
        <v>9654861.2599999998</v>
      </c>
      <c r="E37" s="54">
        <f>(D37+D38+D39)/D43*100</f>
        <v>22.779448255914122</v>
      </c>
    </row>
    <row r="38" spans="1:6" x14ac:dyDescent="0.25">
      <c r="A38" s="15" t="s">
        <v>20</v>
      </c>
      <c r="B38" s="35">
        <v>8401419.0399999991</v>
      </c>
      <c r="C38" s="54"/>
      <c r="D38" s="35">
        <v>10879409.779999999</v>
      </c>
      <c r="E38" s="54"/>
    </row>
    <row r="39" spans="1:6" x14ac:dyDescent="0.25">
      <c r="A39" s="15" t="s">
        <v>21</v>
      </c>
      <c r="B39" s="35">
        <v>9994225.5899999999</v>
      </c>
      <c r="C39" s="54"/>
      <c r="D39" s="35">
        <v>10643568.380000001</v>
      </c>
      <c r="E39" s="54"/>
    </row>
    <row r="40" spans="1:6" x14ac:dyDescent="0.25">
      <c r="A40" s="15" t="s">
        <v>22</v>
      </c>
      <c r="B40" s="35">
        <v>9100611.5600000005</v>
      </c>
      <c r="C40" s="54">
        <f>(B40+B41+B42)/B43*100</f>
        <v>32.275226154129122</v>
      </c>
      <c r="D40" s="35">
        <v>11625488.34</v>
      </c>
      <c r="E40" s="54">
        <f>(D40+D41+D42)/D43*100</f>
        <v>28.466966576790533</v>
      </c>
    </row>
    <row r="41" spans="1:6" x14ac:dyDescent="0.25">
      <c r="A41" s="15" t="s">
        <v>23</v>
      </c>
      <c r="B41" s="35">
        <v>9808874.0399999991</v>
      </c>
      <c r="C41" s="17"/>
      <c r="D41" s="35">
        <v>14745839.48</v>
      </c>
      <c r="E41" s="17"/>
    </row>
    <row r="42" spans="1:6" x14ac:dyDescent="0.25">
      <c r="A42" s="15" t="s">
        <v>24</v>
      </c>
      <c r="B42" s="35">
        <v>10043524.210000001</v>
      </c>
      <c r="D42" s="35">
        <v>12590920.199999999</v>
      </c>
      <c r="F42" s="16">
        <f>E5*28/100</f>
        <v>35210.168000000005</v>
      </c>
    </row>
    <row r="43" spans="1:6" x14ac:dyDescent="0.25">
      <c r="B43" s="53">
        <f>SUM(B31:B42)</f>
        <v>89706605.530000001</v>
      </c>
      <c r="C43" s="53">
        <f>SUM(C31:C42)</f>
        <v>100</v>
      </c>
      <c r="D43" s="53">
        <f>SUM(D31:D42)</f>
        <v>136868281.75</v>
      </c>
      <c r="E43" s="16">
        <f>SUM(E31:E42)</f>
        <v>100</v>
      </c>
    </row>
  </sheetData>
  <pageMargins left="0.11811023622047245" right="0.11811023622047245" top="0.74803149606299213" bottom="0.74803149606299213" header="0.31496062992125984" footer="0.31496062992125984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D28"/>
  <sheetViews>
    <sheetView topLeftCell="A4" workbookViewId="0">
      <selection activeCell="G28" sqref="G28"/>
    </sheetView>
  </sheetViews>
  <sheetFormatPr defaultRowHeight="15" x14ac:dyDescent="0.25"/>
  <cols>
    <col min="1" max="1" width="6" customWidth="1"/>
    <col min="2" max="2" width="36.85546875" customWidth="1"/>
    <col min="3" max="3" width="38.42578125" customWidth="1"/>
    <col min="6" max="6" width="15" customWidth="1"/>
  </cols>
  <sheetData>
    <row r="4" spans="1:4" ht="16.5" thickBot="1" x14ac:dyDescent="0.3">
      <c r="A4" s="16"/>
      <c r="B4" s="16" t="s">
        <v>95</v>
      </c>
      <c r="C4" s="16"/>
    </row>
    <row r="5" spans="1:4" ht="16.5" thickBot="1" x14ac:dyDescent="0.3">
      <c r="A5" s="108"/>
      <c r="B5" s="109" t="s">
        <v>88</v>
      </c>
      <c r="C5" s="111" t="e">
        <f>#REF!</f>
        <v>#REF!</v>
      </c>
    </row>
    <row r="6" spans="1:4" ht="16.5" thickBot="1" x14ac:dyDescent="0.3">
      <c r="A6" s="116"/>
      <c r="B6" s="110" t="s">
        <v>77</v>
      </c>
      <c r="C6" s="112">
        <v>12699.2</v>
      </c>
    </row>
    <row r="7" spans="1:4" ht="16.5" thickBot="1" x14ac:dyDescent="0.3">
      <c r="A7" s="116"/>
      <c r="B7" s="110" t="s">
        <v>89</v>
      </c>
      <c r="C7" s="112">
        <v>13461.6</v>
      </c>
    </row>
    <row r="8" spans="1:4" ht="16.5" thickBot="1" x14ac:dyDescent="0.3">
      <c r="A8" s="116"/>
      <c r="B8" s="110" t="s">
        <v>78</v>
      </c>
      <c r="C8" s="113">
        <f>C7/C6</f>
        <v>1.0600352778127755</v>
      </c>
    </row>
    <row r="9" spans="1:4" ht="16.5" thickBot="1" x14ac:dyDescent="0.3">
      <c r="A9" s="116"/>
      <c r="B9" s="115" t="s">
        <v>90</v>
      </c>
      <c r="C9" s="114" t="e">
        <f>C5*C8</f>
        <v>#REF!</v>
      </c>
    </row>
    <row r="10" spans="1:4" ht="16.5" thickBot="1" x14ac:dyDescent="0.3">
      <c r="A10" s="116"/>
      <c r="B10" s="110" t="s">
        <v>91</v>
      </c>
      <c r="C10" s="112">
        <v>14193</v>
      </c>
    </row>
    <row r="11" spans="1:4" ht="16.5" thickBot="1" x14ac:dyDescent="0.3">
      <c r="A11" s="116"/>
      <c r="B11" s="110" t="s">
        <v>78</v>
      </c>
      <c r="C11" s="113">
        <f>C10/C7</f>
        <v>1.0543323230522375</v>
      </c>
    </row>
    <row r="12" spans="1:4" ht="16.5" thickBot="1" x14ac:dyDescent="0.3">
      <c r="A12" s="117"/>
      <c r="B12" s="118" t="s">
        <v>92</v>
      </c>
      <c r="C12" s="114" t="e">
        <f>ROUND(C9*C11,1)</f>
        <v>#REF!</v>
      </c>
    </row>
    <row r="13" spans="1:4" ht="32.25" thickBot="1" x14ac:dyDescent="0.3">
      <c r="A13" s="16"/>
      <c r="B13" s="119" t="s">
        <v>93</v>
      </c>
      <c r="C13" s="120">
        <v>2752703.1</v>
      </c>
      <c r="D13" t="s">
        <v>87</v>
      </c>
    </row>
    <row r="14" spans="1:4" ht="32.25" thickBot="1" x14ac:dyDescent="0.3">
      <c r="A14" s="16"/>
      <c r="B14" s="119" t="s">
        <v>94</v>
      </c>
      <c r="C14" s="120">
        <v>2737900.8</v>
      </c>
      <c r="D14" t="s">
        <v>87</v>
      </c>
    </row>
    <row r="18" spans="1:4" ht="16.5" thickBot="1" x14ac:dyDescent="0.3">
      <c r="A18" s="16"/>
      <c r="B18" s="16" t="s">
        <v>86</v>
      </c>
      <c r="C18" s="16"/>
    </row>
    <row r="19" spans="1:4" ht="16.5" thickBot="1" x14ac:dyDescent="0.3">
      <c r="A19" s="108"/>
      <c r="B19" s="109" t="s">
        <v>37</v>
      </c>
      <c r="C19" s="111">
        <v>2769840</v>
      </c>
    </row>
    <row r="20" spans="1:4" ht="16.5" thickBot="1" x14ac:dyDescent="0.3">
      <c r="A20" s="116"/>
      <c r="B20" s="110" t="s">
        <v>76</v>
      </c>
      <c r="C20" s="112">
        <v>11800.2</v>
      </c>
    </row>
    <row r="21" spans="1:4" ht="16.5" thickBot="1" x14ac:dyDescent="0.3">
      <c r="A21" s="116"/>
      <c r="B21" s="110" t="s">
        <v>77</v>
      </c>
      <c r="C21" s="112">
        <v>12696.9</v>
      </c>
    </row>
    <row r="22" spans="1:4" ht="16.5" thickBot="1" x14ac:dyDescent="0.3">
      <c r="A22" s="116"/>
      <c r="B22" s="110" t="s">
        <v>78</v>
      </c>
      <c r="C22" s="113">
        <v>1.0759902374536023</v>
      </c>
    </row>
    <row r="23" spans="1:4" ht="16.5" thickBot="1" x14ac:dyDescent="0.3">
      <c r="A23" s="116"/>
      <c r="B23" s="115" t="s">
        <v>80</v>
      </c>
      <c r="C23" s="114">
        <v>2980320.7993084858</v>
      </c>
    </row>
    <row r="24" spans="1:4" ht="16.5" thickBot="1" x14ac:dyDescent="0.3">
      <c r="A24" s="116"/>
      <c r="B24" s="110" t="s">
        <v>79</v>
      </c>
      <c r="C24" s="112">
        <v>14193</v>
      </c>
    </row>
    <row r="25" spans="1:4" ht="16.5" thickBot="1" x14ac:dyDescent="0.3">
      <c r="A25" s="116"/>
      <c r="B25" s="110" t="s">
        <v>78</v>
      </c>
      <c r="C25" s="113">
        <v>1.1178319117264846</v>
      </c>
    </row>
    <row r="26" spans="1:4" ht="16.5" thickBot="1" x14ac:dyDescent="0.3">
      <c r="A26" s="117"/>
      <c r="B26" s="118" t="s">
        <v>81</v>
      </c>
      <c r="C26" s="114">
        <v>3331497.7</v>
      </c>
    </row>
    <row r="27" spans="1:4" ht="32.25" thickBot="1" x14ac:dyDescent="0.3">
      <c r="A27" s="16"/>
      <c r="B27" s="119" t="s">
        <v>82</v>
      </c>
      <c r="C27" s="120">
        <v>2980320.8</v>
      </c>
      <c r="D27" t="s">
        <v>87</v>
      </c>
    </row>
    <row r="28" spans="1:4" ht="32.25" thickBot="1" x14ac:dyDescent="0.3">
      <c r="A28" s="16"/>
      <c r="B28" s="119" t="s">
        <v>83</v>
      </c>
      <c r="C28" s="120">
        <v>3176201.5</v>
      </c>
      <c r="D28" t="s">
        <v>87</v>
      </c>
    </row>
  </sheetData>
  <pageMargins left="0.31496062992125984" right="0.11811023622047245" top="0.74803149606299213" bottom="0.74803149606299213" header="0.31496062992125984" footer="0.31496062992125984"/>
  <pageSetup paperSize="9" scale="8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10" sqref="A10:B10"/>
    </sheetView>
  </sheetViews>
  <sheetFormatPr defaultRowHeight="15" x14ac:dyDescent="0.25"/>
  <cols>
    <col min="1" max="1" width="7.85546875" style="67" customWidth="1"/>
    <col min="2" max="2" width="8.5703125" style="67" customWidth="1"/>
    <col min="3" max="3" width="38.28515625" style="67" customWidth="1"/>
    <col min="4" max="4" width="56.5703125" style="67" customWidth="1"/>
    <col min="5" max="5" width="14.85546875" style="67" customWidth="1"/>
    <col min="6" max="6" width="10" style="67" bestFit="1" customWidth="1"/>
    <col min="7" max="7" width="9.140625" style="67"/>
    <col min="8" max="8" width="15.5703125" style="67" customWidth="1"/>
    <col min="9" max="254" width="9.140625" style="67"/>
    <col min="255" max="255" width="27.7109375" style="67" customWidth="1"/>
    <col min="256" max="256" width="22.85546875" style="67" customWidth="1"/>
    <col min="257" max="257" width="14.140625" style="67" customWidth="1"/>
    <col min="258" max="258" width="11.7109375" style="67" bestFit="1" customWidth="1"/>
    <col min="259" max="259" width="9" style="67" bestFit="1" customWidth="1"/>
    <col min="260" max="260" width="14.85546875" style="67" customWidth="1"/>
    <col min="261" max="510" width="9.140625" style="67"/>
    <col min="511" max="511" width="27.7109375" style="67" customWidth="1"/>
    <col min="512" max="512" width="22.85546875" style="67" customWidth="1"/>
    <col min="513" max="513" width="14.140625" style="67" customWidth="1"/>
    <col min="514" max="514" width="11.7109375" style="67" bestFit="1" customWidth="1"/>
    <col min="515" max="515" width="9" style="67" bestFit="1" customWidth="1"/>
    <col min="516" max="516" width="14.85546875" style="67" customWidth="1"/>
    <col min="517" max="766" width="9.140625" style="67"/>
    <col min="767" max="767" width="27.7109375" style="67" customWidth="1"/>
    <col min="768" max="768" width="22.85546875" style="67" customWidth="1"/>
    <col min="769" max="769" width="14.140625" style="67" customWidth="1"/>
    <col min="770" max="770" width="11.7109375" style="67" bestFit="1" customWidth="1"/>
    <col min="771" max="771" width="9" style="67" bestFit="1" customWidth="1"/>
    <col min="772" max="772" width="14.85546875" style="67" customWidth="1"/>
    <col min="773" max="1022" width="9.140625" style="67"/>
    <col min="1023" max="1023" width="27.7109375" style="67" customWidth="1"/>
    <col min="1024" max="1024" width="22.85546875" style="67" customWidth="1"/>
    <col min="1025" max="1025" width="14.140625" style="67" customWidth="1"/>
    <col min="1026" max="1026" width="11.7109375" style="67" bestFit="1" customWidth="1"/>
    <col min="1027" max="1027" width="9" style="67" bestFit="1" customWidth="1"/>
    <col min="1028" max="1028" width="14.85546875" style="67" customWidth="1"/>
    <col min="1029" max="1278" width="9.140625" style="67"/>
    <col min="1279" max="1279" width="27.7109375" style="67" customWidth="1"/>
    <col min="1280" max="1280" width="22.85546875" style="67" customWidth="1"/>
    <col min="1281" max="1281" width="14.140625" style="67" customWidth="1"/>
    <col min="1282" max="1282" width="11.7109375" style="67" bestFit="1" customWidth="1"/>
    <col min="1283" max="1283" width="9" style="67" bestFit="1" customWidth="1"/>
    <col min="1284" max="1284" width="14.85546875" style="67" customWidth="1"/>
    <col min="1285" max="1534" width="9.140625" style="67"/>
    <col min="1535" max="1535" width="27.7109375" style="67" customWidth="1"/>
    <col min="1536" max="1536" width="22.85546875" style="67" customWidth="1"/>
    <col min="1537" max="1537" width="14.140625" style="67" customWidth="1"/>
    <col min="1538" max="1538" width="11.7109375" style="67" bestFit="1" customWidth="1"/>
    <col min="1539" max="1539" width="9" style="67" bestFit="1" customWidth="1"/>
    <col min="1540" max="1540" width="14.85546875" style="67" customWidth="1"/>
    <col min="1541" max="1790" width="9.140625" style="67"/>
    <col min="1791" max="1791" width="27.7109375" style="67" customWidth="1"/>
    <col min="1792" max="1792" width="22.85546875" style="67" customWidth="1"/>
    <col min="1793" max="1793" width="14.140625" style="67" customWidth="1"/>
    <col min="1794" max="1794" width="11.7109375" style="67" bestFit="1" customWidth="1"/>
    <col min="1795" max="1795" width="9" style="67" bestFit="1" customWidth="1"/>
    <col min="1796" max="1796" width="14.85546875" style="67" customWidth="1"/>
    <col min="1797" max="2046" width="9.140625" style="67"/>
    <col min="2047" max="2047" width="27.7109375" style="67" customWidth="1"/>
    <col min="2048" max="2048" width="22.85546875" style="67" customWidth="1"/>
    <col min="2049" max="2049" width="14.140625" style="67" customWidth="1"/>
    <col min="2050" max="2050" width="11.7109375" style="67" bestFit="1" customWidth="1"/>
    <col min="2051" max="2051" width="9" style="67" bestFit="1" customWidth="1"/>
    <col min="2052" max="2052" width="14.85546875" style="67" customWidth="1"/>
    <col min="2053" max="2302" width="9.140625" style="67"/>
    <col min="2303" max="2303" width="27.7109375" style="67" customWidth="1"/>
    <col min="2304" max="2304" width="22.85546875" style="67" customWidth="1"/>
    <col min="2305" max="2305" width="14.140625" style="67" customWidth="1"/>
    <col min="2306" max="2306" width="11.7109375" style="67" bestFit="1" customWidth="1"/>
    <col min="2307" max="2307" width="9" style="67" bestFit="1" customWidth="1"/>
    <col min="2308" max="2308" width="14.85546875" style="67" customWidth="1"/>
    <col min="2309" max="2558" width="9.140625" style="67"/>
    <col min="2559" max="2559" width="27.7109375" style="67" customWidth="1"/>
    <col min="2560" max="2560" width="22.85546875" style="67" customWidth="1"/>
    <col min="2561" max="2561" width="14.140625" style="67" customWidth="1"/>
    <col min="2562" max="2562" width="11.7109375" style="67" bestFit="1" customWidth="1"/>
    <col min="2563" max="2563" width="9" style="67" bestFit="1" customWidth="1"/>
    <col min="2564" max="2564" width="14.85546875" style="67" customWidth="1"/>
    <col min="2565" max="2814" width="9.140625" style="67"/>
    <col min="2815" max="2815" width="27.7109375" style="67" customWidth="1"/>
    <col min="2816" max="2816" width="22.85546875" style="67" customWidth="1"/>
    <col min="2817" max="2817" width="14.140625" style="67" customWidth="1"/>
    <col min="2818" max="2818" width="11.7109375" style="67" bestFit="1" customWidth="1"/>
    <col min="2819" max="2819" width="9" style="67" bestFit="1" customWidth="1"/>
    <col min="2820" max="2820" width="14.85546875" style="67" customWidth="1"/>
    <col min="2821" max="3070" width="9.140625" style="67"/>
    <col min="3071" max="3071" width="27.7109375" style="67" customWidth="1"/>
    <col min="3072" max="3072" width="22.85546875" style="67" customWidth="1"/>
    <col min="3073" max="3073" width="14.140625" style="67" customWidth="1"/>
    <col min="3074" max="3074" width="11.7109375" style="67" bestFit="1" customWidth="1"/>
    <col min="3075" max="3075" width="9" style="67" bestFit="1" customWidth="1"/>
    <col min="3076" max="3076" width="14.85546875" style="67" customWidth="1"/>
    <col min="3077" max="3326" width="9.140625" style="67"/>
    <col min="3327" max="3327" width="27.7109375" style="67" customWidth="1"/>
    <col min="3328" max="3328" width="22.85546875" style="67" customWidth="1"/>
    <col min="3329" max="3329" width="14.140625" style="67" customWidth="1"/>
    <col min="3330" max="3330" width="11.7109375" style="67" bestFit="1" customWidth="1"/>
    <col min="3331" max="3331" width="9" style="67" bestFit="1" customWidth="1"/>
    <col min="3332" max="3332" width="14.85546875" style="67" customWidth="1"/>
    <col min="3333" max="3582" width="9.140625" style="67"/>
    <col min="3583" max="3583" width="27.7109375" style="67" customWidth="1"/>
    <col min="3584" max="3584" width="22.85546875" style="67" customWidth="1"/>
    <col min="3585" max="3585" width="14.140625" style="67" customWidth="1"/>
    <col min="3586" max="3586" width="11.7109375" style="67" bestFit="1" customWidth="1"/>
    <col min="3587" max="3587" width="9" style="67" bestFit="1" customWidth="1"/>
    <col min="3588" max="3588" width="14.85546875" style="67" customWidth="1"/>
    <col min="3589" max="3838" width="9.140625" style="67"/>
    <col min="3839" max="3839" width="27.7109375" style="67" customWidth="1"/>
    <col min="3840" max="3840" width="22.85546875" style="67" customWidth="1"/>
    <col min="3841" max="3841" width="14.140625" style="67" customWidth="1"/>
    <col min="3842" max="3842" width="11.7109375" style="67" bestFit="1" customWidth="1"/>
    <col min="3843" max="3843" width="9" style="67" bestFit="1" customWidth="1"/>
    <col min="3844" max="3844" width="14.85546875" style="67" customWidth="1"/>
    <col min="3845" max="4094" width="9.140625" style="67"/>
    <col min="4095" max="4095" width="27.7109375" style="67" customWidth="1"/>
    <col min="4096" max="4096" width="22.85546875" style="67" customWidth="1"/>
    <col min="4097" max="4097" width="14.140625" style="67" customWidth="1"/>
    <col min="4098" max="4098" width="11.7109375" style="67" bestFit="1" customWidth="1"/>
    <col min="4099" max="4099" width="9" style="67" bestFit="1" customWidth="1"/>
    <col min="4100" max="4100" width="14.85546875" style="67" customWidth="1"/>
    <col min="4101" max="4350" width="9.140625" style="67"/>
    <col min="4351" max="4351" width="27.7109375" style="67" customWidth="1"/>
    <col min="4352" max="4352" width="22.85546875" style="67" customWidth="1"/>
    <col min="4353" max="4353" width="14.140625" style="67" customWidth="1"/>
    <col min="4354" max="4354" width="11.7109375" style="67" bestFit="1" customWidth="1"/>
    <col min="4355" max="4355" width="9" style="67" bestFit="1" customWidth="1"/>
    <col min="4356" max="4356" width="14.85546875" style="67" customWidth="1"/>
    <col min="4357" max="4606" width="9.140625" style="67"/>
    <col min="4607" max="4607" width="27.7109375" style="67" customWidth="1"/>
    <col min="4608" max="4608" width="22.85546875" style="67" customWidth="1"/>
    <col min="4609" max="4609" width="14.140625" style="67" customWidth="1"/>
    <col min="4610" max="4610" width="11.7109375" style="67" bestFit="1" customWidth="1"/>
    <col min="4611" max="4611" width="9" style="67" bestFit="1" customWidth="1"/>
    <col min="4612" max="4612" width="14.85546875" style="67" customWidth="1"/>
    <col min="4613" max="4862" width="9.140625" style="67"/>
    <col min="4863" max="4863" width="27.7109375" style="67" customWidth="1"/>
    <col min="4864" max="4864" width="22.85546875" style="67" customWidth="1"/>
    <col min="4865" max="4865" width="14.140625" style="67" customWidth="1"/>
    <col min="4866" max="4866" width="11.7109375" style="67" bestFit="1" customWidth="1"/>
    <col min="4867" max="4867" width="9" style="67" bestFit="1" customWidth="1"/>
    <col min="4868" max="4868" width="14.85546875" style="67" customWidth="1"/>
    <col min="4869" max="5118" width="9.140625" style="67"/>
    <col min="5119" max="5119" width="27.7109375" style="67" customWidth="1"/>
    <col min="5120" max="5120" width="22.85546875" style="67" customWidth="1"/>
    <col min="5121" max="5121" width="14.140625" style="67" customWidth="1"/>
    <col min="5122" max="5122" width="11.7109375" style="67" bestFit="1" customWidth="1"/>
    <col min="5123" max="5123" width="9" style="67" bestFit="1" customWidth="1"/>
    <col min="5124" max="5124" width="14.85546875" style="67" customWidth="1"/>
    <col min="5125" max="5374" width="9.140625" style="67"/>
    <col min="5375" max="5375" width="27.7109375" style="67" customWidth="1"/>
    <col min="5376" max="5376" width="22.85546875" style="67" customWidth="1"/>
    <col min="5377" max="5377" width="14.140625" style="67" customWidth="1"/>
    <col min="5378" max="5378" width="11.7109375" style="67" bestFit="1" customWidth="1"/>
    <col min="5379" max="5379" width="9" style="67" bestFit="1" customWidth="1"/>
    <col min="5380" max="5380" width="14.85546875" style="67" customWidth="1"/>
    <col min="5381" max="5630" width="9.140625" style="67"/>
    <col min="5631" max="5631" width="27.7109375" style="67" customWidth="1"/>
    <col min="5632" max="5632" width="22.85546875" style="67" customWidth="1"/>
    <col min="5633" max="5633" width="14.140625" style="67" customWidth="1"/>
    <col min="5634" max="5634" width="11.7109375" style="67" bestFit="1" customWidth="1"/>
    <col min="5635" max="5635" width="9" style="67" bestFit="1" customWidth="1"/>
    <col min="5636" max="5636" width="14.85546875" style="67" customWidth="1"/>
    <col min="5637" max="5886" width="9.140625" style="67"/>
    <col min="5887" max="5887" width="27.7109375" style="67" customWidth="1"/>
    <col min="5888" max="5888" width="22.85546875" style="67" customWidth="1"/>
    <col min="5889" max="5889" width="14.140625" style="67" customWidth="1"/>
    <col min="5890" max="5890" width="11.7109375" style="67" bestFit="1" customWidth="1"/>
    <col min="5891" max="5891" width="9" style="67" bestFit="1" customWidth="1"/>
    <col min="5892" max="5892" width="14.85546875" style="67" customWidth="1"/>
    <col min="5893" max="6142" width="9.140625" style="67"/>
    <col min="6143" max="6143" width="27.7109375" style="67" customWidth="1"/>
    <col min="6144" max="6144" width="22.85546875" style="67" customWidth="1"/>
    <col min="6145" max="6145" width="14.140625" style="67" customWidth="1"/>
    <col min="6146" max="6146" width="11.7109375" style="67" bestFit="1" customWidth="1"/>
    <col min="6147" max="6147" width="9" style="67" bestFit="1" customWidth="1"/>
    <col min="6148" max="6148" width="14.85546875" style="67" customWidth="1"/>
    <col min="6149" max="6398" width="9.140625" style="67"/>
    <col min="6399" max="6399" width="27.7109375" style="67" customWidth="1"/>
    <col min="6400" max="6400" width="22.85546875" style="67" customWidth="1"/>
    <col min="6401" max="6401" width="14.140625" style="67" customWidth="1"/>
    <col min="6402" max="6402" width="11.7109375" style="67" bestFit="1" customWidth="1"/>
    <col min="6403" max="6403" width="9" style="67" bestFit="1" customWidth="1"/>
    <col min="6404" max="6404" width="14.85546875" style="67" customWidth="1"/>
    <col min="6405" max="6654" width="9.140625" style="67"/>
    <col min="6655" max="6655" width="27.7109375" style="67" customWidth="1"/>
    <col min="6656" max="6656" width="22.85546875" style="67" customWidth="1"/>
    <col min="6657" max="6657" width="14.140625" style="67" customWidth="1"/>
    <col min="6658" max="6658" width="11.7109375" style="67" bestFit="1" customWidth="1"/>
    <col min="6659" max="6659" width="9" style="67" bestFit="1" customWidth="1"/>
    <col min="6660" max="6660" width="14.85546875" style="67" customWidth="1"/>
    <col min="6661" max="6910" width="9.140625" style="67"/>
    <col min="6911" max="6911" width="27.7109375" style="67" customWidth="1"/>
    <col min="6912" max="6912" width="22.85546875" style="67" customWidth="1"/>
    <col min="6913" max="6913" width="14.140625" style="67" customWidth="1"/>
    <col min="6914" max="6914" width="11.7109375" style="67" bestFit="1" customWidth="1"/>
    <col min="6915" max="6915" width="9" style="67" bestFit="1" customWidth="1"/>
    <col min="6916" max="6916" width="14.85546875" style="67" customWidth="1"/>
    <col min="6917" max="7166" width="9.140625" style="67"/>
    <col min="7167" max="7167" width="27.7109375" style="67" customWidth="1"/>
    <col min="7168" max="7168" width="22.85546875" style="67" customWidth="1"/>
    <col min="7169" max="7169" width="14.140625" style="67" customWidth="1"/>
    <col min="7170" max="7170" width="11.7109375" style="67" bestFit="1" customWidth="1"/>
    <col min="7171" max="7171" width="9" style="67" bestFit="1" customWidth="1"/>
    <col min="7172" max="7172" width="14.85546875" style="67" customWidth="1"/>
    <col min="7173" max="7422" width="9.140625" style="67"/>
    <col min="7423" max="7423" width="27.7109375" style="67" customWidth="1"/>
    <col min="7424" max="7424" width="22.85546875" style="67" customWidth="1"/>
    <col min="7425" max="7425" width="14.140625" style="67" customWidth="1"/>
    <col min="7426" max="7426" width="11.7109375" style="67" bestFit="1" customWidth="1"/>
    <col min="7427" max="7427" width="9" style="67" bestFit="1" customWidth="1"/>
    <col min="7428" max="7428" width="14.85546875" style="67" customWidth="1"/>
    <col min="7429" max="7678" width="9.140625" style="67"/>
    <col min="7679" max="7679" width="27.7109375" style="67" customWidth="1"/>
    <col min="7680" max="7680" width="22.85546875" style="67" customWidth="1"/>
    <col min="7681" max="7681" width="14.140625" style="67" customWidth="1"/>
    <col min="7682" max="7682" width="11.7109375" style="67" bestFit="1" customWidth="1"/>
    <col min="7683" max="7683" width="9" style="67" bestFit="1" customWidth="1"/>
    <col min="7684" max="7684" width="14.85546875" style="67" customWidth="1"/>
    <col min="7685" max="7934" width="9.140625" style="67"/>
    <col min="7935" max="7935" width="27.7109375" style="67" customWidth="1"/>
    <col min="7936" max="7936" width="22.85546875" style="67" customWidth="1"/>
    <col min="7937" max="7937" width="14.140625" style="67" customWidth="1"/>
    <col min="7938" max="7938" width="11.7109375" style="67" bestFit="1" customWidth="1"/>
    <col min="7939" max="7939" width="9" style="67" bestFit="1" customWidth="1"/>
    <col min="7940" max="7940" width="14.85546875" style="67" customWidth="1"/>
    <col min="7941" max="8190" width="9.140625" style="67"/>
    <col min="8191" max="8191" width="27.7109375" style="67" customWidth="1"/>
    <col min="8192" max="8192" width="22.85546875" style="67" customWidth="1"/>
    <col min="8193" max="8193" width="14.140625" style="67" customWidth="1"/>
    <col min="8194" max="8194" width="11.7109375" style="67" bestFit="1" customWidth="1"/>
    <col min="8195" max="8195" width="9" style="67" bestFit="1" customWidth="1"/>
    <col min="8196" max="8196" width="14.85546875" style="67" customWidth="1"/>
    <col min="8197" max="8446" width="9.140625" style="67"/>
    <col min="8447" max="8447" width="27.7109375" style="67" customWidth="1"/>
    <col min="8448" max="8448" width="22.85546875" style="67" customWidth="1"/>
    <col min="8449" max="8449" width="14.140625" style="67" customWidth="1"/>
    <col min="8450" max="8450" width="11.7109375" style="67" bestFit="1" customWidth="1"/>
    <col min="8451" max="8451" width="9" style="67" bestFit="1" customWidth="1"/>
    <col min="8452" max="8452" width="14.85546875" style="67" customWidth="1"/>
    <col min="8453" max="8702" width="9.140625" style="67"/>
    <col min="8703" max="8703" width="27.7109375" style="67" customWidth="1"/>
    <col min="8704" max="8704" width="22.85546875" style="67" customWidth="1"/>
    <col min="8705" max="8705" width="14.140625" style="67" customWidth="1"/>
    <col min="8706" max="8706" width="11.7109375" style="67" bestFit="1" customWidth="1"/>
    <col min="8707" max="8707" width="9" style="67" bestFit="1" customWidth="1"/>
    <col min="8708" max="8708" width="14.85546875" style="67" customWidth="1"/>
    <col min="8709" max="8958" width="9.140625" style="67"/>
    <col min="8959" max="8959" width="27.7109375" style="67" customWidth="1"/>
    <col min="8960" max="8960" width="22.85546875" style="67" customWidth="1"/>
    <col min="8961" max="8961" width="14.140625" style="67" customWidth="1"/>
    <col min="8962" max="8962" width="11.7109375" style="67" bestFit="1" customWidth="1"/>
    <col min="8963" max="8963" width="9" style="67" bestFit="1" customWidth="1"/>
    <col min="8964" max="8964" width="14.85546875" style="67" customWidth="1"/>
    <col min="8965" max="9214" width="9.140625" style="67"/>
    <col min="9215" max="9215" width="27.7109375" style="67" customWidth="1"/>
    <col min="9216" max="9216" width="22.85546875" style="67" customWidth="1"/>
    <col min="9217" max="9217" width="14.140625" style="67" customWidth="1"/>
    <col min="9218" max="9218" width="11.7109375" style="67" bestFit="1" customWidth="1"/>
    <col min="9219" max="9219" width="9" style="67" bestFit="1" customWidth="1"/>
    <col min="9220" max="9220" width="14.85546875" style="67" customWidth="1"/>
    <col min="9221" max="9470" width="9.140625" style="67"/>
    <col min="9471" max="9471" width="27.7109375" style="67" customWidth="1"/>
    <col min="9472" max="9472" width="22.85546875" style="67" customWidth="1"/>
    <col min="9473" max="9473" width="14.140625" style="67" customWidth="1"/>
    <col min="9474" max="9474" width="11.7109375" style="67" bestFit="1" customWidth="1"/>
    <col min="9475" max="9475" width="9" style="67" bestFit="1" customWidth="1"/>
    <col min="9476" max="9476" width="14.85546875" style="67" customWidth="1"/>
    <col min="9477" max="9726" width="9.140625" style="67"/>
    <col min="9727" max="9727" width="27.7109375" style="67" customWidth="1"/>
    <col min="9728" max="9728" width="22.85546875" style="67" customWidth="1"/>
    <col min="9729" max="9729" width="14.140625" style="67" customWidth="1"/>
    <col min="9730" max="9730" width="11.7109375" style="67" bestFit="1" customWidth="1"/>
    <col min="9731" max="9731" width="9" style="67" bestFit="1" customWidth="1"/>
    <col min="9732" max="9732" width="14.85546875" style="67" customWidth="1"/>
    <col min="9733" max="9982" width="9.140625" style="67"/>
    <col min="9983" max="9983" width="27.7109375" style="67" customWidth="1"/>
    <col min="9984" max="9984" width="22.85546875" style="67" customWidth="1"/>
    <col min="9985" max="9985" width="14.140625" style="67" customWidth="1"/>
    <col min="9986" max="9986" width="11.7109375" style="67" bestFit="1" customWidth="1"/>
    <col min="9987" max="9987" width="9" style="67" bestFit="1" customWidth="1"/>
    <col min="9988" max="9988" width="14.85546875" style="67" customWidth="1"/>
    <col min="9989" max="10238" width="9.140625" style="67"/>
    <col min="10239" max="10239" width="27.7109375" style="67" customWidth="1"/>
    <col min="10240" max="10240" width="22.85546875" style="67" customWidth="1"/>
    <col min="10241" max="10241" width="14.140625" style="67" customWidth="1"/>
    <col min="10242" max="10242" width="11.7109375" style="67" bestFit="1" customWidth="1"/>
    <col min="10243" max="10243" width="9" style="67" bestFit="1" customWidth="1"/>
    <col min="10244" max="10244" width="14.85546875" style="67" customWidth="1"/>
    <col min="10245" max="10494" width="9.140625" style="67"/>
    <col min="10495" max="10495" width="27.7109375" style="67" customWidth="1"/>
    <col min="10496" max="10496" width="22.85546875" style="67" customWidth="1"/>
    <col min="10497" max="10497" width="14.140625" style="67" customWidth="1"/>
    <col min="10498" max="10498" width="11.7109375" style="67" bestFit="1" customWidth="1"/>
    <col min="10499" max="10499" width="9" style="67" bestFit="1" customWidth="1"/>
    <col min="10500" max="10500" width="14.85546875" style="67" customWidth="1"/>
    <col min="10501" max="10750" width="9.140625" style="67"/>
    <col min="10751" max="10751" width="27.7109375" style="67" customWidth="1"/>
    <col min="10752" max="10752" width="22.85546875" style="67" customWidth="1"/>
    <col min="10753" max="10753" width="14.140625" style="67" customWidth="1"/>
    <col min="10754" max="10754" width="11.7109375" style="67" bestFit="1" customWidth="1"/>
    <col min="10755" max="10755" width="9" style="67" bestFit="1" customWidth="1"/>
    <col min="10756" max="10756" width="14.85546875" style="67" customWidth="1"/>
    <col min="10757" max="11006" width="9.140625" style="67"/>
    <col min="11007" max="11007" width="27.7109375" style="67" customWidth="1"/>
    <col min="11008" max="11008" width="22.85546875" style="67" customWidth="1"/>
    <col min="11009" max="11009" width="14.140625" style="67" customWidth="1"/>
    <col min="11010" max="11010" width="11.7109375" style="67" bestFit="1" customWidth="1"/>
    <col min="11011" max="11011" width="9" style="67" bestFit="1" customWidth="1"/>
    <col min="11012" max="11012" width="14.85546875" style="67" customWidth="1"/>
    <col min="11013" max="11262" width="9.140625" style="67"/>
    <col min="11263" max="11263" width="27.7109375" style="67" customWidth="1"/>
    <col min="11264" max="11264" width="22.85546875" style="67" customWidth="1"/>
    <col min="11265" max="11265" width="14.140625" style="67" customWidth="1"/>
    <col min="11266" max="11266" width="11.7109375" style="67" bestFit="1" customWidth="1"/>
    <col min="11267" max="11267" width="9" style="67" bestFit="1" customWidth="1"/>
    <col min="11268" max="11268" width="14.85546875" style="67" customWidth="1"/>
    <col min="11269" max="11518" width="9.140625" style="67"/>
    <col min="11519" max="11519" width="27.7109375" style="67" customWidth="1"/>
    <col min="11520" max="11520" width="22.85546875" style="67" customWidth="1"/>
    <col min="11521" max="11521" width="14.140625" style="67" customWidth="1"/>
    <col min="11522" max="11522" width="11.7109375" style="67" bestFit="1" customWidth="1"/>
    <col min="11523" max="11523" width="9" style="67" bestFit="1" customWidth="1"/>
    <col min="11524" max="11524" width="14.85546875" style="67" customWidth="1"/>
    <col min="11525" max="11774" width="9.140625" style="67"/>
    <col min="11775" max="11775" width="27.7109375" style="67" customWidth="1"/>
    <col min="11776" max="11776" width="22.85546875" style="67" customWidth="1"/>
    <col min="11777" max="11777" width="14.140625" style="67" customWidth="1"/>
    <col min="11778" max="11778" width="11.7109375" style="67" bestFit="1" customWidth="1"/>
    <col min="11779" max="11779" width="9" style="67" bestFit="1" customWidth="1"/>
    <col min="11780" max="11780" width="14.85546875" style="67" customWidth="1"/>
    <col min="11781" max="12030" width="9.140625" style="67"/>
    <col min="12031" max="12031" width="27.7109375" style="67" customWidth="1"/>
    <col min="12032" max="12032" width="22.85546875" style="67" customWidth="1"/>
    <col min="12033" max="12033" width="14.140625" style="67" customWidth="1"/>
    <col min="12034" max="12034" width="11.7109375" style="67" bestFit="1" customWidth="1"/>
    <col min="12035" max="12035" width="9" style="67" bestFit="1" customWidth="1"/>
    <col min="12036" max="12036" width="14.85546875" style="67" customWidth="1"/>
    <col min="12037" max="12286" width="9.140625" style="67"/>
    <col min="12287" max="12287" width="27.7109375" style="67" customWidth="1"/>
    <col min="12288" max="12288" width="22.85546875" style="67" customWidth="1"/>
    <col min="12289" max="12289" width="14.140625" style="67" customWidth="1"/>
    <col min="12290" max="12290" width="11.7109375" style="67" bestFit="1" customWidth="1"/>
    <col min="12291" max="12291" width="9" style="67" bestFit="1" customWidth="1"/>
    <col min="12292" max="12292" width="14.85546875" style="67" customWidth="1"/>
    <col min="12293" max="12542" width="9.140625" style="67"/>
    <col min="12543" max="12543" width="27.7109375" style="67" customWidth="1"/>
    <col min="12544" max="12544" width="22.85546875" style="67" customWidth="1"/>
    <col min="12545" max="12545" width="14.140625" style="67" customWidth="1"/>
    <col min="12546" max="12546" width="11.7109375" style="67" bestFit="1" customWidth="1"/>
    <col min="12547" max="12547" width="9" style="67" bestFit="1" customWidth="1"/>
    <col min="12548" max="12548" width="14.85546875" style="67" customWidth="1"/>
    <col min="12549" max="12798" width="9.140625" style="67"/>
    <col min="12799" max="12799" width="27.7109375" style="67" customWidth="1"/>
    <col min="12800" max="12800" width="22.85546875" style="67" customWidth="1"/>
    <col min="12801" max="12801" width="14.140625" style="67" customWidth="1"/>
    <col min="12802" max="12802" width="11.7109375" style="67" bestFit="1" customWidth="1"/>
    <col min="12803" max="12803" width="9" style="67" bestFit="1" customWidth="1"/>
    <col min="12804" max="12804" width="14.85546875" style="67" customWidth="1"/>
    <col min="12805" max="13054" width="9.140625" style="67"/>
    <col min="13055" max="13055" width="27.7109375" style="67" customWidth="1"/>
    <col min="13056" max="13056" width="22.85546875" style="67" customWidth="1"/>
    <col min="13057" max="13057" width="14.140625" style="67" customWidth="1"/>
    <col min="13058" max="13058" width="11.7109375" style="67" bestFit="1" customWidth="1"/>
    <col min="13059" max="13059" width="9" style="67" bestFit="1" customWidth="1"/>
    <col min="13060" max="13060" width="14.85546875" style="67" customWidth="1"/>
    <col min="13061" max="13310" width="9.140625" style="67"/>
    <col min="13311" max="13311" width="27.7109375" style="67" customWidth="1"/>
    <col min="13312" max="13312" width="22.85546875" style="67" customWidth="1"/>
    <col min="13313" max="13313" width="14.140625" style="67" customWidth="1"/>
    <col min="13314" max="13314" width="11.7109375" style="67" bestFit="1" customWidth="1"/>
    <col min="13315" max="13315" width="9" style="67" bestFit="1" customWidth="1"/>
    <col min="13316" max="13316" width="14.85546875" style="67" customWidth="1"/>
    <col min="13317" max="13566" width="9.140625" style="67"/>
    <col min="13567" max="13567" width="27.7109375" style="67" customWidth="1"/>
    <col min="13568" max="13568" width="22.85546875" style="67" customWidth="1"/>
    <col min="13569" max="13569" width="14.140625" style="67" customWidth="1"/>
    <col min="13570" max="13570" width="11.7109375" style="67" bestFit="1" customWidth="1"/>
    <col min="13571" max="13571" width="9" style="67" bestFit="1" customWidth="1"/>
    <col min="13572" max="13572" width="14.85546875" style="67" customWidth="1"/>
    <col min="13573" max="13822" width="9.140625" style="67"/>
    <col min="13823" max="13823" width="27.7109375" style="67" customWidth="1"/>
    <col min="13824" max="13824" width="22.85546875" style="67" customWidth="1"/>
    <col min="13825" max="13825" width="14.140625" style="67" customWidth="1"/>
    <col min="13826" max="13826" width="11.7109375" style="67" bestFit="1" customWidth="1"/>
    <col min="13827" max="13827" width="9" style="67" bestFit="1" customWidth="1"/>
    <col min="13828" max="13828" width="14.85546875" style="67" customWidth="1"/>
    <col min="13829" max="14078" width="9.140625" style="67"/>
    <col min="14079" max="14079" width="27.7109375" style="67" customWidth="1"/>
    <col min="14080" max="14080" width="22.85546875" style="67" customWidth="1"/>
    <col min="14081" max="14081" width="14.140625" style="67" customWidth="1"/>
    <col min="14082" max="14082" width="11.7109375" style="67" bestFit="1" customWidth="1"/>
    <col min="14083" max="14083" width="9" style="67" bestFit="1" customWidth="1"/>
    <col min="14084" max="14084" width="14.85546875" style="67" customWidth="1"/>
    <col min="14085" max="14334" width="9.140625" style="67"/>
    <col min="14335" max="14335" width="27.7109375" style="67" customWidth="1"/>
    <col min="14336" max="14336" width="22.85546875" style="67" customWidth="1"/>
    <col min="14337" max="14337" width="14.140625" style="67" customWidth="1"/>
    <col min="14338" max="14338" width="11.7109375" style="67" bestFit="1" customWidth="1"/>
    <col min="14339" max="14339" width="9" style="67" bestFit="1" customWidth="1"/>
    <col min="14340" max="14340" width="14.85546875" style="67" customWidth="1"/>
    <col min="14341" max="14590" width="9.140625" style="67"/>
    <col min="14591" max="14591" width="27.7109375" style="67" customWidth="1"/>
    <col min="14592" max="14592" width="22.85546875" style="67" customWidth="1"/>
    <col min="14593" max="14593" width="14.140625" style="67" customWidth="1"/>
    <col min="14594" max="14594" width="11.7109375" style="67" bestFit="1" customWidth="1"/>
    <col min="14595" max="14595" width="9" style="67" bestFit="1" customWidth="1"/>
    <col min="14596" max="14596" width="14.85546875" style="67" customWidth="1"/>
    <col min="14597" max="14846" width="9.140625" style="67"/>
    <col min="14847" max="14847" width="27.7109375" style="67" customWidth="1"/>
    <col min="14848" max="14848" width="22.85546875" style="67" customWidth="1"/>
    <col min="14849" max="14849" width="14.140625" style="67" customWidth="1"/>
    <col min="14850" max="14850" width="11.7109375" style="67" bestFit="1" customWidth="1"/>
    <col min="14851" max="14851" width="9" style="67" bestFit="1" customWidth="1"/>
    <col min="14852" max="14852" width="14.85546875" style="67" customWidth="1"/>
    <col min="14853" max="15102" width="9.140625" style="67"/>
    <col min="15103" max="15103" width="27.7109375" style="67" customWidth="1"/>
    <col min="15104" max="15104" width="22.85546875" style="67" customWidth="1"/>
    <col min="15105" max="15105" width="14.140625" style="67" customWidth="1"/>
    <col min="15106" max="15106" width="11.7109375" style="67" bestFit="1" customWidth="1"/>
    <col min="15107" max="15107" width="9" style="67" bestFit="1" customWidth="1"/>
    <col min="15108" max="15108" width="14.85546875" style="67" customWidth="1"/>
    <col min="15109" max="15358" width="9.140625" style="67"/>
    <col min="15359" max="15359" width="27.7109375" style="67" customWidth="1"/>
    <col min="15360" max="15360" width="22.85546875" style="67" customWidth="1"/>
    <col min="15361" max="15361" width="14.140625" style="67" customWidth="1"/>
    <col min="15362" max="15362" width="11.7109375" style="67" bestFit="1" customWidth="1"/>
    <col min="15363" max="15363" width="9" style="67" bestFit="1" customWidth="1"/>
    <col min="15364" max="15364" width="14.85546875" style="67" customWidth="1"/>
    <col min="15365" max="15614" width="9.140625" style="67"/>
    <col min="15615" max="15615" width="27.7109375" style="67" customWidth="1"/>
    <col min="15616" max="15616" width="22.85546875" style="67" customWidth="1"/>
    <col min="15617" max="15617" width="14.140625" style="67" customWidth="1"/>
    <col min="15618" max="15618" width="11.7109375" style="67" bestFit="1" customWidth="1"/>
    <col min="15619" max="15619" width="9" style="67" bestFit="1" customWidth="1"/>
    <col min="15620" max="15620" width="14.85546875" style="67" customWidth="1"/>
    <col min="15621" max="15870" width="9.140625" style="67"/>
    <col min="15871" max="15871" width="27.7109375" style="67" customWidth="1"/>
    <col min="15872" max="15872" width="22.85546875" style="67" customWidth="1"/>
    <col min="15873" max="15873" width="14.140625" style="67" customWidth="1"/>
    <col min="15874" max="15874" width="11.7109375" style="67" bestFit="1" customWidth="1"/>
    <col min="15875" max="15875" width="9" style="67" bestFit="1" customWidth="1"/>
    <col min="15876" max="15876" width="14.85546875" style="67" customWidth="1"/>
    <col min="15877" max="16126" width="9.140625" style="67"/>
    <col min="16127" max="16127" width="27.7109375" style="67" customWidth="1"/>
    <col min="16128" max="16128" width="22.85546875" style="67" customWidth="1"/>
    <col min="16129" max="16129" width="14.140625" style="67" customWidth="1"/>
    <col min="16130" max="16130" width="11.7109375" style="67" bestFit="1" customWidth="1"/>
    <col min="16131" max="16131" width="9" style="67" bestFit="1" customWidth="1"/>
    <col min="16132" max="16132" width="14.85546875" style="67" customWidth="1"/>
    <col min="16133" max="16384" width="9.140625" style="67"/>
  </cols>
  <sheetData>
    <row r="1" spans="1:6" ht="15.75" x14ac:dyDescent="0.25">
      <c r="A1" s="56"/>
      <c r="B1" s="57"/>
      <c r="C1" s="58"/>
      <c r="D1" s="59"/>
    </row>
    <row r="2" spans="1:6" ht="15.75" x14ac:dyDescent="0.25">
      <c r="A2" s="56"/>
      <c r="B2" s="57"/>
      <c r="C2" s="60"/>
      <c r="D2" s="61"/>
    </row>
    <row r="3" spans="1:6" ht="15.75" x14ac:dyDescent="0.25">
      <c r="A3" s="56"/>
      <c r="B3" s="57"/>
      <c r="C3" s="62"/>
      <c r="D3" s="63"/>
    </row>
    <row r="4" spans="1:6" ht="15.75" x14ac:dyDescent="0.25">
      <c r="A4" s="56"/>
      <c r="B4" s="56"/>
      <c r="C4" s="64"/>
      <c r="D4" s="64"/>
    </row>
    <row r="5" spans="1:6" ht="15.75" x14ac:dyDescent="0.25">
      <c r="A5" s="56"/>
      <c r="B5" s="56"/>
      <c r="C5" s="64"/>
      <c r="D5" s="64"/>
    </row>
    <row r="6" spans="1:6" ht="15.75" x14ac:dyDescent="0.25">
      <c r="A6" s="68"/>
      <c r="B6" s="69"/>
      <c r="C6" s="69"/>
      <c r="D6" s="69"/>
    </row>
    <row r="7" spans="1:6" ht="15.75" customHeight="1" x14ac:dyDescent="0.25">
      <c r="A7" s="68"/>
      <c r="B7" s="68"/>
      <c r="C7" s="68"/>
      <c r="D7" s="68"/>
    </row>
    <row r="8" spans="1:6" ht="15.75" customHeight="1" x14ac:dyDescent="0.25">
      <c r="A8" s="68"/>
      <c r="B8" s="68"/>
      <c r="C8" s="68"/>
      <c r="D8" s="68"/>
    </row>
    <row r="9" spans="1:6" ht="15.75" customHeight="1" x14ac:dyDescent="0.25">
      <c r="A9" s="279" t="s">
        <v>51</v>
      </c>
      <c r="B9" s="279"/>
      <c r="C9" s="279" t="s">
        <v>0</v>
      </c>
      <c r="D9" s="279"/>
      <c r="F9" s="67" t="e">
        <f>Ли</f>
        <v>#NAME?</v>
      </c>
    </row>
    <row r="10" spans="1:6" ht="64.5" customHeight="1" x14ac:dyDescent="0.25">
      <c r="A10" s="280">
        <v>37659.1</v>
      </c>
      <c r="B10" s="280"/>
      <c r="C10" s="283" t="s">
        <v>52</v>
      </c>
      <c r="D10" s="283"/>
    </row>
    <row r="11" spans="1:6" ht="15.75" x14ac:dyDescent="0.25">
      <c r="A11" s="281">
        <v>433.6</v>
      </c>
      <c r="B11" s="75">
        <v>323.2</v>
      </c>
      <c r="C11" s="74" t="s">
        <v>54</v>
      </c>
      <c r="D11" s="284" t="s">
        <v>53</v>
      </c>
    </row>
    <row r="12" spans="1:6" ht="15" customHeight="1" x14ac:dyDescent="0.25">
      <c r="A12" s="281"/>
      <c r="B12" s="76">
        <v>90.4</v>
      </c>
      <c r="C12" s="55" t="s">
        <v>57</v>
      </c>
      <c r="D12" s="284"/>
      <c r="E12" s="65"/>
    </row>
    <row r="13" spans="1:6" ht="35.25" customHeight="1" x14ac:dyDescent="0.25">
      <c r="A13" s="282">
        <v>61.8</v>
      </c>
      <c r="B13" s="282"/>
      <c r="C13" s="268" t="s">
        <v>55</v>
      </c>
      <c r="D13" s="268"/>
      <c r="E13" s="65"/>
    </row>
    <row r="14" spans="1:6" ht="35.25" customHeight="1" x14ac:dyDescent="0.25">
      <c r="A14" s="282">
        <v>447.3</v>
      </c>
      <c r="B14" s="282"/>
      <c r="C14" s="268" t="s">
        <v>56</v>
      </c>
      <c r="D14" s="268"/>
      <c r="E14" s="65"/>
    </row>
    <row r="15" spans="1:6" ht="15.75" x14ac:dyDescent="0.25">
      <c r="A15" s="280">
        <f>A10+A11+A13+A14</f>
        <v>38601.800000000003</v>
      </c>
      <c r="B15" s="280"/>
      <c r="C15" s="285" t="s">
        <v>58</v>
      </c>
      <c r="D15" s="285"/>
      <c r="E15" s="66"/>
    </row>
    <row r="16" spans="1:6" ht="15.75" x14ac:dyDescent="0.25">
      <c r="C16" s="39"/>
    </row>
    <row r="18" spans="3:8" x14ac:dyDescent="0.25">
      <c r="D18" s="70"/>
      <c r="E18" s="70"/>
      <c r="H18" s="70"/>
    </row>
    <row r="19" spans="3:8" x14ac:dyDescent="0.25">
      <c r="C19" s="71"/>
      <c r="D19" s="70"/>
      <c r="E19" s="70"/>
      <c r="G19" s="70"/>
      <c r="H19" s="70"/>
    </row>
    <row r="20" spans="3:8" x14ac:dyDescent="0.25">
      <c r="C20" s="71"/>
      <c r="D20" s="70"/>
      <c r="E20" s="70"/>
      <c r="F20" s="70"/>
      <c r="G20" s="70"/>
      <c r="H20" s="70"/>
    </row>
    <row r="21" spans="3:8" x14ac:dyDescent="0.25">
      <c r="D21" s="70"/>
      <c r="E21" s="70"/>
      <c r="F21" s="70"/>
      <c r="G21" s="70"/>
      <c r="H21" s="70"/>
    </row>
    <row r="22" spans="3:8" x14ac:dyDescent="0.25">
      <c r="D22" s="72"/>
      <c r="E22" s="72"/>
      <c r="F22" s="73"/>
      <c r="G22" s="72"/>
      <c r="H22" s="72"/>
    </row>
    <row r="23" spans="3:8" x14ac:dyDescent="0.25">
      <c r="D23" s="70"/>
    </row>
    <row r="25" spans="3:8" x14ac:dyDescent="0.25">
      <c r="D25" s="70"/>
      <c r="E25" s="70"/>
      <c r="H25" s="70"/>
    </row>
    <row r="26" spans="3:8" x14ac:dyDescent="0.25">
      <c r="D26" s="70"/>
      <c r="E26" s="70"/>
      <c r="H26" s="70"/>
    </row>
    <row r="27" spans="3:8" x14ac:dyDescent="0.25">
      <c r="D27" s="70"/>
    </row>
  </sheetData>
  <mergeCells count="12">
    <mergeCell ref="A15:B15"/>
    <mergeCell ref="C10:D10"/>
    <mergeCell ref="D11:D12"/>
    <mergeCell ref="C13:D13"/>
    <mergeCell ref="C14:D14"/>
    <mergeCell ref="C15:D15"/>
    <mergeCell ref="A14:B14"/>
    <mergeCell ref="A9:B9"/>
    <mergeCell ref="C9:D9"/>
    <mergeCell ref="A10:B10"/>
    <mergeCell ref="A11:A12"/>
    <mergeCell ref="A13:B1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F24"/>
  <sheetViews>
    <sheetView topLeftCell="A7" workbookViewId="0">
      <selection activeCell="A7" sqref="A7"/>
    </sheetView>
  </sheetViews>
  <sheetFormatPr defaultColWidth="9.140625" defaultRowHeight="15.75" x14ac:dyDescent="0.25"/>
  <cols>
    <col min="1" max="1" width="20.85546875" style="77" customWidth="1"/>
    <col min="2" max="2" width="35.85546875" style="15" customWidth="1"/>
    <col min="3" max="3" width="14.28515625" style="15" bestFit="1" customWidth="1"/>
    <col min="4" max="4" width="13.42578125" style="15" bestFit="1" customWidth="1"/>
    <col min="5" max="5" width="13.42578125" style="15" customWidth="1"/>
    <col min="6" max="6" width="38.42578125" style="78" customWidth="1"/>
    <col min="7" max="16384" width="9.140625" style="15"/>
  </cols>
  <sheetData>
    <row r="5" spans="1:6" x14ac:dyDescent="0.25">
      <c r="A5" s="292" t="s">
        <v>18</v>
      </c>
      <c r="B5" s="292"/>
      <c r="C5" s="79" t="s">
        <v>59</v>
      </c>
      <c r="D5" s="292" t="s">
        <v>60</v>
      </c>
      <c r="E5" s="292"/>
      <c r="F5" s="80" t="s">
        <v>7</v>
      </c>
    </row>
    <row r="6" spans="1:6" x14ac:dyDescent="0.25">
      <c r="A6" s="286" t="s">
        <v>65</v>
      </c>
      <c r="B6" s="286"/>
      <c r="C6" s="286"/>
      <c r="D6" s="286"/>
      <c r="E6" s="286"/>
      <c r="F6" s="286"/>
    </row>
    <row r="7" spans="1:6" x14ac:dyDescent="0.25">
      <c r="A7" s="98" t="s">
        <v>70</v>
      </c>
      <c r="B7" s="81" t="e">
        <f>#REF!</f>
        <v>#REF!</v>
      </c>
      <c r="C7" s="82">
        <v>156012.5</v>
      </c>
      <c r="D7" s="294">
        <v>343.2</v>
      </c>
      <c r="E7" s="294"/>
      <c r="F7" s="80" t="str">
        <f>Лист1!C11</f>
        <v>на смету</v>
      </c>
    </row>
    <row r="8" spans="1:6" ht="93" customHeight="1" x14ac:dyDescent="0.25">
      <c r="A8" s="98" t="s">
        <v>72</v>
      </c>
      <c r="B8" s="81" t="e">
        <f>#REF!</f>
        <v>#REF!</v>
      </c>
      <c r="C8" s="82">
        <v>16288809.199999999</v>
      </c>
      <c r="D8" s="294">
        <v>90.4</v>
      </c>
      <c r="E8" s="294"/>
      <c r="F8" s="80" t="str">
        <f>Лист1!C12</f>
        <v>на оплату мед. помощи за 2018 год</v>
      </c>
    </row>
    <row r="9" spans="1:6" ht="94.5" customHeight="1" x14ac:dyDescent="0.25">
      <c r="A9" s="290" t="s">
        <v>74</v>
      </c>
      <c r="B9" s="289" t="s">
        <v>61</v>
      </c>
      <c r="C9" s="294">
        <v>2895715.4</v>
      </c>
      <c r="D9" s="294">
        <f>Лист1!A14+Лист1!A13</f>
        <v>509.1</v>
      </c>
      <c r="E9" s="294"/>
      <c r="F9" s="80" t="s">
        <v>62</v>
      </c>
    </row>
    <row r="10" spans="1:6" ht="171" customHeight="1" x14ac:dyDescent="0.25">
      <c r="A10" s="291"/>
      <c r="B10" s="289"/>
      <c r="C10" s="294"/>
      <c r="D10" s="294">
        <f>Лист1!A10</f>
        <v>37659.1</v>
      </c>
      <c r="E10" s="294"/>
      <c r="F10" s="80" t="s">
        <v>63</v>
      </c>
    </row>
    <row r="11" spans="1:6" x14ac:dyDescent="0.25">
      <c r="A11" s="293" t="s">
        <v>64</v>
      </c>
      <c r="B11" s="293"/>
      <c r="C11" s="293"/>
      <c r="D11" s="287">
        <f>D7+D8+D9+D10</f>
        <v>38601.799999999996</v>
      </c>
      <c r="E11" s="287"/>
      <c r="F11" s="83"/>
    </row>
    <row r="12" spans="1:6" x14ac:dyDescent="0.25">
      <c r="A12" s="286" t="s">
        <v>66</v>
      </c>
      <c r="B12" s="286"/>
      <c r="C12" s="286"/>
      <c r="D12" s="286"/>
      <c r="E12" s="286"/>
      <c r="F12" s="286"/>
    </row>
    <row r="13" spans="1:6" ht="94.5" x14ac:dyDescent="0.25">
      <c r="A13" s="98" t="s">
        <v>75</v>
      </c>
      <c r="B13" s="85" t="s">
        <v>19</v>
      </c>
      <c r="C13" s="84">
        <v>3408359.7</v>
      </c>
      <c r="D13" s="287">
        <v>587000</v>
      </c>
      <c r="E13" s="287"/>
      <c r="F13" s="80" t="s">
        <v>67</v>
      </c>
    </row>
    <row r="14" spans="1:6" x14ac:dyDescent="0.25">
      <c r="C14" s="53"/>
      <c r="D14" s="288">
        <f>D13+D11</f>
        <v>625601.80000000005</v>
      </c>
      <c r="E14" s="288"/>
    </row>
    <row r="15" spans="1:6" x14ac:dyDescent="0.25">
      <c r="C15" s="53"/>
      <c r="D15" s="53"/>
      <c r="E15" s="53"/>
    </row>
    <row r="16" spans="1:6" x14ac:dyDescent="0.25">
      <c r="C16" s="53"/>
      <c r="D16" s="53"/>
      <c r="E16" s="53"/>
    </row>
    <row r="17" spans="3:5" x14ac:dyDescent="0.25">
      <c r="C17" s="53"/>
      <c r="D17" s="53"/>
      <c r="E17" s="53"/>
    </row>
    <row r="18" spans="3:5" x14ac:dyDescent="0.25">
      <c r="C18" s="53"/>
      <c r="D18" s="53"/>
      <c r="E18" s="53"/>
    </row>
    <row r="19" spans="3:5" x14ac:dyDescent="0.25">
      <c r="C19" s="53"/>
      <c r="D19" s="53"/>
      <c r="E19" s="53"/>
    </row>
    <row r="20" spans="3:5" x14ac:dyDescent="0.25">
      <c r="C20" s="53"/>
      <c r="D20" s="53"/>
      <c r="E20" s="53"/>
    </row>
    <row r="21" spans="3:5" x14ac:dyDescent="0.25">
      <c r="C21" s="53"/>
      <c r="D21" s="53"/>
      <c r="E21" s="53"/>
    </row>
    <row r="22" spans="3:5" x14ac:dyDescent="0.25">
      <c r="C22" s="53"/>
      <c r="D22" s="53"/>
      <c r="E22" s="53"/>
    </row>
    <row r="23" spans="3:5" x14ac:dyDescent="0.25">
      <c r="C23" s="53"/>
      <c r="D23" s="53"/>
      <c r="E23" s="53"/>
    </row>
    <row r="24" spans="3:5" x14ac:dyDescent="0.25">
      <c r="C24" s="53"/>
      <c r="D24" s="53"/>
      <c r="E24" s="53"/>
    </row>
  </sheetData>
  <mergeCells count="15">
    <mergeCell ref="A6:F6"/>
    <mergeCell ref="D5:E5"/>
    <mergeCell ref="A11:C11"/>
    <mergeCell ref="A5:B5"/>
    <mergeCell ref="D7:E7"/>
    <mergeCell ref="D8:E8"/>
    <mergeCell ref="D9:E9"/>
    <mergeCell ref="D10:E10"/>
    <mergeCell ref="D11:E11"/>
    <mergeCell ref="C9:C10"/>
    <mergeCell ref="A12:F12"/>
    <mergeCell ref="D13:E13"/>
    <mergeCell ref="D14:E14"/>
    <mergeCell ref="B9:B10"/>
    <mergeCell ref="A9:A1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F24"/>
  <sheetViews>
    <sheetView zoomScale="80" zoomScaleNormal="80" workbookViewId="0">
      <selection activeCell="I10" sqref="I10"/>
    </sheetView>
  </sheetViews>
  <sheetFormatPr defaultColWidth="9.140625" defaultRowHeight="15.75" x14ac:dyDescent="0.25"/>
  <cols>
    <col min="1" max="1" width="20.7109375" style="95" customWidth="1"/>
    <col min="2" max="2" width="28.5703125" style="87" customWidth="1"/>
    <col min="3" max="3" width="14.28515625" style="86" bestFit="1" customWidth="1"/>
    <col min="4" max="4" width="12.140625" style="86" bestFit="1" customWidth="1"/>
    <col min="5" max="5" width="51.28515625" style="86" customWidth="1"/>
    <col min="6" max="6" width="38.42578125" style="87" customWidth="1"/>
    <col min="7" max="16384" width="9.140625" style="86"/>
  </cols>
  <sheetData>
    <row r="6" spans="1:6" ht="15.75" customHeight="1" thickBot="1" x14ac:dyDescent="0.3">
      <c r="A6" s="96"/>
      <c r="B6" s="91"/>
      <c r="C6" s="88"/>
      <c r="D6" s="88"/>
      <c r="E6" s="88"/>
      <c r="F6" s="88"/>
    </row>
    <row r="7" spans="1:6" ht="162.75" customHeight="1" x14ac:dyDescent="0.25">
      <c r="A7" s="99" t="s">
        <v>70</v>
      </c>
      <c r="B7" s="100" t="e">
        <f>#REF!</f>
        <v>#REF!</v>
      </c>
      <c r="C7" s="101">
        <v>156012.5</v>
      </c>
      <c r="D7" s="102">
        <v>4950.6000000000004</v>
      </c>
      <c r="E7" s="295" t="s">
        <v>68</v>
      </c>
    </row>
    <row r="8" spans="1:6" ht="225" customHeight="1" thickBot="1" x14ac:dyDescent="0.3">
      <c r="A8" s="103" t="s">
        <v>72</v>
      </c>
      <c r="B8" s="104" t="e">
        <f>#REF!</f>
        <v>#REF!</v>
      </c>
      <c r="C8" s="105">
        <v>16288809.199999999</v>
      </c>
      <c r="D8" s="106">
        <v>-4950.6000000000004</v>
      </c>
      <c r="E8" s="296"/>
    </row>
    <row r="9" spans="1:6" ht="171.75" customHeight="1" x14ac:dyDescent="0.25">
      <c r="A9" s="99" t="s">
        <v>72</v>
      </c>
      <c r="B9" s="100" t="e">
        <f>B8</f>
        <v>#REF!</v>
      </c>
      <c r="C9" s="101">
        <v>16288809.199999999</v>
      </c>
      <c r="D9" s="102">
        <v>-110239.3</v>
      </c>
      <c r="E9" s="297" t="s">
        <v>71</v>
      </c>
    </row>
    <row r="10" spans="1:6" ht="171" customHeight="1" thickBot="1" x14ac:dyDescent="0.3">
      <c r="A10" s="103" t="s">
        <v>73</v>
      </c>
      <c r="B10" s="107" t="s">
        <v>69</v>
      </c>
      <c r="C10" s="106">
        <v>0</v>
      </c>
      <c r="D10" s="106">
        <v>110239.3</v>
      </c>
      <c r="E10" s="298"/>
    </row>
    <row r="11" spans="1:6" x14ac:dyDescent="0.25">
      <c r="A11" s="96"/>
      <c r="B11" s="94"/>
      <c r="C11" s="89"/>
      <c r="D11" s="90"/>
      <c r="E11" s="90"/>
      <c r="F11" s="91"/>
    </row>
    <row r="12" spans="1:6" x14ac:dyDescent="0.25">
      <c r="A12" s="96"/>
      <c r="B12" s="91"/>
      <c r="C12" s="88"/>
      <c r="D12" s="88"/>
      <c r="E12" s="88"/>
      <c r="F12" s="88"/>
    </row>
    <row r="13" spans="1:6" x14ac:dyDescent="0.25">
      <c r="A13" s="97"/>
      <c r="B13" s="92"/>
      <c r="C13" s="93"/>
      <c r="D13" s="90"/>
      <c r="E13" s="90"/>
    </row>
    <row r="14" spans="1:6" x14ac:dyDescent="0.25">
      <c r="C14" s="93"/>
      <c r="D14" s="90"/>
      <c r="E14" s="90"/>
    </row>
    <row r="15" spans="1:6" x14ac:dyDescent="0.25">
      <c r="C15" s="93"/>
      <c r="D15" s="93"/>
      <c r="E15" s="93"/>
    </row>
    <row r="16" spans="1:6" x14ac:dyDescent="0.25">
      <c r="C16" s="93"/>
      <c r="D16" s="93"/>
      <c r="E16" s="93"/>
    </row>
    <row r="17" spans="3:5" x14ac:dyDescent="0.25">
      <c r="C17" s="93"/>
      <c r="D17" s="93"/>
      <c r="E17" s="93"/>
    </row>
    <row r="18" spans="3:5" x14ac:dyDescent="0.25">
      <c r="C18" s="93"/>
      <c r="D18" s="93"/>
      <c r="E18" s="93"/>
    </row>
    <row r="19" spans="3:5" x14ac:dyDescent="0.25">
      <c r="C19" s="93"/>
      <c r="D19" s="93"/>
      <c r="E19" s="93"/>
    </row>
    <row r="20" spans="3:5" x14ac:dyDescent="0.25">
      <c r="C20" s="93"/>
      <c r="D20" s="93"/>
      <c r="E20" s="93"/>
    </row>
    <row r="21" spans="3:5" x14ac:dyDescent="0.25">
      <c r="C21" s="93"/>
      <c r="D21" s="93"/>
      <c r="E21" s="93"/>
    </row>
    <row r="22" spans="3:5" x14ac:dyDescent="0.25">
      <c r="C22" s="93"/>
      <c r="D22" s="93"/>
      <c r="E22" s="93"/>
    </row>
    <row r="23" spans="3:5" x14ac:dyDescent="0.25">
      <c r="C23" s="93"/>
      <c r="D23" s="93"/>
      <c r="E23" s="93"/>
    </row>
    <row r="24" spans="3:5" x14ac:dyDescent="0.25">
      <c r="C24" s="93"/>
      <c r="D24" s="93"/>
      <c r="E24" s="93"/>
    </row>
  </sheetData>
  <mergeCells count="2">
    <mergeCell ref="E7:E8"/>
    <mergeCell ref="E9:E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45"/>
  <sheetViews>
    <sheetView topLeftCell="C1" workbookViewId="0">
      <selection activeCell="K17" sqref="K17"/>
    </sheetView>
  </sheetViews>
  <sheetFormatPr defaultColWidth="9.140625" defaultRowHeight="15.75" x14ac:dyDescent="0.25"/>
  <cols>
    <col min="1" max="1" width="40.42578125" style="121" customWidth="1"/>
    <col min="2" max="2" width="20.140625" style="121" customWidth="1"/>
    <col min="3" max="3" width="21" style="121" customWidth="1"/>
    <col min="4" max="5" width="22.85546875" style="122" customWidth="1"/>
    <col min="6" max="7" width="19.28515625" style="122" customWidth="1"/>
    <col min="8" max="10" width="22.85546875" style="122" customWidth="1"/>
    <col min="11" max="11" width="24.28515625" style="122" customWidth="1"/>
    <col min="12" max="18" width="22.85546875" style="122" customWidth="1"/>
    <col min="19" max="19" width="10.140625" style="122" bestFit="1" customWidth="1"/>
    <col min="20" max="20" width="11" style="122" bestFit="1" customWidth="1"/>
    <col min="21" max="16384" width="9.140625" style="122"/>
  </cols>
  <sheetData>
    <row r="1" spans="1:24" x14ac:dyDescent="0.25">
      <c r="A1" s="121" t="s">
        <v>26</v>
      </c>
    </row>
    <row r="2" spans="1:24" ht="16.5" thickBot="1" x14ac:dyDescent="0.3"/>
    <row r="3" spans="1:24" ht="32.25" thickBot="1" x14ac:dyDescent="0.3">
      <c r="A3" s="123"/>
      <c r="B3" s="156" t="s">
        <v>37</v>
      </c>
      <c r="C3" s="154" t="s">
        <v>88</v>
      </c>
      <c r="D3" s="183" t="s">
        <v>96</v>
      </c>
      <c r="E3" s="184" t="s">
        <v>97</v>
      </c>
      <c r="F3" s="185" t="s">
        <v>103</v>
      </c>
      <c r="G3" s="182" t="s">
        <v>110</v>
      </c>
      <c r="H3" s="195" t="s">
        <v>102</v>
      </c>
      <c r="I3" s="200"/>
      <c r="J3" s="189" t="s">
        <v>97</v>
      </c>
      <c r="K3" s="124" t="s">
        <v>98</v>
      </c>
      <c r="L3" s="125"/>
      <c r="M3" s="125"/>
      <c r="N3" s="125"/>
      <c r="O3" s="125"/>
      <c r="P3" s="125"/>
      <c r="Q3" s="125"/>
      <c r="R3" s="125"/>
    </row>
    <row r="4" spans="1:24" ht="16.5" thickBot="1" x14ac:dyDescent="0.3">
      <c r="A4" s="153" t="s">
        <v>31</v>
      </c>
      <c r="B4" s="157">
        <v>30917.9</v>
      </c>
      <c r="C4" s="155">
        <v>72859.100000000006</v>
      </c>
      <c r="D4" s="12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91">
        <v>263676.59999999998</v>
      </c>
      <c r="K4" s="128">
        <f>H5/4</f>
        <v>59126.875</v>
      </c>
      <c r="L4" s="129"/>
      <c r="M4" s="129">
        <f>F4-D4</f>
        <v>-263675.60000000003</v>
      </c>
      <c r="N4" s="129">
        <f>311+89</f>
        <v>400</v>
      </c>
      <c r="O4" s="129"/>
      <c r="P4" s="129"/>
      <c r="Q4" s="129"/>
      <c r="R4" s="129"/>
    </row>
    <row r="5" spans="1:24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130153.50000000001</v>
      </c>
      <c r="F5" s="159">
        <f t="shared" si="0"/>
        <v>0.95043000050386406</v>
      </c>
      <c r="G5" s="187">
        <f>G6+G7+G8</f>
        <v>212330.4</v>
      </c>
      <c r="H5" s="173">
        <f>H6+H7+H8</f>
        <v>236507.5</v>
      </c>
      <c r="I5" s="202" t="s">
        <v>87</v>
      </c>
      <c r="J5" s="192">
        <f>J6+J7+J8</f>
        <v>129536.1</v>
      </c>
      <c r="K5" s="128">
        <v>59127</v>
      </c>
      <c r="L5" s="122">
        <f>111478.3+155.1</f>
        <v>111633.40000000001</v>
      </c>
      <c r="M5" s="129"/>
      <c r="N5" s="129"/>
      <c r="O5" s="129"/>
      <c r="P5" s="129"/>
      <c r="Q5" s="129"/>
      <c r="R5" s="129"/>
      <c r="T5" s="122" t="s">
        <v>20</v>
      </c>
      <c r="U5" s="122" t="s">
        <v>21</v>
      </c>
      <c r="V5" s="122" t="s">
        <v>22</v>
      </c>
      <c r="W5" s="122" t="s">
        <v>23</v>
      </c>
      <c r="X5" s="122" t="s">
        <v>24</v>
      </c>
    </row>
    <row r="6" spans="1:24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111478.3</v>
      </c>
      <c r="F6" s="159">
        <f t="shared" si="0"/>
        <v>0.96337011847870235</v>
      </c>
      <c r="G6" s="188">
        <v>191105.7</v>
      </c>
      <c r="H6" s="174">
        <v>202572</v>
      </c>
      <c r="I6" s="203"/>
      <c r="J6" s="158">
        <f>111478.3</f>
        <v>111478.3</v>
      </c>
      <c r="K6" s="122" t="s">
        <v>108</v>
      </c>
      <c r="L6" s="129"/>
      <c r="M6" s="136">
        <f>F4+N9</f>
        <v>400619.30000000005</v>
      </c>
      <c r="N6" s="136"/>
      <c r="O6" s="136"/>
      <c r="P6" s="136"/>
      <c r="Q6" s="136"/>
      <c r="R6" s="136"/>
      <c r="S6" s="137" t="e">
        <f>D6-#REF!</f>
        <v>#REF!</v>
      </c>
      <c r="T6" s="122" t="e">
        <f>S6/5</f>
        <v>#REF!</v>
      </c>
      <c r="U6" s="122">
        <v>8380</v>
      </c>
      <c r="V6" s="122">
        <v>8380</v>
      </c>
      <c r="W6" s="122">
        <v>8380</v>
      </c>
      <c r="X6" s="122">
        <v>8380</v>
      </c>
    </row>
    <row r="7" spans="1:24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17586.400000000001</v>
      </c>
      <c r="F7" s="159">
        <f t="shared" si="0"/>
        <v>1.1826129058288728</v>
      </c>
      <c r="G7" s="188">
        <v>14870.8</v>
      </c>
      <c r="H7" s="174">
        <v>31957</v>
      </c>
      <c r="I7" s="204"/>
      <c r="J7" s="180">
        <v>17586.400000000001</v>
      </c>
      <c r="K7" s="299" t="s">
        <v>109</v>
      </c>
      <c r="L7" s="129"/>
      <c r="M7" s="136"/>
      <c r="N7" s="136"/>
      <c r="O7" s="136"/>
      <c r="P7" s="136"/>
      <c r="Q7" s="136"/>
      <c r="R7" s="136"/>
      <c r="S7" s="137" t="e">
        <f>D7-#REF!</f>
        <v>#REF!</v>
      </c>
      <c r="T7" s="122" t="e">
        <f>S7/5</f>
        <v>#REF!</v>
      </c>
      <c r="U7" s="122">
        <v>1172.1600000000001</v>
      </c>
      <c r="V7" s="122">
        <v>1172.1600000000001</v>
      </c>
      <c r="W7" s="122">
        <v>1172.1600000000001</v>
      </c>
      <c r="X7" s="122">
        <v>1172.1600000000001</v>
      </c>
    </row>
    <row r="8" spans="1:24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1088.8</v>
      </c>
      <c r="F8" s="159">
        <f t="shared" si="0"/>
        <v>0.17135932262075262</v>
      </c>
      <c r="G8" s="186">
        <v>6353.9</v>
      </c>
      <c r="H8" s="175">
        <v>1978.5</v>
      </c>
      <c r="I8" s="205"/>
      <c r="J8" s="181">
        <v>471.4</v>
      </c>
      <c r="K8" s="299"/>
      <c r="L8" s="129"/>
      <c r="M8" s="136">
        <f>D4+D5-E5</f>
        <v>270464.80000000005</v>
      </c>
      <c r="N8" s="136"/>
      <c r="O8" s="136"/>
      <c r="P8" s="136"/>
      <c r="Q8" s="136"/>
      <c r="R8" s="136"/>
      <c r="S8" s="137" t="e">
        <f>D8-#REF!</f>
        <v>#REF!</v>
      </c>
      <c r="T8" s="122" t="e">
        <f>S8/5</f>
        <v>#REF!</v>
      </c>
      <c r="U8" s="122">
        <v>321.36</v>
      </c>
      <c r="V8" s="122">
        <v>321.36</v>
      </c>
      <c r="W8" s="122">
        <v>321.36</v>
      </c>
      <c r="X8" s="122">
        <v>321.36</v>
      </c>
    </row>
    <row r="9" spans="1:24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205553.8</v>
      </c>
      <c r="F9" s="159">
        <f t="shared" si="0"/>
        <v>0.56103485066049674</v>
      </c>
      <c r="G9" s="143">
        <f>G4+G5-G10</f>
        <v>422924.4</v>
      </c>
      <c r="H9" s="176">
        <f>H4+H5-H10</f>
        <v>236507.49999999997</v>
      </c>
      <c r="I9" s="206"/>
      <c r="J9" s="193">
        <v>205553.8</v>
      </c>
      <c r="L9" s="129"/>
      <c r="M9" s="144">
        <f>M8/3</f>
        <v>90154.933333333349</v>
      </c>
      <c r="N9" s="144">
        <f>D4+D5</f>
        <v>400618.30000000005</v>
      </c>
      <c r="O9" s="144"/>
      <c r="P9" s="144"/>
      <c r="Q9" s="144"/>
      <c r="R9" s="144"/>
    </row>
    <row r="10" spans="1:24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188276.3</v>
      </c>
      <c r="F10" s="159"/>
      <c r="G10" s="126">
        <v>53082.6</v>
      </c>
      <c r="H10" s="177">
        <v>53082.6</v>
      </c>
      <c r="I10" s="207"/>
      <c r="J10" s="194">
        <f>J4+J5-J9</f>
        <v>187658.89999999997</v>
      </c>
      <c r="K10" s="122">
        <v>35200</v>
      </c>
      <c r="L10" s="129">
        <f>H4*4</f>
        <v>212330.4</v>
      </c>
      <c r="M10" s="146"/>
      <c r="N10" s="146">
        <f>N9+M4</f>
        <v>136942.70000000001</v>
      </c>
      <c r="O10" s="146"/>
      <c r="P10" s="146"/>
      <c r="Q10" s="146"/>
      <c r="R10" s="146"/>
    </row>
    <row r="11" spans="1:24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393830.1</v>
      </c>
      <c r="F11" s="159"/>
      <c r="G11" s="148">
        <f>G4+G5</f>
        <v>476007</v>
      </c>
      <c r="H11" s="178">
        <f>H4+H5</f>
        <v>289590.09999999998</v>
      </c>
      <c r="I11" s="208"/>
      <c r="J11" s="190">
        <f>J4+J5</f>
        <v>393212.69999999995</v>
      </c>
      <c r="L11" s="137"/>
      <c r="M11" s="137"/>
      <c r="N11" s="137"/>
      <c r="O11" s="137"/>
      <c r="P11" s="137"/>
      <c r="Q11" s="137"/>
      <c r="R11" s="137"/>
    </row>
    <row r="12" spans="1:24" ht="16.5" thickBot="1" x14ac:dyDescent="0.3">
      <c r="D12" s="137"/>
      <c r="E12" s="137"/>
      <c r="H12" s="137">
        <f>H11-D11</f>
        <v>-111028.20000000007</v>
      </c>
      <c r="I12" s="137"/>
      <c r="J12" s="137"/>
      <c r="K12" s="137"/>
      <c r="L12" s="151">
        <f>K4/4</f>
        <v>14781.71875</v>
      </c>
      <c r="M12" s="137"/>
      <c r="N12" s="137"/>
      <c r="O12" s="137"/>
      <c r="P12" s="137"/>
      <c r="Q12" s="137"/>
      <c r="R12" s="137"/>
    </row>
    <row r="13" spans="1:24" x14ac:dyDescent="0.25">
      <c r="D13" s="137">
        <f>311526.4+89091.9</f>
        <v>400618.30000000005</v>
      </c>
      <c r="E13" s="137">
        <f>E6+E7+E8</f>
        <v>130153.50000000001</v>
      </c>
      <c r="H13" s="160"/>
      <c r="I13" s="196"/>
      <c r="J13" s="161" t="s">
        <v>104</v>
      </c>
      <c r="K13" s="161"/>
      <c r="L13" s="162"/>
      <c r="M13" s="137"/>
      <c r="N13" s="137"/>
      <c r="O13" s="137"/>
      <c r="P13" s="137"/>
      <c r="Q13" s="137"/>
      <c r="R13" s="137"/>
    </row>
    <row r="14" spans="1:24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1.9504300005038639</v>
      </c>
      <c r="G14" s="137"/>
      <c r="H14" s="163"/>
      <c r="I14" s="163"/>
      <c r="J14" s="164" t="s">
        <v>25</v>
      </c>
      <c r="K14" s="164" t="s">
        <v>28</v>
      </c>
      <c r="L14" s="165" t="s">
        <v>29</v>
      </c>
      <c r="M14" s="128">
        <f>E5*4</f>
        <v>520614.00000000006</v>
      </c>
    </row>
    <row r="15" spans="1:24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107</v>
      </c>
      <c r="I15" s="197"/>
      <c r="J15" s="168">
        <f>E6/7</f>
        <v>15925.471428571429</v>
      </c>
      <c r="K15" s="168">
        <f>E7/7</f>
        <v>2512.3428571428572</v>
      </c>
      <c r="L15" s="169">
        <f>E8/7</f>
        <v>155.54285714285714</v>
      </c>
      <c r="M15" s="150">
        <f>F4+M14</f>
        <v>520615.00000000006</v>
      </c>
    </row>
    <row r="16" spans="1:24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68">
        <f>J15*12</f>
        <v>191105.65714285715</v>
      </c>
      <c r="K16" s="168">
        <f>K15*12</f>
        <v>30148.114285714284</v>
      </c>
      <c r="L16" s="169">
        <f>L15*12</f>
        <v>1866.5142857142857</v>
      </c>
      <c r="M16" s="151">
        <f>M14/4</f>
        <v>130153.50000000001</v>
      </c>
    </row>
    <row r="17" spans="1:20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106</v>
      </c>
      <c r="I17" s="199"/>
      <c r="J17" s="170">
        <f>J16*1.06</f>
        <v>202571.99657142858</v>
      </c>
      <c r="K17" s="170">
        <f>K16*1.06</f>
        <v>31957.001142857142</v>
      </c>
      <c r="L17" s="171">
        <f>L16*1.06</f>
        <v>1978.505142857143</v>
      </c>
      <c r="T17" s="137">
        <f>D17-D4</f>
        <v>-263676.60000000003</v>
      </c>
    </row>
    <row r="18" spans="1:20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37"/>
      <c r="M18" s="137"/>
      <c r="N18" s="137"/>
      <c r="O18" s="137"/>
      <c r="P18" s="137"/>
      <c r="Q18" s="137"/>
      <c r="R18" s="137"/>
      <c r="T18" s="122">
        <f>10587.8</f>
        <v>10587.8</v>
      </c>
    </row>
    <row r="19" spans="1:20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28">
        <f>(F5-E5)/3</f>
        <v>-43384.183189999836</v>
      </c>
      <c r="T19" s="137">
        <f>T18+D7+D8</f>
        <v>31812.5</v>
      </c>
    </row>
    <row r="20" spans="1:20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37"/>
      <c r="K20" s="137"/>
      <c r="L20" s="137"/>
      <c r="M20" s="137"/>
      <c r="N20" s="137"/>
      <c r="O20" s="137"/>
      <c r="P20" s="137"/>
      <c r="Q20" s="137"/>
      <c r="R20" s="137"/>
    </row>
    <row r="21" spans="1:20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/>
      <c r="I21" s="149"/>
      <c r="J21" s="137"/>
      <c r="K21" s="137">
        <f>K5/4</f>
        <v>14781.75</v>
      </c>
      <c r="L21" s="137"/>
      <c r="M21" s="137"/>
      <c r="N21" s="137"/>
      <c r="O21" s="137"/>
      <c r="P21" s="137"/>
      <c r="Q21" s="137"/>
      <c r="R21" s="137"/>
    </row>
    <row r="22" spans="1:20" x14ac:dyDescent="0.25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149"/>
      <c r="H22" s="149"/>
      <c r="I22" s="149"/>
      <c r="M22" s="122">
        <f>D5/4</f>
        <v>34235.425000000003</v>
      </c>
    </row>
    <row r="23" spans="1:20" x14ac:dyDescent="0.25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149"/>
      <c r="H23" s="149"/>
      <c r="I23" s="149"/>
    </row>
    <row r="24" spans="1:20" x14ac:dyDescent="0.25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149"/>
      <c r="H24" s="149"/>
      <c r="I24" s="149"/>
      <c r="J24" s="122">
        <f>F6*F24/100</f>
        <v>0.2674083897233826</v>
      </c>
    </row>
    <row r="25" spans="1:20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</row>
    <row r="26" spans="1:20" x14ac:dyDescent="0.25">
      <c r="A26" s="121" t="s">
        <v>24</v>
      </c>
      <c r="C26" s="134">
        <v>8878424.5999999996</v>
      </c>
      <c r="E26" s="134">
        <v>10022617.619999999</v>
      </c>
    </row>
    <row r="27" spans="1:20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0" x14ac:dyDescent="0.25">
      <c r="D28" s="137"/>
      <c r="E28" s="137"/>
      <c r="F28" s="137"/>
      <c r="G28" s="137"/>
      <c r="H28" s="137"/>
      <c r="I28" s="137"/>
      <c r="J28" s="137" t="s">
        <v>100</v>
      </c>
      <c r="K28" s="137"/>
      <c r="L28" s="137"/>
      <c r="M28" s="137"/>
      <c r="N28" s="137"/>
      <c r="O28" s="137"/>
      <c r="P28" s="137"/>
      <c r="Q28" s="137"/>
      <c r="R28" s="137"/>
    </row>
    <row r="31" spans="1:20" x14ac:dyDescent="0.25">
      <c r="A31" s="121" t="s">
        <v>50</v>
      </c>
    </row>
    <row r="32" spans="1:20" x14ac:dyDescent="0.25">
      <c r="C32" s="121">
        <v>2017</v>
      </c>
      <c r="E32" s="122">
        <v>2018</v>
      </c>
    </row>
    <row r="33" spans="1:10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</row>
    <row r="34" spans="1:10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22" t="s">
        <v>101</v>
      </c>
    </row>
    <row r="35" spans="1:10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</row>
    <row r="36" spans="1:10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</row>
    <row r="37" spans="1:10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</row>
    <row r="38" spans="1:10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</row>
    <row r="39" spans="1:10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</row>
    <row r="40" spans="1:10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</row>
    <row r="41" spans="1:10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</row>
    <row r="42" spans="1:10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</row>
    <row r="43" spans="1:10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</row>
    <row r="44" spans="1:10" x14ac:dyDescent="0.25">
      <c r="A44" s="121" t="s">
        <v>24</v>
      </c>
      <c r="C44" s="134">
        <v>10043524.210000001</v>
      </c>
      <c r="E44" s="134">
        <v>12590920.199999999</v>
      </c>
      <c r="J44" s="122">
        <f>F5*28/100</f>
        <v>0.2661204001410819</v>
      </c>
    </row>
    <row r="45" spans="1:10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K7:K8"/>
  </mergeCells>
  <pageMargins left="0.11811023622047245" right="0.11811023622047245" top="0.74803149606299213" bottom="0.74803149606299213" header="0.31496062992125984" footer="0.31496062992125984"/>
  <pageSetup paperSize="9" scale="7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sqref="A1:K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21" style="121" hidden="1" customWidth="1"/>
    <col min="4" max="5" width="22.85546875" style="122" hidden="1" customWidth="1"/>
    <col min="6" max="7" width="19.28515625" style="122" hidden="1" customWidth="1"/>
    <col min="8" max="8" width="22.8554687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84" t="s">
        <v>111</v>
      </c>
      <c r="F3" s="185" t="s">
        <v>103</v>
      </c>
      <c r="G3" s="182" t="s">
        <v>110</v>
      </c>
      <c r="H3" s="195" t="s">
        <v>117</v>
      </c>
      <c r="I3" s="200"/>
      <c r="J3" s="200">
        <v>2023</v>
      </c>
      <c r="K3" s="200">
        <v>2024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27">
        <v>263676.59999999998</v>
      </c>
      <c r="F4" s="159">
        <f t="shared" ref="F4:F9" si="0">E4/D4</f>
        <v>0.99999999999999978</v>
      </c>
      <c r="G4" s="186">
        <f>E4</f>
        <v>263676.59999999998</v>
      </c>
      <c r="H4" s="172">
        <v>53082.6</v>
      </c>
      <c r="I4" s="201"/>
      <c r="J4" s="172">
        <f>H10</f>
        <v>32465.9</v>
      </c>
      <c r="K4" s="172">
        <f>J10</f>
        <v>32465.9</v>
      </c>
      <c r="L4" s="191">
        <v>263676.59999999998</v>
      </c>
      <c r="M4" s="128">
        <f>H5/4</f>
        <v>32465.85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32">
        <f>E6+E7+E8</f>
        <v>165597.4</v>
      </c>
      <c r="F5" s="159">
        <f t="shared" si="0"/>
        <v>1.2092547412512038</v>
      </c>
      <c r="G5" s="187">
        <f>G6+G7+G8</f>
        <v>212330.4</v>
      </c>
      <c r="H5" s="173">
        <f>H6+H7+H8</f>
        <v>129863.4</v>
      </c>
      <c r="I5" s="202" t="s">
        <v>87</v>
      </c>
      <c r="J5" s="202">
        <f>J6+J7+J8</f>
        <v>137135.20000000001</v>
      </c>
      <c r="K5" s="202">
        <f>K6+K7+K8</f>
        <v>137135.20000000001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35">
        <v>143484.70000000001</v>
      </c>
      <c r="F6" s="159">
        <f t="shared" si="0"/>
        <v>1.2399621490360104</v>
      </c>
      <c r="G6" s="188">
        <v>191105.7</v>
      </c>
      <c r="H6" s="174">
        <v>123976.4</v>
      </c>
      <c r="I6" s="203"/>
      <c r="J6" s="215">
        <v>130919.1</v>
      </c>
      <c r="K6" s="215">
        <v>130919.1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35">
        <v>20829.3</v>
      </c>
      <c r="F7" s="159">
        <f t="shared" si="0"/>
        <v>1.4006845630362859</v>
      </c>
      <c r="G7" s="188">
        <v>14870.8</v>
      </c>
      <c r="H7" s="174">
        <v>5755.4</v>
      </c>
      <c r="I7" s="204"/>
      <c r="J7" s="204">
        <v>6077.1</v>
      </c>
      <c r="K7" s="204">
        <v>6077.1</v>
      </c>
      <c r="L7" s="180">
        <v>17586.400000000001</v>
      </c>
      <c r="M7" s="299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140">
        <v>1283.4000000000001</v>
      </c>
      <c r="F8" s="159">
        <f t="shared" si="0"/>
        <v>0.20198618171516708</v>
      </c>
      <c r="G8" s="186">
        <v>6353.9</v>
      </c>
      <c r="H8" s="175">
        <v>131.6</v>
      </c>
      <c r="I8" s="205"/>
      <c r="J8" s="205">
        <v>139</v>
      </c>
      <c r="K8" s="205">
        <v>139</v>
      </c>
      <c r="L8" s="181">
        <v>471.4</v>
      </c>
      <c r="M8" s="299"/>
      <c r="N8" s="129"/>
      <c r="O8" s="136">
        <f>D4+D5-E5</f>
        <v>235020.90000000005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43">
        <v>230399.7</v>
      </c>
      <c r="F9" s="159">
        <f t="shared" si="0"/>
        <v>0.62884880397114162</v>
      </c>
      <c r="G9" s="143">
        <f>G4+G5-G10</f>
        <v>422924.4</v>
      </c>
      <c r="H9" s="176">
        <f>H4+H5-H10</f>
        <v>150480.1</v>
      </c>
      <c r="I9" s="206"/>
      <c r="J9" s="206">
        <f>J4+J5-J10</f>
        <v>137135.20000000001</v>
      </c>
      <c r="K9" s="206">
        <f>K4+K5-K10</f>
        <v>137135.20000000001</v>
      </c>
      <c r="L9" s="193">
        <v>205553.8</v>
      </c>
      <c r="N9" s="129"/>
      <c r="O9" s="144">
        <f>O8/3</f>
        <v>78340.300000000017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126">
        <f>E4+E5-E9</f>
        <v>198874.3</v>
      </c>
      <c r="F10" s="159"/>
      <c r="G10" s="126">
        <v>53082.6</v>
      </c>
      <c r="H10" s="177">
        <v>32465.9</v>
      </c>
      <c r="I10" s="207"/>
      <c r="J10" s="172">
        <v>32465.9</v>
      </c>
      <c r="K10" s="172">
        <v>32465.9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48">
        <f>E4+E5</f>
        <v>429274</v>
      </c>
      <c r="F11" s="159"/>
      <c r="G11" s="148">
        <f>G4+G5</f>
        <v>476007</v>
      </c>
      <c r="H11" s="178">
        <f>H4+H5</f>
        <v>182946</v>
      </c>
      <c r="I11" s="178"/>
      <c r="J11" s="178">
        <f t="shared" ref="J11:K11" si="2">J4+J5</f>
        <v>169601.1</v>
      </c>
      <c r="K11" s="178">
        <f t="shared" si="2"/>
        <v>169601.1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-217672.30000000005</v>
      </c>
      <c r="I12" s="137"/>
      <c r="J12" s="137"/>
      <c r="K12" s="137"/>
      <c r="L12" s="137"/>
      <c r="M12" s="137"/>
      <c r="N12" s="151">
        <f>M4/4</f>
        <v>8116.4624999999996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165597.4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2.2092547412512036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662389.6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15942.744444444446</v>
      </c>
      <c r="M15" s="168">
        <f>E7/9</f>
        <v>2314.3666666666668</v>
      </c>
      <c r="N15" s="169">
        <f>E8/9</f>
        <v>142.60000000000002</v>
      </c>
      <c r="O15" s="150">
        <f>F4+O14</f>
        <v>662390.6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191312.93333333335</v>
      </c>
      <c r="M16" s="168">
        <f>M15*12</f>
        <v>27772.400000000001</v>
      </c>
      <c r="N16" s="169">
        <f>N15*12</f>
        <v>1711.2000000000003</v>
      </c>
      <c r="O16" s="151">
        <f>O14/4</f>
        <v>165597.4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197052.32133333336</v>
      </c>
      <c r="M17" s="170">
        <f>M16*1.03</f>
        <v>28605.572000000004</v>
      </c>
      <c r="N17" s="171">
        <f>N16*1.03</f>
        <v>1762.5360000000003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-55198.730248419575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206313.780436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3099.41</v>
      </c>
      <c r="J30" s="137">
        <f>I30+H6</f>
        <v>127075.81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6198.82</v>
      </c>
      <c r="J31" s="137">
        <f>I31+H6</f>
        <v>130175.22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0.33859132755033705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45"/>
  <sheetViews>
    <sheetView workbookViewId="0">
      <selection activeCell="I15" sqref="I15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114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181256.39999999997</v>
      </c>
      <c r="F5" s="159">
        <f t="shared" ref="F5:F9" si="0">E5/D5</f>
        <v>1.3236026717939091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157144.79999999999</v>
      </c>
      <c r="F6" s="159">
        <f t="shared" si="0"/>
        <v>1.3580096269346766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22758.3</v>
      </c>
      <c r="F7" s="159">
        <f t="shared" si="0"/>
        <v>1.5304018613658983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99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1353.3</v>
      </c>
      <c r="F8" s="159">
        <f t="shared" si="0"/>
        <v>0.21298729913911141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99"/>
      <c r="N8" s="129"/>
      <c r="O8" s="136">
        <f>D4+D5-E5</f>
        <v>219361.90000000008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263124.59999999998</v>
      </c>
      <c r="F9" s="159">
        <f t="shared" si="0"/>
        <v>0.71816755840126978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73120.63333333336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181808.39999999997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444932.99999999994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ht="16.5" thickBot="1" x14ac:dyDescent="0.3">
      <c r="D12" s="137"/>
      <c r="E12" s="137"/>
      <c r="H12" s="137">
        <f>H11-D11</f>
        <v>-120115.30000000005</v>
      </c>
      <c r="I12" s="137"/>
      <c r="J12" s="137"/>
      <c r="K12" s="137"/>
      <c r="L12" s="137"/>
      <c r="M12" s="137"/>
      <c r="N12" s="151">
        <f>M4/4</f>
        <v>14213.775</v>
      </c>
      <c r="O12" s="137"/>
      <c r="P12" s="137"/>
      <c r="Q12" s="137"/>
      <c r="R12" s="137"/>
      <c r="S12" s="137"/>
      <c r="T12" s="137"/>
    </row>
    <row r="13" spans="1:26" x14ac:dyDescent="0.25">
      <c r="D13" s="137">
        <f>311526.4+89091.9</f>
        <v>400618.30000000005</v>
      </c>
      <c r="E13" s="137">
        <f>E6+E7+E8</f>
        <v>181256.39999999997</v>
      </c>
      <c r="H13" s="160"/>
      <c r="I13" s="196"/>
      <c r="J13" s="196"/>
      <c r="K13" s="196"/>
      <c r="L13" s="161" t="s">
        <v>104</v>
      </c>
      <c r="M13" s="161"/>
      <c r="N13" s="162"/>
      <c r="O13" s="137"/>
      <c r="P13" s="137"/>
      <c r="Q13" s="137"/>
      <c r="R13" s="137"/>
      <c r="S13" s="137"/>
      <c r="T13" s="137"/>
    </row>
    <row r="14" spans="1:26" ht="32.25" thickBot="1" x14ac:dyDescent="0.3">
      <c r="B14" s="121">
        <f>D6/B6</f>
        <v>1.0006347087084801</v>
      </c>
      <c r="C14" s="121">
        <v>2017</v>
      </c>
      <c r="E14" s="122">
        <v>2018</v>
      </c>
      <c r="F14" s="137">
        <f>F4+F5</f>
        <v>2.3236026717939087</v>
      </c>
      <c r="G14" s="137"/>
      <c r="H14" s="163"/>
      <c r="I14" s="163"/>
      <c r="J14" s="163"/>
      <c r="K14" s="163"/>
      <c r="L14" s="164" t="s">
        <v>25</v>
      </c>
      <c r="M14" s="164" t="s">
        <v>28</v>
      </c>
      <c r="N14" s="165" t="s">
        <v>29</v>
      </c>
      <c r="O14" s="128">
        <f>E5*4</f>
        <v>725025.59999999986</v>
      </c>
    </row>
    <row r="15" spans="1:26" ht="31.5" x14ac:dyDescent="0.25">
      <c r="A15" s="121" t="s">
        <v>42</v>
      </c>
      <c r="C15" s="134">
        <v>144194.07999999999</v>
      </c>
      <c r="D15" s="149">
        <f>(C15+C16+C17)/C27*100</f>
        <v>11.151542180885901</v>
      </c>
      <c r="E15" s="134">
        <v>580376.31999999995</v>
      </c>
      <c r="F15" s="149">
        <f>(E15+E16+E17)/E27*100</f>
        <v>20.129841170545955</v>
      </c>
      <c r="G15" s="149"/>
      <c r="H15" s="166" t="s">
        <v>112</v>
      </c>
      <c r="I15" s="197"/>
      <c r="J15" s="197"/>
      <c r="K15" s="197"/>
      <c r="L15" s="168">
        <f>E6/9</f>
        <v>17460.533333333333</v>
      </c>
      <c r="M15" s="168">
        <f>E7/9</f>
        <v>2528.6999999999998</v>
      </c>
      <c r="N15" s="169">
        <f>E8/9</f>
        <v>150.36666666666667</v>
      </c>
      <c r="O15" s="150">
        <f>F4+O14</f>
        <v>725026.59999999986</v>
      </c>
    </row>
    <row r="16" spans="1:26" x14ac:dyDescent="0.25">
      <c r="A16" s="121" t="s">
        <v>43</v>
      </c>
      <c r="C16" s="134">
        <v>4462609.54</v>
      </c>
      <c r="D16" s="149"/>
      <c r="E16" s="134">
        <v>13371505.35</v>
      </c>
      <c r="F16" s="149"/>
      <c r="G16" s="149"/>
      <c r="H16" s="163" t="s">
        <v>105</v>
      </c>
      <c r="I16" s="198"/>
      <c r="J16" s="198"/>
      <c r="K16" s="198"/>
      <c r="L16" s="168">
        <f>L15*12</f>
        <v>209526.39999999999</v>
      </c>
      <c r="M16" s="168">
        <f>M15*12</f>
        <v>30344.399999999998</v>
      </c>
      <c r="N16" s="169">
        <f>N15*12</f>
        <v>1804.4</v>
      </c>
      <c r="O16" s="151">
        <f>O14/4</f>
        <v>181256.39999999997</v>
      </c>
    </row>
    <row r="17" spans="1:22" ht="16.5" thickBot="1" x14ac:dyDescent="0.3">
      <c r="A17" s="121" t="s">
        <v>44</v>
      </c>
      <c r="C17" s="134">
        <v>3113195.23</v>
      </c>
      <c r="D17" s="149"/>
      <c r="E17" s="134">
        <v>9326995.0700000003</v>
      </c>
      <c r="F17" s="149"/>
      <c r="G17" s="149"/>
      <c r="H17" s="167" t="s">
        <v>113</v>
      </c>
      <c r="I17" s="199"/>
      <c r="J17" s="199"/>
      <c r="K17" s="199"/>
      <c r="L17" s="170">
        <f>L16*1.03</f>
        <v>215812.19200000001</v>
      </c>
      <c r="M17" s="170">
        <f>M16*1.03</f>
        <v>31254.732</v>
      </c>
      <c r="N17" s="171">
        <f>N16*1.03</f>
        <v>1858.5320000000002</v>
      </c>
      <c r="V17" s="137">
        <f>D17-D4</f>
        <v>-263676.60000000003</v>
      </c>
    </row>
    <row r="18" spans="1:22" x14ac:dyDescent="0.25">
      <c r="A18" s="121" t="s">
        <v>45</v>
      </c>
      <c r="C18" s="134">
        <v>7398841.5499999998</v>
      </c>
      <c r="D18" s="149">
        <f>(C18+C19+C20)/C27*100</f>
        <v>26.157073673088675</v>
      </c>
      <c r="E18" s="134">
        <v>9845880.9399999995</v>
      </c>
      <c r="F18" s="149">
        <f>(E18+E19+E20)/E27*100</f>
        <v>28.690706666866856</v>
      </c>
      <c r="G18" s="149"/>
      <c r="H18" s="149"/>
      <c r="I18" s="149"/>
      <c r="J18" s="149"/>
      <c r="K18" s="149"/>
      <c r="L18" s="149"/>
      <c r="M18" s="149"/>
      <c r="N18" s="137"/>
      <c r="O18" s="137"/>
      <c r="P18" s="137"/>
      <c r="Q18" s="137"/>
      <c r="R18" s="137"/>
      <c r="S18" s="137"/>
      <c r="T18" s="137"/>
      <c r="V18" s="122">
        <f>10587.8</f>
        <v>10587.8</v>
      </c>
    </row>
    <row r="19" spans="1:22" x14ac:dyDescent="0.25">
      <c r="A19" s="121" t="s">
        <v>46</v>
      </c>
      <c r="C19" s="134">
        <v>4740129.82</v>
      </c>
      <c r="D19" s="149"/>
      <c r="E19" s="134">
        <v>12671684.76</v>
      </c>
      <c r="F19" s="149"/>
      <c r="G19" s="149"/>
      <c r="H19" s="149"/>
      <c r="I19" s="149"/>
      <c r="J19" s="149"/>
      <c r="K19" s="149"/>
      <c r="L19" s="149"/>
      <c r="M19" s="149"/>
      <c r="N19" s="128">
        <f>(F5-E5)/3</f>
        <v>-60418.358799109388</v>
      </c>
      <c r="V19" s="137">
        <f>V18+D7+D8</f>
        <v>31812.5</v>
      </c>
    </row>
    <row r="20" spans="1:22" x14ac:dyDescent="0.25">
      <c r="A20" s="121" t="s">
        <v>47</v>
      </c>
      <c r="C20" s="134">
        <v>5969069.2400000002</v>
      </c>
      <c r="D20" s="149"/>
      <c r="E20" s="134">
        <v>10661405.68</v>
      </c>
      <c r="F20" s="149"/>
      <c r="G20" s="149"/>
      <c r="H20" s="149"/>
      <c r="I20" s="149"/>
      <c r="J20" s="149"/>
      <c r="K20" s="149"/>
      <c r="L20" s="137"/>
      <c r="M20" s="137"/>
      <c r="N20" s="137"/>
      <c r="O20" s="137"/>
      <c r="P20" s="137"/>
      <c r="Q20" s="137"/>
      <c r="R20" s="137"/>
      <c r="S20" s="137"/>
      <c r="T20" s="137"/>
    </row>
    <row r="21" spans="1:22" x14ac:dyDescent="0.25">
      <c r="A21" s="121" t="s">
        <v>48</v>
      </c>
      <c r="C21" s="134">
        <v>7071438.3300000001</v>
      </c>
      <c r="D21" s="149">
        <f>(C21+C22+C23)/C27*100</f>
        <v>30.056121172869531</v>
      </c>
      <c r="E21" s="134">
        <v>8380583.2300000004</v>
      </c>
      <c r="F21" s="149">
        <f>(E21+E22+E23)/E27*100</f>
        <v>23.42185572128815</v>
      </c>
      <c r="G21" s="149"/>
      <c r="H21" s="149">
        <v>12699.2</v>
      </c>
      <c r="I21" s="210"/>
      <c r="J21" s="212"/>
      <c r="K21" s="212"/>
      <c r="L21" s="137"/>
      <c r="M21" s="137">
        <f>M5/4</f>
        <v>14781.75</v>
      </c>
      <c r="N21" s="137"/>
      <c r="O21" s="137"/>
      <c r="P21" s="137"/>
      <c r="Q21" s="137"/>
      <c r="R21" s="137"/>
      <c r="S21" s="137"/>
      <c r="T21" s="137"/>
    </row>
    <row r="22" spans="1:22" ht="18.75" x14ac:dyDescent="0.3">
      <c r="A22" s="121" t="s">
        <v>20</v>
      </c>
      <c r="C22" s="134">
        <v>6641544.5899999999</v>
      </c>
      <c r="D22" s="149"/>
      <c r="E22" s="134">
        <v>9711265.4800000004</v>
      </c>
      <c r="F22" s="149"/>
      <c r="G22" s="209">
        <v>2021</v>
      </c>
      <c r="H22" s="210">
        <v>13078.6</v>
      </c>
      <c r="I22" s="210">
        <f t="shared" ref="I22" si="3">H22/H21</f>
        <v>1.029875897694343</v>
      </c>
      <c r="J22" s="210"/>
      <c r="K22" s="210"/>
      <c r="L22" s="211">
        <v>1.03</v>
      </c>
      <c r="O22" s="122">
        <f>D5/4</f>
        <v>34235.425000000003</v>
      </c>
    </row>
    <row r="23" spans="1:22" ht="18.75" x14ac:dyDescent="0.3">
      <c r="A23" s="121" t="s">
        <v>21</v>
      </c>
      <c r="C23" s="134">
        <v>7094293.5199999996</v>
      </c>
      <c r="D23" s="149"/>
      <c r="E23" s="134">
        <v>8994032.7799999993</v>
      </c>
      <c r="F23" s="149"/>
      <c r="G23" s="209">
        <v>2022</v>
      </c>
      <c r="H23" s="210">
        <v>13696.7</v>
      </c>
      <c r="I23" s="210">
        <f>H23/H22</f>
        <v>1.0472604101356415</v>
      </c>
      <c r="J23" s="210"/>
      <c r="K23" s="210"/>
      <c r="L23" s="211">
        <v>1.0469999999999999</v>
      </c>
      <c r="M23" s="216">
        <f>L17*L23</f>
        <v>225955.365024</v>
      </c>
    </row>
    <row r="24" spans="1:22" ht="18.75" x14ac:dyDescent="0.3">
      <c r="A24" s="121" t="s">
        <v>22</v>
      </c>
      <c r="C24" s="134">
        <v>6614420.8099999996</v>
      </c>
      <c r="D24" s="149">
        <f>(C24+C25+C26)/C27*100</f>
        <v>32.635262973155896</v>
      </c>
      <c r="E24" s="134">
        <v>10615421.470000001</v>
      </c>
      <c r="F24" s="149">
        <f>(E24+E25+E26)/E27*100</f>
        <v>27.757596441299036</v>
      </c>
      <c r="G24" s="209">
        <v>2023</v>
      </c>
      <c r="H24" s="210">
        <v>14469.5</v>
      </c>
      <c r="I24" s="210">
        <f>H24/H23</f>
        <v>1.0564223499091021</v>
      </c>
      <c r="J24" s="210"/>
      <c r="K24" s="210"/>
      <c r="L24" s="211">
        <v>1.056</v>
      </c>
    </row>
    <row r="25" spans="1:22" x14ac:dyDescent="0.25">
      <c r="A25" s="121" t="s">
        <v>23</v>
      </c>
      <c r="C25" s="134">
        <v>7099921.4500000002</v>
      </c>
      <c r="D25" s="137"/>
      <c r="E25" s="134">
        <v>11461849.859999999</v>
      </c>
      <c r="F25" s="137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</row>
    <row r="26" spans="1:22" x14ac:dyDescent="0.25">
      <c r="A26" s="121" t="s">
        <v>24</v>
      </c>
      <c r="C26" s="134">
        <v>8878424.5999999996</v>
      </c>
      <c r="E26" s="134">
        <v>10022617.619999999</v>
      </c>
      <c r="J26" s="122">
        <v>197052.3</v>
      </c>
    </row>
    <row r="27" spans="1:22" x14ac:dyDescent="0.25">
      <c r="C27" s="152">
        <f>SUM(C15:C26)</f>
        <v>69228082.75999999</v>
      </c>
      <c r="D27" s="152">
        <f>SUM(D15:D26)</f>
        <v>100</v>
      </c>
      <c r="E27" s="152">
        <f>SUM(E15:E26)</f>
        <v>115643618.56</v>
      </c>
      <c r="F27" s="122">
        <f>SUM(F15:F26)</f>
        <v>100</v>
      </c>
    </row>
    <row r="28" spans="1:22" x14ac:dyDescent="0.25">
      <c r="D28" s="137"/>
      <c r="E28" s="137"/>
      <c r="F28" s="137"/>
      <c r="G28" s="137"/>
      <c r="H28" s="137"/>
      <c r="I28" s="137"/>
      <c r="J28" s="137"/>
      <c r="K28" s="137"/>
      <c r="L28" s="137" t="s">
        <v>100</v>
      </c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K29" s="213"/>
    </row>
    <row r="30" spans="1:22" x14ac:dyDescent="0.25">
      <c r="H30" s="122">
        <v>2.5000000000000001E-2</v>
      </c>
      <c r="I30" s="122">
        <f>H30*H6</f>
        <v>4926.3074999999999</v>
      </c>
      <c r="J30" s="137">
        <f>I30+H6</f>
        <v>201978.60749999998</v>
      </c>
      <c r="K30" s="214">
        <v>201979</v>
      </c>
    </row>
    <row r="31" spans="1:22" x14ac:dyDescent="0.25">
      <c r="A31" s="121" t="s">
        <v>50</v>
      </c>
      <c r="H31" s="122">
        <v>0.05</v>
      </c>
      <c r="I31" s="122">
        <f>H31*H6</f>
        <v>9852.6149999999998</v>
      </c>
      <c r="J31" s="137">
        <f>I31+H6</f>
        <v>206904.91499999998</v>
      </c>
      <c r="K31" s="214">
        <v>206905</v>
      </c>
    </row>
    <row r="32" spans="1:22" x14ac:dyDescent="0.25">
      <c r="C32" s="121">
        <v>2017</v>
      </c>
      <c r="E32" s="122">
        <v>2018</v>
      </c>
    </row>
    <row r="33" spans="1:12" x14ac:dyDescent="0.25">
      <c r="A33" s="121" t="s">
        <v>42</v>
      </c>
      <c r="C33" s="134">
        <v>1048202.42</v>
      </c>
      <c r="D33" s="149">
        <f>(C33+C34+C35)/C45*100</f>
        <v>12.1948785659285</v>
      </c>
      <c r="E33" s="134">
        <v>1804466.33</v>
      </c>
      <c r="F33" s="149">
        <f>(E33+E34+E35)/E45*100</f>
        <v>19.609743577423117</v>
      </c>
      <c r="G33" s="149"/>
      <c r="H33" s="149"/>
      <c r="I33" s="149"/>
      <c r="J33" s="149"/>
      <c r="K33" s="149"/>
    </row>
    <row r="34" spans="1:12" x14ac:dyDescent="0.25">
      <c r="A34" s="121" t="s">
        <v>43</v>
      </c>
      <c r="C34" s="134">
        <v>5639762.8700000001</v>
      </c>
      <c r="D34" s="149"/>
      <c r="E34" s="134">
        <v>14598026.84</v>
      </c>
      <c r="F34" s="149"/>
      <c r="G34" s="149"/>
      <c r="H34" s="149"/>
      <c r="I34" s="149"/>
      <c r="J34" s="149"/>
      <c r="K34" s="149"/>
      <c r="L34" s="122" t="s">
        <v>101</v>
      </c>
    </row>
    <row r="35" spans="1:12" x14ac:dyDescent="0.25">
      <c r="A35" s="121" t="s">
        <v>44</v>
      </c>
      <c r="C35" s="134">
        <v>4251646.32</v>
      </c>
      <c r="D35" s="149"/>
      <c r="E35" s="134">
        <v>10437025.92</v>
      </c>
      <c r="F35" s="149"/>
      <c r="G35" s="149"/>
      <c r="H35" s="149"/>
      <c r="I35" s="149"/>
      <c r="J35" s="149"/>
      <c r="K35" s="149"/>
    </row>
    <row r="36" spans="1:12" x14ac:dyDescent="0.25">
      <c r="A36" s="121" t="s">
        <v>45</v>
      </c>
      <c r="C36" s="134">
        <v>8655440.2100000009</v>
      </c>
      <c r="D36" s="149">
        <f>(C36+C37+C38)/C45*100</f>
        <v>25.492869978623965</v>
      </c>
      <c r="E36" s="134">
        <v>10883167.08</v>
      </c>
      <c r="F36" s="149">
        <f>(E36+E37+E38)/E45*100</f>
        <v>29.143841589872228</v>
      </c>
      <c r="G36" s="149"/>
      <c r="H36" s="149"/>
      <c r="I36" s="149"/>
      <c r="J36" s="149"/>
      <c r="K36" s="149"/>
    </row>
    <row r="37" spans="1:12" x14ac:dyDescent="0.25">
      <c r="A37" s="121" t="s">
        <v>46</v>
      </c>
      <c r="C37" s="134">
        <v>7035336.9699999997</v>
      </c>
      <c r="D37" s="149"/>
      <c r="E37" s="134">
        <v>15334346.24</v>
      </c>
      <c r="F37" s="149"/>
      <c r="G37" s="149"/>
      <c r="H37" s="149"/>
      <c r="I37" s="149"/>
      <c r="J37" s="149"/>
      <c r="K37" s="149"/>
    </row>
    <row r="38" spans="1:12" x14ac:dyDescent="0.25">
      <c r="A38" s="121" t="s">
        <v>47</v>
      </c>
      <c r="C38" s="134">
        <v>7178011.1299999999</v>
      </c>
      <c r="D38" s="149"/>
      <c r="E38" s="134">
        <v>13671161.9</v>
      </c>
      <c r="F38" s="149"/>
      <c r="G38" s="149"/>
      <c r="H38" s="149"/>
      <c r="I38" s="149"/>
      <c r="J38" s="149"/>
      <c r="K38" s="149"/>
    </row>
    <row r="39" spans="1:12" x14ac:dyDescent="0.25">
      <c r="A39" s="121" t="s">
        <v>48</v>
      </c>
      <c r="C39" s="134">
        <v>8549551.1699999999</v>
      </c>
      <c r="D39" s="149">
        <f>(C39+C40+C41)/C45*100</f>
        <v>30.037025301318408</v>
      </c>
      <c r="E39" s="134">
        <v>9654861.2599999998</v>
      </c>
      <c r="F39" s="149">
        <f>(E39+E40+E41)/E45*100</f>
        <v>22.779448255914122</v>
      </c>
      <c r="G39" s="149"/>
      <c r="H39" s="149"/>
      <c r="I39" s="149"/>
      <c r="J39" s="149"/>
      <c r="K39" s="149"/>
    </row>
    <row r="40" spans="1:12" x14ac:dyDescent="0.25">
      <c r="A40" s="121" t="s">
        <v>20</v>
      </c>
      <c r="C40" s="134">
        <v>8401419.0399999991</v>
      </c>
      <c r="D40" s="149"/>
      <c r="E40" s="134">
        <v>10879409.779999999</v>
      </c>
      <c r="F40" s="149"/>
      <c r="G40" s="149"/>
      <c r="H40" s="149"/>
      <c r="I40" s="149"/>
      <c r="J40" s="149"/>
      <c r="K40" s="149"/>
    </row>
    <row r="41" spans="1:12" x14ac:dyDescent="0.25">
      <c r="A41" s="121" t="s">
        <v>21</v>
      </c>
      <c r="C41" s="134">
        <v>9994225.5899999999</v>
      </c>
      <c r="D41" s="149"/>
      <c r="E41" s="134">
        <v>10643568.380000001</v>
      </c>
      <c r="F41" s="149"/>
      <c r="G41" s="149"/>
      <c r="H41" s="149"/>
      <c r="I41" s="149"/>
      <c r="J41" s="149"/>
      <c r="K41" s="149"/>
    </row>
    <row r="42" spans="1:12" x14ac:dyDescent="0.25">
      <c r="A42" s="121" t="s">
        <v>22</v>
      </c>
      <c r="C42" s="134">
        <v>9100611.5600000005</v>
      </c>
      <c r="D42" s="149">
        <f>(C42+C43+C44)/C45*100</f>
        <v>32.275226154129122</v>
      </c>
      <c r="E42" s="134">
        <v>11625488.34</v>
      </c>
      <c r="F42" s="149">
        <f>(E42+E43+E44)/E45*100</f>
        <v>28.466966576790533</v>
      </c>
      <c r="G42" s="149"/>
      <c r="H42" s="149"/>
      <c r="I42" s="149"/>
      <c r="J42" s="149"/>
      <c r="K42" s="149"/>
    </row>
    <row r="43" spans="1:12" x14ac:dyDescent="0.25">
      <c r="A43" s="121" t="s">
        <v>23</v>
      </c>
      <c r="C43" s="134">
        <v>9808874.0399999991</v>
      </c>
      <c r="D43" s="137"/>
      <c r="E43" s="134">
        <v>14745839.48</v>
      </c>
      <c r="F43" s="137"/>
      <c r="G43" s="137"/>
      <c r="H43" s="137"/>
      <c r="I43" s="137"/>
      <c r="J43" s="137"/>
      <c r="K43" s="137"/>
    </row>
    <row r="44" spans="1:12" x14ac:dyDescent="0.25">
      <c r="A44" s="121" t="s">
        <v>24</v>
      </c>
      <c r="C44" s="134">
        <v>10043524.210000001</v>
      </c>
      <c r="E44" s="134">
        <v>12590920.199999999</v>
      </c>
      <c r="L44" s="122">
        <f>F5*28/100</f>
        <v>0.37060874810229455</v>
      </c>
    </row>
    <row r="45" spans="1:12" x14ac:dyDescent="0.25">
      <c r="C45" s="152">
        <f>SUM(C33:C44)</f>
        <v>89706605.530000001</v>
      </c>
      <c r="D45" s="152">
        <f>SUM(D33:D44)</f>
        <v>100</v>
      </c>
      <c r="E45" s="152">
        <f>SUM(E33:E44)</f>
        <v>136868281.75</v>
      </c>
      <c r="F45" s="122">
        <f>SUM(F33:F44)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Z53"/>
  <sheetViews>
    <sheetView workbookViewId="0">
      <selection sqref="A1:H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8.28515625" style="121" customWidth="1"/>
    <col min="4" max="4" width="21.5703125" style="122" customWidth="1"/>
    <col min="5" max="5" width="19.7109375" style="122" customWidth="1"/>
    <col min="6" max="6" width="17.28515625" style="122" customWidth="1"/>
    <col min="7" max="7" width="19.28515625" style="122" customWidth="1"/>
    <col min="8" max="8" width="20.140625" style="122" customWidth="1"/>
    <col min="9" max="9" width="12.28515625" style="122" customWidth="1"/>
    <col min="10" max="12" width="22.85546875" style="122" customWidth="1"/>
    <col min="13" max="13" width="24.28515625" style="122" customWidth="1"/>
    <col min="14" max="20" width="22.85546875" style="122" customWidth="1"/>
    <col min="21" max="21" width="10.140625" style="122" bestFit="1" customWidth="1"/>
    <col min="22" max="22" width="11" style="122" bestFit="1" customWidth="1"/>
    <col min="23" max="16384" width="9.140625" style="122"/>
  </cols>
  <sheetData>
    <row r="1" spans="1:26" x14ac:dyDescent="0.25">
      <c r="A1" s="121" t="s">
        <v>26</v>
      </c>
    </row>
    <row r="2" spans="1:26" ht="16.5" thickBot="1" x14ac:dyDescent="0.3"/>
    <row r="3" spans="1:26" ht="32.25" thickBot="1" x14ac:dyDescent="0.3">
      <c r="A3" s="123"/>
      <c r="B3" s="156" t="s">
        <v>37</v>
      </c>
      <c r="C3" s="218" t="s">
        <v>88</v>
      </c>
      <c r="D3" s="184" t="s">
        <v>96</v>
      </c>
      <c r="E3" s="195" t="s">
        <v>115</v>
      </c>
      <c r="F3" s="185" t="s">
        <v>103</v>
      </c>
      <c r="G3" s="182" t="s">
        <v>110</v>
      </c>
      <c r="H3" s="195" t="s">
        <v>102</v>
      </c>
      <c r="I3" s="200"/>
      <c r="J3" s="200">
        <v>2022</v>
      </c>
      <c r="K3" s="200">
        <v>2023</v>
      </c>
      <c r="L3" s="189" t="s">
        <v>97</v>
      </c>
      <c r="M3" s="124" t="s">
        <v>98</v>
      </c>
      <c r="N3" s="125"/>
      <c r="O3" s="125"/>
      <c r="P3" s="125"/>
      <c r="Q3" s="125"/>
      <c r="R3" s="125"/>
      <c r="S3" s="125"/>
      <c r="T3" s="125"/>
    </row>
    <row r="4" spans="1:26" ht="16.5" thickBot="1" x14ac:dyDescent="0.3">
      <c r="A4" s="153" t="s">
        <v>31</v>
      </c>
      <c r="B4" s="157">
        <v>30917.9</v>
      </c>
      <c r="C4" s="219">
        <v>72859.100000000006</v>
      </c>
      <c r="D4" s="217">
        <v>263676.60000000003</v>
      </c>
      <c r="E4" s="172">
        <v>263676.59999999998</v>
      </c>
      <c r="F4" s="159">
        <f>E4/D4</f>
        <v>0.99999999999999978</v>
      </c>
      <c r="G4" s="186">
        <f>E4</f>
        <v>263676.59999999998</v>
      </c>
      <c r="H4" s="172">
        <v>53082.6</v>
      </c>
      <c r="I4" s="201"/>
      <c r="J4" s="172">
        <v>53082.6</v>
      </c>
      <c r="K4" s="172">
        <v>53082.6</v>
      </c>
      <c r="L4" s="191">
        <v>263676.59999999998</v>
      </c>
      <c r="M4" s="128">
        <f>H5/4</f>
        <v>56855.1</v>
      </c>
      <c r="N4" s="129"/>
      <c r="O4" s="129">
        <f>F4-D4</f>
        <v>-263675.60000000003</v>
      </c>
      <c r="P4" s="129">
        <f>311+89</f>
        <v>400</v>
      </c>
      <c r="Q4" s="129"/>
      <c r="R4" s="129"/>
      <c r="S4" s="129"/>
      <c r="T4" s="129"/>
    </row>
    <row r="5" spans="1:26" ht="16.5" thickBot="1" x14ac:dyDescent="0.3">
      <c r="A5" s="130" t="s">
        <v>30</v>
      </c>
      <c r="B5" s="30">
        <v>136868.30000000002</v>
      </c>
      <c r="C5" s="131">
        <f>C6+C7+C8</f>
        <v>339123.3</v>
      </c>
      <c r="D5" s="131">
        <v>136941.70000000001</v>
      </c>
      <c r="E5" s="173">
        <f>E6+E7+E8</f>
        <v>201730.49999999997</v>
      </c>
      <c r="F5" s="159">
        <f t="shared" ref="F5:F9" si="0">E5/D5</f>
        <v>1.4731122806274493</v>
      </c>
      <c r="G5" s="187">
        <f>G6+G7+G8</f>
        <v>212330.4</v>
      </c>
      <c r="H5" s="173">
        <f>H6+H7+H8</f>
        <v>227420.4</v>
      </c>
      <c r="I5" s="202" t="s">
        <v>87</v>
      </c>
      <c r="J5" s="202">
        <f>J6+J7+J8</f>
        <v>232347.1</v>
      </c>
      <c r="K5" s="202">
        <f>K6+K7+K8</f>
        <v>237273.1</v>
      </c>
      <c r="L5" s="192">
        <f>L6+L7+L8</f>
        <v>129536.1</v>
      </c>
      <c r="M5" s="128">
        <v>59127</v>
      </c>
      <c r="N5" s="122">
        <f>111478.3+155.1</f>
        <v>111633.40000000001</v>
      </c>
      <c r="O5" s="129"/>
      <c r="P5" s="129"/>
      <c r="Q5" s="129"/>
      <c r="R5" s="129"/>
      <c r="S5" s="129"/>
      <c r="T5" s="129"/>
      <c r="V5" s="122" t="s">
        <v>20</v>
      </c>
      <c r="W5" s="122" t="s">
        <v>21</v>
      </c>
      <c r="X5" s="122" t="s">
        <v>22</v>
      </c>
      <c r="Y5" s="122" t="s">
        <v>23</v>
      </c>
      <c r="Z5" s="122" t="s">
        <v>24</v>
      </c>
    </row>
    <row r="6" spans="1:26" ht="16.5" thickBot="1" x14ac:dyDescent="0.3">
      <c r="A6" s="133" t="s">
        <v>25</v>
      </c>
      <c r="B6" s="35">
        <v>115643.6</v>
      </c>
      <c r="C6" s="134">
        <v>322378.5</v>
      </c>
      <c r="D6" s="135">
        <v>115717</v>
      </c>
      <c r="E6" s="174">
        <v>175395.3</v>
      </c>
      <c r="F6" s="159">
        <f t="shared" si="0"/>
        <v>1.5157262977782002</v>
      </c>
      <c r="G6" s="188">
        <v>191105.7</v>
      </c>
      <c r="H6" s="174">
        <v>197052.3</v>
      </c>
      <c r="I6" s="203"/>
      <c r="J6" s="215">
        <v>201979</v>
      </c>
      <c r="K6" s="215">
        <v>206905</v>
      </c>
      <c r="L6" s="158">
        <f>111478.3</f>
        <v>111478.3</v>
      </c>
      <c r="M6" s="122" t="s">
        <v>108</v>
      </c>
      <c r="N6" s="129"/>
      <c r="O6" s="136">
        <f>F4+P9</f>
        <v>400619.30000000005</v>
      </c>
      <c r="P6" s="136"/>
      <c r="Q6" s="136"/>
      <c r="R6" s="136"/>
      <c r="S6" s="136"/>
      <c r="T6" s="136"/>
      <c r="U6" s="137" t="e">
        <f>D6-#REF!</f>
        <v>#REF!</v>
      </c>
      <c r="V6" s="122" t="e">
        <f>U6/5</f>
        <v>#REF!</v>
      </c>
      <c r="W6" s="122">
        <v>8380</v>
      </c>
      <c r="X6" s="122">
        <v>8380</v>
      </c>
      <c r="Y6" s="122">
        <v>8380</v>
      </c>
      <c r="Z6" s="122">
        <v>8380</v>
      </c>
    </row>
    <row r="7" spans="1:26" ht="16.5" thickBot="1" x14ac:dyDescent="0.3">
      <c r="A7" s="133" t="s">
        <v>28</v>
      </c>
      <c r="B7" s="35">
        <v>14870.8</v>
      </c>
      <c r="C7" s="134">
        <v>16358.1</v>
      </c>
      <c r="D7" s="135">
        <v>14870.8</v>
      </c>
      <c r="E7" s="174">
        <v>24973.3</v>
      </c>
      <c r="F7" s="159">
        <f t="shared" si="0"/>
        <v>1.6793514807542298</v>
      </c>
      <c r="G7" s="188">
        <v>14870.8</v>
      </c>
      <c r="H7" s="174">
        <v>28605.599999999999</v>
      </c>
      <c r="I7" s="204"/>
      <c r="J7" s="204">
        <v>28605.599999999999</v>
      </c>
      <c r="K7" s="204">
        <v>28605.599999999999</v>
      </c>
      <c r="L7" s="180">
        <v>17586.400000000001</v>
      </c>
      <c r="M7" s="299" t="s">
        <v>109</v>
      </c>
      <c r="N7" s="129"/>
      <c r="O7" s="136"/>
      <c r="P7" s="136"/>
      <c r="Q7" s="136"/>
      <c r="R7" s="136"/>
      <c r="S7" s="136"/>
      <c r="T7" s="136"/>
      <c r="U7" s="137" t="e">
        <f>D7-#REF!</f>
        <v>#REF!</v>
      </c>
      <c r="V7" s="122" t="e">
        <f>U7/5</f>
        <v>#REF!</v>
      </c>
      <c r="W7" s="122">
        <v>1172.1600000000001</v>
      </c>
      <c r="X7" s="122">
        <v>1172.1600000000001</v>
      </c>
      <c r="Y7" s="122">
        <v>1172.1600000000001</v>
      </c>
      <c r="Z7" s="122">
        <v>1172.1600000000001</v>
      </c>
    </row>
    <row r="8" spans="1:26" ht="16.5" thickBot="1" x14ac:dyDescent="0.3">
      <c r="A8" s="138" t="s">
        <v>29</v>
      </c>
      <c r="B8" s="37">
        <v>6353.9</v>
      </c>
      <c r="C8" s="139">
        <v>386.7</v>
      </c>
      <c r="D8" s="140">
        <v>6353.9</v>
      </c>
      <c r="E8" s="220">
        <v>1361.9</v>
      </c>
      <c r="F8" s="159">
        <f t="shared" si="0"/>
        <v>0.21434079856466109</v>
      </c>
      <c r="G8" s="186">
        <v>6353.9</v>
      </c>
      <c r="H8" s="175">
        <v>1762.5</v>
      </c>
      <c r="I8" s="205"/>
      <c r="J8" s="205">
        <v>1762.5</v>
      </c>
      <c r="K8" s="205">
        <v>1762.5</v>
      </c>
      <c r="L8" s="181">
        <v>471.4</v>
      </c>
      <c r="M8" s="299"/>
      <c r="N8" s="129"/>
      <c r="O8" s="136">
        <f>D4+D5-E5</f>
        <v>198887.80000000008</v>
      </c>
      <c r="P8" s="136"/>
      <c r="Q8" s="136"/>
      <c r="R8" s="136"/>
      <c r="S8" s="136"/>
      <c r="T8" s="136"/>
      <c r="U8" s="137" t="e">
        <f>D8-#REF!</f>
        <v>#REF!</v>
      </c>
      <c r="V8" s="122" t="e">
        <f>U8/5</f>
        <v>#REF!</v>
      </c>
      <c r="W8" s="122">
        <v>321.36</v>
      </c>
      <c r="X8" s="122">
        <v>321.36</v>
      </c>
      <c r="Y8" s="122">
        <v>321.36</v>
      </c>
      <c r="Z8" s="122">
        <v>321.36</v>
      </c>
    </row>
    <row r="9" spans="1:26" ht="16.5" thickBot="1" x14ac:dyDescent="0.3">
      <c r="A9" s="141" t="s">
        <v>27</v>
      </c>
      <c r="B9" s="31">
        <v>94927.1</v>
      </c>
      <c r="C9" s="142">
        <v>148305.79999999999</v>
      </c>
      <c r="D9" s="143">
        <v>366383.30000000005</v>
      </c>
      <c r="E9" s="176">
        <v>316264.40000000002</v>
      </c>
      <c r="F9" s="159">
        <f t="shared" si="0"/>
        <v>0.86320637430799929</v>
      </c>
      <c r="G9" s="143">
        <f>G4+G5-G10</f>
        <v>422924.4</v>
      </c>
      <c r="H9" s="176">
        <f>H4+H5-H10</f>
        <v>227420.4</v>
      </c>
      <c r="I9" s="206"/>
      <c r="J9" s="206">
        <f>J4+J5-J10</f>
        <v>232347.1</v>
      </c>
      <c r="K9" s="206">
        <f>K4+K5-K10</f>
        <v>237273.1</v>
      </c>
      <c r="L9" s="193">
        <v>205553.8</v>
      </c>
      <c r="N9" s="129"/>
      <c r="O9" s="144">
        <f>O8/3</f>
        <v>66295.933333333363</v>
      </c>
      <c r="P9" s="144">
        <f>D4+D5</f>
        <v>400618.30000000005</v>
      </c>
      <c r="Q9" s="144"/>
      <c r="R9" s="144"/>
      <c r="S9" s="144"/>
      <c r="T9" s="144"/>
    </row>
    <row r="10" spans="1:26" ht="16.5" thickBot="1" x14ac:dyDescent="0.3">
      <c r="A10" s="145" t="s">
        <v>32</v>
      </c>
      <c r="B10" s="32">
        <v>72859.100000000006</v>
      </c>
      <c r="C10" s="126">
        <f>C4+C5-C9</f>
        <v>263676.60000000003</v>
      </c>
      <c r="D10" s="126">
        <v>34235</v>
      </c>
      <c r="E10" s="221">
        <f>E4+E5-E9</f>
        <v>149142.69999999995</v>
      </c>
      <c r="F10" s="159"/>
      <c r="G10" s="126">
        <v>53082.6</v>
      </c>
      <c r="H10" s="177">
        <v>53082.6</v>
      </c>
      <c r="I10" s="207"/>
      <c r="J10" s="172">
        <v>53082.6</v>
      </c>
      <c r="K10" s="172">
        <v>53082.6</v>
      </c>
      <c r="L10" s="194">
        <f>L4+L5-L9</f>
        <v>187658.89999999997</v>
      </c>
      <c r="M10" s="122">
        <v>35200</v>
      </c>
      <c r="N10" s="129">
        <f>H4*4</f>
        <v>212330.4</v>
      </c>
      <c r="O10" s="146"/>
      <c r="P10" s="146">
        <f>P9+O4</f>
        <v>136942.70000000001</v>
      </c>
      <c r="Q10" s="146"/>
      <c r="R10" s="146"/>
      <c r="S10" s="146"/>
      <c r="T10" s="146"/>
    </row>
    <row r="11" spans="1:26" ht="31.5" x14ac:dyDescent="0.25">
      <c r="A11" s="147" t="s">
        <v>99</v>
      </c>
      <c r="B11" s="148">
        <f>B4+B5</f>
        <v>167786.2</v>
      </c>
      <c r="C11" s="148">
        <f>C4+C5</f>
        <v>411982.4</v>
      </c>
      <c r="D11" s="148">
        <f t="shared" ref="D11" si="1">D4+D5</f>
        <v>400618.30000000005</v>
      </c>
      <c r="E11" s="178">
        <f>E4+E5</f>
        <v>465407.1</v>
      </c>
      <c r="F11" s="159"/>
      <c r="G11" s="148">
        <f>G4+G5</f>
        <v>476007</v>
      </c>
      <c r="H11" s="178">
        <f>H4+H5</f>
        <v>280503</v>
      </c>
      <c r="I11" s="178"/>
      <c r="J11" s="178">
        <f t="shared" ref="J11:K11" si="2">J4+J5</f>
        <v>285429.7</v>
      </c>
      <c r="K11" s="178">
        <f t="shared" si="2"/>
        <v>290355.7</v>
      </c>
      <c r="L11" s="190">
        <f>L4+L5</f>
        <v>393212.69999999995</v>
      </c>
      <c r="N11" s="137"/>
      <c r="O11" s="137"/>
      <c r="P11" s="137"/>
      <c r="Q11" s="137"/>
      <c r="R11" s="137"/>
      <c r="S11" s="137"/>
      <c r="T11" s="137"/>
    </row>
    <row r="12" spans="1:26" x14ac:dyDescent="0.25">
      <c r="A12" s="222"/>
      <c r="B12" s="223"/>
      <c r="C12" s="223"/>
      <c r="D12" s="223"/>
      <c r="E12" s="224"/>
      <c r="F12" s="225"/>
      <c r="G12" s="223"/>
      <c r="H12" s="224"/>
      <c r="I12" s="224"/>
      <c r="J12" s="224"/>
      <c r="K12" s="224"/>
      <c r="L12" s="226"/>
      <c r="N12" s="137"/>
      <c r="O12" s="137"/>
      <c r="P12" s="137"/>
      <c r="Q12" s="137"/>
      <c r="R12" s="137"/>
      <c r="S12" s="137"/>
      <c r="T12" s="137"/>
    </row>
    <row r="13" spans="1:26" x14ac:dyDescent="0.25">
      <c r="A13" s="222"/>
      <c r="B13" s="223"/>
      <c r="C13" s="223"/>
      <c r="D13" s="223"/>
      <c r="E13" s="224">
        <f>E6/10</f>
        <v>17539.53</v>
      </c>
      <c r="F13" s="225"/>
      <c r="G13" s="223"/>
      <c r="H13" s="224"/>
      <c r="I13" s="224"/>
      <c r="J13" s="224"/>
      <c r="K13" s="224"/>
      <c r="L13" s="226"/>
      <c r="N13" s="137"/>
      <c r="O13" s="137"/>
      <c r="P13" s="137"/>
      <c r="Q13" s="137"/>
      <c r="R13" s="137"/>
      <c r="S13" s="137"/>
      <c r="T13" s="137"/>
    </row>
    <row r="14" spans="1:26" x14ac:dyDescent="0.25">
      <c r="A14" s="222"/>
      <c r="B14" s="223"/>
      <c r="C14" s="223"/>
      <c r="D14" s="223"/>
      <c r="E14" s="224">
        <f>E13*12</f>
        <v>210474.36</v>
      </c>
      <c r="F14" s="225"/>
      <c r="G14" s="223"/>
      <c r="H14" s="224"/>
      <c r="I14" s="224"/>
      <c r="J14" s="224"/>
      <c r="K14" s="224"/>
      <c r="L14" s="226"/>
      <c r="N14" s="137"/>
      <c r="O14" s="137"/>
      <c r="P14" s="137"/>
      <c r="Q14" s="137"/>
      <c r="R14" s="137"/>
      <c r="S14" s="137"/>
      <c r="T14" s="137"/>
    </row>
    <row r="15" spans="1:26" x14ac:dyDescent="0.25">
      <c r="A15" s="222"/>
      <c r="B15" s="223"/>
      <c r="C15" s="223"/>
      <c r="D15" s="223"/>
      <c r="E15" s="224">
        <f>E9/10*12</f>
        <v>379517.28</v>
      </c>
      <c r="F15" s="225"/>
      <c r="G15" s="223"/>
      <c r="H15" s="224"/>
      <c r="I15" s="224"/>
      <c r="J15" s="224"/>
      <c r="K15" s="224"/>
      <c r="L15" s="226"/>
      <c r="N15" s="137"/>
      <c r="O15" s="137"/>
      <c r="P15" s="137"/>
      <c r="Q15" s="137"/>
      <c r="R15" s="137"/>
      <c r="S15" s="137"/>
      <c r="T15" s="137"/>
    </row>
    <row r="16" spans="1:26" x14ac:dyDescent="0.25">
      <c r="A16" s="222"/>
      <c r="B16" s="223"/>
      <c r="C16" s="223"/>
      <c r="D16" s="223"/>
      <c r="E16" s="224">
        <f>E4+E14+E7+E8-E15</f>
        <v>120968.87999999995</v>
      </c>
      <c r="F16" s="225"/>
      <c r="G16" s="223"/>
      <c r="H16" s="224"/>
      <c r="I16" s="224"/>
      <c r="J16" s="224"/>
      <c r="K16" s="224"/>
      <c r="L16" s="226"/>
      <c r="N16" s="137"/>
      <c r="O16" s="137"/>
      <c r="P16" s="137"/>
      <c r="Q16" s="137"/>
      <c r="R16" s="137"/>
      <c r="S16" s="137"/>
      <c r="T16" s="137"/>
    </row>
    <row r="17" spans="1:22" x14ac:dyDescent="0.25">
      <c r="A17" s="222"/>
      <c r="B17" s="223"/>
      <c r="C17" s="223"/>
      <c r="D17" s="223"/>
      <c r="E17" s="224"/>
      <c r="F17" s="225"/>
      <c r="G17" s="223"/>
      <c r="H17" s="224"/>
      <c r="I17" s="224"/>
      <c r="J17" s="224"/>
      <c r="K17" s="224"/>
      <c r="L17" s="226"/>
      <c r="N17" s="137"/>
      <c r="O17" s="137"/>
      <c r="P17" s="137"/>
      <c r="Q17" s="137"/>
      <c r="R17" s="137"/>
      <c r="S17" s="137"/>
      <c r="T17" s="137"/>
    </row>
    <row r="18" spans="1:22" x14ac:dyDescent="0.25">
      <c r="A18" s="222"/>
      <c r="B18" s="223"/>
      <c r="C18" s="223"/>
      <c r="D18" s="223"/>
      <c r="E18" s="224"/>
      <c r="F18" s="225"/>
      <c r="G18" s="223"/>
      <c r="H18" s="224"/>
      <c r="I18" s="224"/>
      <c r="J18" s="224"/>
      <c r="K18" s="224"/>
      <c r="L18" s="226"/>
      <c r="N18" s="137"/>
      <c r="O18" s="137"/>
      <c r="P18" s="137"/>
      <c r="Q18" s="137"/>
      <c r="R18" s="137"/>
      <c r="S18" s="137"/>
      <c r="T18" s="137"/>
    </row>
    <row r="19" spans="1:22" x14ac:dyDescent="0.25">
      <c r="A19" s="222"/>
      <c r="B19" s="223"/>
      <c r="C19" s="223"/>
      <c r="D19" s="223"/>
      <c r="E19" s="224"/>
      <c r="F19" s="225"/>
      <c r="G19" s="223"/>
      <c r="H19" s="224"/>
      <c r="I19" s="224"/>
      <c r="J19" s="224"/>
      <c r="K19" s="224"/>
      <c r="L19" s="226"/>
      <c r="N19" s="137"/>
      <c r="O19" s="137"/>
      <c r="P19" s="137"/>
      <c r="Q19" s="137"/>
      <c r="R19" s="137"/>
      <c r="S19" s="137"/>
      <c r="T19" s="137"/>
    </row>
    <row r="20" spans="1:22" ht="16.5" thickBot="1" x14ac:dyDescent="0.3">
      <c r="D20" s="137"/>
      <c r="E20" s="137"/>
      <c r="H20" s="137">
        <f>H11-D11</f>
        <v>-120115.30000000005</v>
      </c>
      <c r="I20" s="137"/>
      <c r="J20" s="137"/>
      <c r="K20" s="137"/>
      <c r="L20" s="137"/>
      <c r="M20" s="137"/>
      <c r="N20" s="151">
        <f>M4/4</f>
        <v>14213.775</v>
      </c>
      <c r="O20" s="137"/>
      <c r="P20" s="137"/>
      <c r="Q20" s="137"/>
      <c r="R20" s="137"/>
      <c r="S20" s="137"/>
      <c r="T20" s="137"/>
    </row>
    <row r="21" spans="1:22" x14ac:dyDescent="0.25">
      <c r="D21" s="137">
        <f>311526.4+89091.9</f>
        <v>400618.30000000005</v>
      </c>
      <c r="E21" s="137">
        <f>E6+E7+E8</f>
        <v>201730.49999999997</v>
      </c>
      <c r="H21" s="160"/>
      <c r="I21" s="196"/>
      <c r="J21" s="196"/>
      <c r="K21" s="196"/>
      <c r="L21" s="161" t="s">
        <v>104</v>
      </c>
      <c r="M21" s="161"/>
      <c r="N21" s="162"/>
      <c r="O21" s="137"/>
      <c r="P21" s="137"/>
      <c r="Q21" s="137"/>
      <c r="R21" s="137"/>
      <c r="S21" s="137"/>
      <c r="T21" s="137"/>
    </row>
    <row r="22" spans="1:22" ht="32.25" thickBot="1" x14ac:dyDescent="0.3">
      <c r="B22" s="121">
        <f>D6/B6</f>
        <v>1.0006347087084801</v>
      </c>
      <c r="C22" s="121">
        <v>2017</v>
      </c>
      <c r="E22" s="122">
        <v>2018</v>
      </c>
      <c r="F22" s="137">
        <f>F4+F5</f>
        <v>2.4731122806274488</v>
      </c>
      <c r="G22" s="137"/>
      <c r="H22" s="163"/>
      <c r="I22" s="163"/>
      <c r="J22" s="163"/>
      <c r="K22" s="163"/>
      <c r="L22" s="164" t="s">
        <v>25</v>
      </c>
      <c r="M22" s="164" t="s">
        <v>28</v>
      </c>
      <c r="N22" s="165" t="s">
        <v>29</v>
      </c>
      <c r="O22" s="128">
        <f>E5*4</f>
        <v>806921.99999999988</v>
      </c>
    </row>
    <row r="23" spans="1:22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66" t="s">
        <v>112</v>
      </c>
      <c r="I23" s="197"/>
      <c r="J23" s="197"/>
      <c r="K23" s="197"/>
      <c r="L23" s="168">
        <f>E6/9</f>
        <v>19488.366666666665</v>
      </c>
      <c r="M23" s="168">
        <f>E7/9</f>
        <v>2774.8111111111111</v>
      </c>
      <c r="N23" s="169">
        <f>E8/9</f>
        <v>151.32222222222222</v>
      </c>
      <c r="O23" s="150">
        <f>F4+O22</f>
        <v>806922.99999999988</v>
      </c>
    </row>
    <row r="24" spans="1:22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63" t="s">
        <v>105</v>
      </c>
      <c r="I24" s="198"/>
      <c r="J24" s="198"/>
      <c r="K24" s="198"/>
      <c r="L24" s="168">
        <f>L23*12</f>
        <v>233860.39999999997</v>
      </c>
      <c r="M24" s="168">
        <f>M23*12</f>
        <v>33297.733333333337</v>
      </c>
      <c r="N24" s="169">
        <f>N23*12</f>
        <v>1815.8666666666668</v>
      </c>
      <c r="O24" s="151">
        <f>O22/4</f>
        <v>201730.49999999997</v>
      </c>
    </row>
    <row r="25" spans="1:22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67" t="s">
        <v>113</v>
      </c>
      <c r="I25" s="199"/>
      <c r="J25" s="199"/>
      <c r="K25" s="199"/>
      <c r="L25" s="170">
        <f>L24*1.03</f>
        <v>240876.21199999997</v>
      </c>
      <c r="M25" s="170">
        <f>M24*1.03</f>
        <v>34296.665333333338</v>
      </c>
      <c r="N25" s="171">
        <f>N24*1.03</f>
        <v>1870.3426666666669</v>
      </c>
      <c r="V25" s="137">
        <f>D25-D4</f>
        <v>-263676.60000000003</v>
      </c>
    </row>
    <row r="26" spans="1:22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37"/>
      <c r="O26" s="137"/>
      <c r="P26" s="137"/>
      <c r="Q26" s="137"/>
      <c r="R26" s="137"/>
      <c r="S26" s="137"/>
      <c r="T26" s="137"/>
      <c r="V26" s="122">
        <f>10587.8</f>
        <v>10587.8</v>
      </c>
    </row>
    <row r="27" spans="1:22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28">
        <f>(F5-E5)/3</f>
        <v>-67243.00896257312</v>
      </c>
      <c r="V27" s="137">
        <f>V26+D7+D8</f>
        <v>31812.5</v>
      </c>
    </row>
    <row r="28" spans="1:22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37"/>
      <c r="M28" s="137"/>
      <c r="N28" s="137"/>
      <c r="O28" s="137"/>
      <c r="P28" s="137"/>
      <c r="Q28" s="137"/>
      <c r="R28" s="137"/>
      <c r="S28" s="137"/>
      <c r="T28" s="137"/>
    </row>
    <row r="29" spans="1:22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>
        <v>12699.2</v>
      </c>
      <c r="I29" s="210"/>
      <c r="J29" s="212"/>
      <c r="K29" s="212"/>
      <c r="L29" s="137"/>
      <c r="M29" s="137">
        <f>M5/4</f>
        <v>14781.75</v>
      </c>
      <c r="N29" s="137"/>
      <c r="O29" s="137"/>
      <c r="P29" s="137"/>
      <c r="Q29" s="137"/>
      <c r="R29" s="137"/>
      <c r="S29" s="137"/>
      <c r="T29" s="137"/>
    </row>
    <row r="30" spans="1:22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10">
        <v>13078.6</v>
      </c>
      <c r="I30" s="210">
        <f t="shared" ref="I30" si="3">H30/H29</f>
        <v>1.029875897694343</v>
      </c>
      <c r="J30" s="210"/>
      <c r="K30" s="210"/>
      <c r="L30" s="211">
        <v>1.03</v>
      </c>
      <c r="O30" s="122">
        <f>D5/4</f>
        <v>34235.425000000003</v>
      </c>
    </row>
    <row r="31" spans="1:22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10">
        <v>13696.7</v>
      </c>
      <c r="I31" s="210">
        <f>H31/H30</f>
        <v>1.0472604101356415</v>
      </c>
      <c r="J31" s="210"/>
      <c r="K31" s="210"/>
      <c r="L31" s="211">
        <v>1.0469999999999999</v>
      </c>
      <c r="M31" s="216">
        <f>L25*L31</f>
        <v>252197.39396399996</v>
      </c>
    </row>
    <row r="32" spans="1:22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10">
        <v>14469.5</v>
      </c>
      <c r="I32" s="210">
        <f>H32/H31</f>
        <v>1.0564223499091021</v>
      </c>
      <c r="J32" s="210"/>
      <c r="K32" s="210"/>
      <c r="L32" s="211">
        <v>1.056</v>
      </c>
    </row>
    <row r="33" spans="1:20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</row>
    <row r="34" spans="1:20" x14ac:dyDescent="0.25">
      <c r="A34" s="121" t="s">
        <v>24</v>
      </c>
      <c r="C34" s="134">
        <v>8878424.5999999996</v>
      </c>
      <c r="E34" s="134">
        <v>10022617.619999999</v>
      </c>
      <c r="J34" s="122">
        <v>197052.3</v>
      </c>
    </row>
    <row r="35" spans="1:20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0" x14ac:dyDescent="0.25">
      <c r="D36" s="137"/>
      <c r="E36" s="137"/>
      <c r="F36" s="137"/>
      <c r="G36" s="137"/>
      <c r="H36" s="137"/>
      <c r="I36" s="137"/>
      <c r="J36" s="137"/>
      <c r="K36" s="137"/>
      <c r="L36" s="137" t="s">
        <v>100</v>
      </c>
      <c r="M36" s="137"/>
      <c r="N36" s="137"/>
      <c r="O36" s="137"/>
      <c r="P36" s="137"/>
      <c r="Q36" s="137"/>
      <c r="R36" s="137"/>
      <c r="S36" s="137"/>
      <c r="T36" s="137"/>
    </row>
    <row r="37" spans="1:20" x14ac:dyDescent="0.25">
      <c r="K37" s="213"/>
    </row>
    <row r="38" spans="1:20" x14ac:dyDescent="0.25">
      <c r="H38" s="122">
        <v>2.5000000000000001E-2</v>
      </c>
      <c r="I38" s="122">
        <f>H38*H6</f>
        <v>4926.3074999999999</v>
      </c>
      <c r="J38" s="137">
        <f>I38+H6</f>
        <v>201978.60749999998</v>
      </c>
      <c r="K38" s="214">
        <v>201979</v>
      </c>
    </row>
    <row r="39" spans="1:20" x14ac:dyDescent="0.25">
      <c r="A39" s="121" t="s">
        <v>50</v>
      </c>
      <c r="H39" s="122">
        <v>0.05</v>
      </c>
      <c r="I39" s="122">
        <f>H39*H6</f>
        <v>9852.6149999999998</v>
      </c>
      <c r="J39" s="137">
        <f>I39+H6</f>
        <v>206904.91499999998</v>
      </c>
      <c r="K39" s="214">
        <v>206905</v>
      </c>
    </row>
    <row r="40" spans="1:20" x14ac:dyDescent="0.25">
      <c r="C40" s="121">
        <v>2017</v>
      </c>
      <c r="E40" s="122">
        <v>2018</v>
      </c>
    </row>
    <row r="41" spans="1:20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</row>
    <row r="42" spans="1:20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22" t="s">
        <v>101</v>
      </c>
    </row>
    <row r="43" spans="1:20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</row>
    <row r="44" spans="1:20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</row>
    <row r="45" spans="1:20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</row>
    <row r="46" spans="1:20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</row>
    <row r="47" spans="1:20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</row>
    <row r="48" spans="1:20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</row>
    <row r="49" spans="1:12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</row>
    <row r="50" spans="1:12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</row>
    <row r="51" spans="1:12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</row>
    <row r="52" spans="1:12" x14ac:dyDescent="0.25">
      <c r="A52" s="121" t="s">
        <v>24</v>
      </c>
      <c r="C52" s="134">
        <v>10043524.210000001</v>
      </c>
      <c r="E52" s="134">
        <v>12590920.199999999</v>
      </c>
      <c r="L52" s="122">
        <f>F5*28/100</f>
        <v>0.4124714385756858</v>
      </c>
    </row>
    <row r="53" spans="1:12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M7:M8"/>
  </mergeCells>
  <pageMargins left="0.11811023622047245" right="0.11811023622047245" top="0.74803149606299213" bottom="0.74803149606299213" header="0.31496062992125984" footer="0.31496062992125984"/>
  <pageSetup paperSize="9" scale="92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A53"/>
  <sheetViews>
    <sheetView workbookViewId="0">
      <selection sqref="A1:G11"/>
    </sheetView>
  </sheetViews>
  <sheetFormatPr defaultColWidth="9.140625" defaultRowHeight="15.75" x14ac:dyDescent="0.25"/>
  <cols>
    <col min="1" max="1" width="40.42578125" style="121" customWidth="1"/>
    <col min="2" max="2" width="20.140625" style="121" hidden="1" customWidth="1"/>
    <col min="3" max="3" width="19.28515625" style="121" hidden="1" customWidth="1"/>
    <col min="4" max="4" width="21.5703125" style="122" customWidth="1"/>
    <col min="5" max="5" width="19.7109375" style="122" customWidth="1"/>
    <col min="6" max="6" width="13.5703125" style="122" customWidth="1"/>
    <col min="7" max="8" width="19.28515625" style="122" customWidth="1"/>
    <col min="9" max="9" width="20.140625" style="122" customWidth="1"/>
    <col min="10" max="10" width="12.28515625" style="122" customWidth="1"/>
    <col min="11" max="13" width="22.85546875" style="122" customWidth="1"/>
    <col min="14" max="14" width="24.28515625" style="122" customWidth="1"/>
    <col min="15" max="21" width="22.85546875" style="122" customWidth="1"/>
    <col min="22" max="22" width="10.140625" style="122" bestFit="1" customWidth="1"/>
    <col min="23" max="23" width="11" style="122" bestFit="1" customWidth="1"/>
    <col min="24" max="16384" width="9.140625" style="122"/>
  </cols>
  <sheetData>
    <row r="1" spans="1:27" x14ac:dyDescent="0.25">
      <c r="A1" s="121" t="s">
        <v>26</v>
      </c>
    </row>
    <row r="2" spans="1:27" ht="16.5" thickBot="1" x14ac:dyDescent="0.3"/>
    <row r="3" spans="1:27" ht="32.25" thickBot="1" x14ac:dyDescent="0.3">
      <c r="A3" s="123"/>
      <c r="B3" s="156" t="s">
        <v>37</v>
      </c>
      <c r="C3" s="218" t="s">
        <v>116</v>
      </c>
      <c r="D3" s="184" t="s">
        <v>118</v>
      </c>
      <c r="E3" s="195" t="s">
        <v>119</v>
      </c>
      <c r="F3" s="227" t="s">
        <v>120</v>
      </c>
      <c r="G3" s="182" t="s">
        <v>121</v>
      </c>
      <c r="I3" s="195" t="s">
        <v>102</v>
      </c>
      <c r="J3" s="200"/>
      <c r="K3" s="200">
        <v>2022</v>
      </c>
      <c r="L3" s="200">
        <v>2023</v>
      </c>
      <c r="M3" s="189" t="s">
        <v>97</v>
      </c>
      <c r="N3" s="124" t="s">
        <v>98</v>
      </c>
      <c r="O3" s="125"/>
      <c r="P3" s="125"/>
      <c r="Q3" s="125"/>
      <c r="R3" s="125"/>
      <c r="S3" s="125"/>
      <c r="T3" s="125"/>
      <c r="U3" s="125"/>
    </row>
    <row r="4" spans="1:27" ht="16.5" thickBot="1" x14ac:dyDescent="0.3">
      <c r="A4" s="153" t="s">
        <v>31</v>
      </c>
      <c r="B4" s="157">
        <v>30917.9</v>
      </c>
      <c r="C4" s="186">
        <v>263676.59999999998</v>
      </c>
      <c r="D4" s="217">
        <v>53082.6</v>
      </c>
      <c r="E4" s="172">
        <v>95420.7</v>
      </c>
      <c r="F4" s="159">
        <f t="shared" ref="F4:F9" si="0">E4/D4</f>
        <v>1.7975890404765402</v>
      </c>
      <c r="G4" s="186">
        <f>E4</f>
        <v>95420.7</v>
      </c>
      <c r="I4" s="172">
        <v>53082.6</v>
      </c>
      <c r="J4" s="201"/>
      <c r="K4" s="172">
        <v>53082.6</v>
      </c>
      <c r="L4" s="172">
        <v>53082.6</v>
      </c>
      <c r="M4" s="191">
        <v>263676.59999999998</v>
      </c>
      <c r="N4" s="128">
        <f>I5/4</f>
        <v>56855.1</v>
      </c>
      <c r="O4" s="129"/>
      <c r="P4" s="129">
        <f>F4-D4</f>
        <v>-53080.802410959521</v>
      </c>
      <c r="Q4" s="129">
        <f>311+89</f>
        <v>400</v>
      </c>
      <c r="R4" s="129"/>
      <c r="S4" s="129"/>
      <c r="T4" s="129"/>
      <c r="U4" s="129"/>
    </row>
    <row r="5" spans="1:27" ht="16.5" thickBot="1" x14ac:dyDescent="0.3">
      <c r="A5" s="130" t="s">
        <v>30</v>
      </c>
      <c r="B5" s="30">
        <v>136868.30000000002</v>
      </c>
      <c r="C5" s="187">
        <f>C6+C7+C8</f>
        <v>220659.6</v>
      </c>
      <c r="D5" s="131">
        <v>227420.4</v>
      </c>
      <c r="E5" s="173">
        <f>E6+E7+E8</f>
        <v>57066.200000000004</v>
      </c>
      <c r="F5" s="159">
        <f t="shared" si="0"/>
        <v>0.25092823686881216</v>
      </c>
      <c r="G5" s="187">
        <f>G6+G7+G8</f>
        <v>227420.4</v>
      </c>
      <c r="I5" s="173">
        <f>I6+I7+I8</f>
        <v>227420.4</v>
      </c>
      <c r="J5" s="202" t="s">
        <v>87</v>
      </c>
      <c r="K5" s="202">
        <f>K6+K7+K8</f>
        <v>232347.1</v>
      </c>
      <c r="L5" s="202">
        <f>L6+L7+L8</f>
        <v>237273.1</v>
      </c>
      <c r="M5" s="192">
        <f>M6+M7+M8</f>
        <v>129536.1</v>
      </c>
      <c r="N5" s="128">
        <v>59127</v>
      </c>
      <c r="O5" s="122">
        <f>111478.3+155.1</f>
        <v>111633.40000000001</v>
      </c>
      <c r="P5" s="129"/>
      <c r="Q5" s="129"/>
      <c r="R5" s="129"/>
      <c r="S5" s="129"/>
      <c r="T5" s="129"/>
      <c r="U5" s="129"/>
      <c r="W5" s="122" t="s">
        <v>20</v>
      </c>
      <c r="X5" s="122" t="s">
        <v>21</v>
      </c>
      <c r="Y5" s="122" t="s">
        <v>22</v>
      </c>
      <c r="Z5" s="122" t="s">
        <v>23</v>
      </c>
      <c r="AA5" s="122" t="s">
        <v>24</v>
      </c>
    </row>
    <row r="6" spans="1:27" ht="16.5" thickBot="1" x14ac:dyDescent="0.3">
      <c r="A6" s="133" t="s">
        <v>25</v>
      </c>
      <c r="B6" s="35">
        <v>115643.6</v>
      </c>
      <c r="C6" s="188">
        <v>192719.8</v>
      </c>
      <c r="D6" s="135">
        <v>197052.3</v>
      </c>
      <c r="E6" s="174">
        <v>54715.3</v>
      </c>
      <c r="F6" s="159">
        <f t="shared" si="0"/>
        <v>0.27766892342794275</v>
      </c>
      <c r="G6" s="135">
        <v>197052.3</v>
      </c>
      <c r="I6" s="174">
        <v>197052.3</v>
      </c>
      <c r="J6" s="203"/>
      <c r="K6" s="215">
        <v>201979</v>
      </c>
      <c r="L6" s="215">
        <v>206905</v>
      </c>
      <c r="M6" s="158">
        <f>111478.3</f>
        <v>111478.3</v>
      </c>
      <c r="N6" s="122" t="s">
        <v>108</v>
      </c>
      <c r="O6" s="129"/>
      <c r="P6" s="136">
        <f>F4+Q9</f>
        <v>280504.79758904048</v>
      </c>
      <c r="Q6" s="136"/>
      <c r="R6" s="136"/>
      <c r="S6" s="136"/>
      <c r="T6" s="136"/>
      <c r="U6" s="136"/>
      <c r="V6" s="137" t="e">
        <f>D6-#REF!</f>
        <v>#REF!</v>
      </c>
      <c r="W6" s="122" t="e">
        <f>V6/5</f>
        <v>#REF!</v>
      </c>
      <c r="X6" s="122">
        <v>8380</v>
      </c>
      <c r="Y6" s="122">
        <v>8380</v>
      </c>
      <c r="Z6" s="122">
        <v>8380</v>
      </c>
      <c r="AA6" s="122">
        <v>8380</v>
      </c>
    </row>
    <row r="7" spans="1:27" ht="16.5" thickBot="1" x14ac:dyDescent="0.3">
      <c r="A7" s="133" t="s">
        <v>28</v>
      </c>
      <c r="B7" s="35">
        <v>14870.8</v>
      </c>
      <c r="C7" s="188">
        <v>25474.2</v>
      </c>
      <c r="D7" s="135">
        <v>28605.599999999999</v>
      </c>
      <c r="E7" s="174">
        <v>2300.4</v>
      </c>
      <c r="F7" s="159">
        <f t="shared" si="0"/>
        <v>8.0417820286936836E-2</v>
      </c>
      <c r="G7" s="135">
        <v>28605.599999999999</v>
      </c>
      <c r="I7" s="174">
        <v>28605.599999999999</v>
      </c>
      <c r="J7" s="204"/>
      <c r="K7" s="204">
        <v>28605.599999999999</v>
      </c>
      <c r="L7" s="204">
        <v>28605.599999999999</v>
      </c>
      <c r="M7" s="180">
        <v>17586.400000000001</v>
      </c>
      <c r="N7" s="299" t="s">
        <v>109</v>
      </c>
      <c r="O7" s="129"/>
      <c r="P7" s="136"/>
      <c r="Q7" s="136"/>
      <c r="R7" s="136"/>
      <c r="S7" s="136"/>
      <c r="T7" s="136"/>
      <c r="U7" s="136"/>
      <c r="V7" s="137" t="e">
        <f>D7-#REF!</f>
        <v>#REF!</v>
      </c>
      <c r="W7" s="122" t="e">
        <f>V7/5</f>
        <v>#REF!</v>
      </c>
      <c r="X7" s="122">
        <v>1172.1600000000001</v>
      </c>
      <c r="Y7" s="122">
        <v>1172.1600000000001</v>
      </c>
      <c r="Z7" s="122">
        <v>1172.1600000000001</v>
      </c>
      <c r="AA7" s="122">
        <v>1172.1600000000001</v>
      </c>
    </row>
    <row r="8" spans="1:27" ht="16.5" thickBot="1" x14ac:dyDescent="0.3">
      <c r="A8" s="138" t="s">
        <v>29</v>
      </c>
      <c r="B8" s="37">
        <v>6353.9</v>
      </c>
      <c r="C8" s="186">
        <v>2465.6</v>
      </c>
      <c r="D8" s="140">
        <v>1762.5</v>
      </c>
      <c r="E8" s="220">
        <v>50.5</v>
      </c>
      <c r="F8" s="159">
        <f t="shared" si="0"/>
        <v>2.8652482269503544E-2</v>
      </c>
      <c r="G8" s="140">
        <v>1762.5</v>
      </c>
      <c r="I8" s="175">
        <v>1762.5</v>
      </c>
      <c r="J8" s="205"/>
      <c r="K8" s="205">
        <v>1762.5</v>
      </c>
      <c r="L8" s="205">
        <v>1762.5</v>
      </c>
      <c r="M8" s="181">
        <v>471.4</v>
      </c>
      <c r="N8" s="299"/>
      <c r="O8" s="129"/>
      <c r="P8" s="136">
        <f>D4+D5-E5</f>
        <v>223436.79999999999</v>
      </c>
      <c r="Q8" s="136"/>
      <c r="R8" s="136"/>
      <c r="S8" s="136"/>
      <c r="T8" s="136"/>
      <c r="U8" s="136"/>
      <c r="V8" s="137" t="e">
        <f>D8-#REF!</f>
        <v>#REF!</v>
      </c>
      <c r="W8" s="122" t="e">
        <f>V8/5</f>
        <v>#REF!</v>
      </c>
      <c r="X8" s="122">
        <v>321.36</v>
      </c>
      <c r="Y8" s="122">
        <v>321.36</v>
      </c>
      <c r="Z8" s="122">
        <v>321.36</v>
      </c>
      <c r="AA8" s="122">
        <v>321.36</v>
      </c>
    </row>
    <row r="9" spans="1:27" ht="16.5" thickBot="1" x14ac:dyDescent="0.3">
      <c r="A9" s="141" t="s">
        <v>27</v>
      </c>
      <c r="B9" s="31">
        <v>94927.1</v>
      </c>
      <c r="C9" s="143">
        <v>388915.5</v>
      </c>
      <c r="D9" s="143">
        <v>227420.4</v>
      </c>
      <c r="E9" s="176">
        <v>31579.3</v>
      </c>
      <c r="F9" s="159">
        <f t="shared" si="0"/>
        <v>0.13885869517422358</v>
      </c>
      <c r="G9" s="143">
        <f>G4+G5-G10</f>
        <v>269758.5</v>
      </c>
      <c r="I9" s="176">
        <f>I4+I5-I10</f>
        <v>227420.4</v>
      </c>
      <c r="J9" s="206"/>
      <c r="K9" s="206">
        <f>K4+K5-K10</f>
        <v>232347.1</v>
      </c>
      <c r="L9" s="206">
        <f>L4+L5-L10</f>
        <v>237273.1</v>
      </c>
      <c r="M9" s="193">
        <v>205553.8</v>
      </c>
      <c r="O9" s="129"/>
      <c r="P9" s="144">
        <f>P8/3</f>
        <v>74478.933333333334</v>
      </c>
      <c r="Q9" s="144">
        <f>D4+D5</f>
        <v>280503</v>
      </c>
      <c r="R9" s="144"/>
      <c r="S9" s="144"/>
      <c r="T9" s="144"/>
      <c r="U9" s="144"/>
    </row>
    <row r="10" spans="1:27" ht="16.5" thickBot="1" x14ac:dyDescent="0.3">
      <c r="A10" s="145" t="s">
        <v>32</v>
      </c>
      <c r="B10" s="32">
        <v>72859.100000000006</v>
      </c>
      <c r="C10" s="126">
        <f>C4+C5-C9</f>
        <v>95420.699999999953</v>
      </c>
      <c r="D10" s="126">
        <v>53082.6</v>
      </c>
      <c r="E10" s="221">
        <f>E4+E5-E9</f>
        <v>120907.59999999999</v>
      </c>
      <c r="F10" s="159"/>
      <c r="G10" s="126">
        <v>53082.6</v>
      </c>
      <c r="I10" s="177">
        <v>53082.6</v>
      </c>
      <c r="J10" s="207"/>
      <c r="K10" s="172">
        <v>53082.6</v>
      </c>
      <c r="L10" s="172">
        <v>53082.6</v>
      </c>
      <c r="M10" s="194">
        <f>M4+M5-M9</f>
        <v>187658.89999999997</v>
      </c>
      <c r="N10" s="122">
        <v>35200</v>
      </c>
      <c r="O10" s="129">
        <f>I4*4</f>
        <v>212330.4</v>
      </c>
      <c r="P10" s="146"/>
      <c r="Q10" s="146">
        <f>Q9+P4</f>
        <v>227422.19758904047</v>
      </c>
      <c r="R10" s="146"/>
      <c r="S10" s="146"/>
      <c r="T10" s="146"/>
      <c r="U10" s="146"/>
    </row>
    <row r="11" spans="1:27" ht="31.5" x14ac:dyDescent="0.25">
      <c r="A11" s="147" t="s">
        <v>99</v>
      </c>
      <c r="B11" s="148">
        <f>B4+B5</f>
        <v>167786.2</v>
      </c>
      <c r="C11" s="148">
        <f>C4+C5</f>
        <v>484336.19999999995</v>
      </c>
      <c r="D11" s="148">
        <f t="shared" ref="D11" si="1">D4+D5</f>
        <v>280503</v>
      </c>
      <c r="E11" s="178">
        <f>E4+E5</f>
        <v>152486.9</v>
      </c>
      <c r="F11" s="159"/>
      <c r="G11" s="228">
        <f>G4+G5</f>
        <v>322841.09999999998</v>
      </c>
      <c r="I11" s="178">
        <f>I4+I5</f>
        <v>280503</v>
      </c>
      <c r="J11" s="178"/>
      <c r="K11" s="178">
        <f t="shared" ref="K11:L11" si="2">K4+K5</f>
        <v>285429.7</v>
      </c>
      <c r="L11" s="178">
        <f t="shared" si="2"/>
        <v>290355.7</v>
      </c>
      <c r="M11" s="190">
        <f>M4+M5</f>
        <v>393212.69999999995</v>
      </c>
      <c r="O11" s="137"/>
      <c r="P11" s="137"/>
      <c r="Q11" s="137"/>
      <c r="R11" s="137"/>
      <c r="S11" s="137"/>
      <c r="T11" s="137"/>
      <c r="U11" s="137"/>
    </row>
    <row r="12" spans="1:27" x14ac:dyDescent="0.25">
      <c r="A12" s="222"/>
      <c r="B12" s="223"/>
      <c r="C12" s="223"/>
      <c r="D12" s="223"/>
      <c r="E12" s="229"/>
      <c r="F12" s="225"/>
      <c r="G12" s="223"/>
      <c r="H12" s="223"/>
      <c r="I12" s="224"/>
      <c r="J12" s="224"/>
      <c r="K12" s="224"/>
      <c r="L12" s="224"/>
      <c r="M12" s="226"/>
      <c r="O12" s="137"/>
      <c r="P12" s="137"/>
      <c r="Q12" s="137"/>
      <c r="R12" s="137"/>
      <c r="S12" s="137"/>
      <c r="T12" s="137"/>
      <c r="U12" s="137"/>
    </row>
    <row r="13" spans="1:27" x14ac:dyDescent="0.25">
      <c r="A13" s="222"/>
      <c r="B13" s="223"/>
      <c r="C13" s="223"/>
      <c r="D13" s="223">
        <f>D11-D10</f>
        <v>227420.4</v>
      </c>
      <c r="F13" s="225"/>
      <c r="G13" s="229">
        <f>D13+[1]Источники!G22</f>
        <v>269758.5</v>
      </c>
      <c r="H13" s="223"/>
      <c r="I13" s="224"/>
      <c r="J13" s="224"/>
      <c r="K13" s="224"/>
      <c r="L13" s="224"/>
      <c r="M13" s="226"/>
      <c r="O13" s="137"/>
      <c r="P13" s="137"/>
      <c r="Q13" s="137"/>
      <c r="R13" s="137"/>
      <c r="S13" s="137"/>
      <c r="T13" s="137"/>
      <c r="U13" s="137"/>
    </row>
    <row r="14" spans="1:27" x14ac:dyDescent="0.25">
      <c r="A14" s="222"/>
      <c r="B14" s="223"/>
      <c r="C14" s="223"/>
      <c r="D14" s="224">
        <f>D6</f>
        <v>197052.3</v>
      </c>
      <c r="E14" s="224">
        <f>E6*4</f>
        <v>218861.2</v>
      </c>
      <c r="F14" s="225"/>
      <c r="G14" s="223"/>
      <c r="H14" s="223"/>
      <c r="I14" s="224"/>
      <c r="J14" s="224"/>
      <c r="K14" s="224"/>
      <c r="L14" s="224"/>
      <c r="M14" s="226"/>
      <c r="O14" s="137"/>
      <c r="P14" s="137"/>
      <c r="Q14" s="137"/>
      <c r="R14" s="137"/>
      <c r="S14" s="137"/>
      <c r="T14" s="137"/>
      <c r="U14" s="137"/>
    </row>
    <row r="15" spans="1:27" x14ac:dyDescent="0.25">
      <c r="A15" s="222"/>
      <c r="B15" s="223"/>
      <c r="C15" s="223"/>
      <c r="D15" s="224">
        <f>D9</f>
        <v>227420.4</v>
      </c>
      <c r="E15" s="224">
        <f>E9*4</f>
        <v>126317.2</v>
      </c>
      <c r="F15" s="225"/>
      <c r="G15" s="223"/>
      <c r="H15" s="223"/>
      <c r="I15" s="224"/>
      <c r="J15" s="224"/>
      <c r="K15" s="224"/>
      <c r="L15" s="224"/>
      <c r="M15" s="226"/>
      <c r="O15" s="137"/>
      <c r="P15" s="137"/>
      <c r="Q15" s="137"/>
      <c r="R15" s="137"/>
      <c r="S15" s="137"/>
      <c r="T15" s="137"/>
      <c r="U15" s="137"/>
    </row>
    <row r="16" spans="1:27" x14ac:dyDescent="0.25">
      <c r="A16" s="222"/>
      <c r="B16" s="223"/>
      <c r="C16" s="223"/>
      <c r="D16" s="224">
        <f>D14-D15</f>
        <v>-30368.100000000006</v>
      </c>
      <c r="E16" s="224">
        <f>E14-E15</f>
        <v>92544.000000000015</v>
      </c>
      <c r="F16" s="225"/>
      <c r="G16" s="223"/>
      <c r="H16" s="223"/>
      <c r="I16" s="224"/>
      <c r="J16" s="224"/>
      <c r="K16" s="224"/>
      <c r="L16" s="224"/>
      <c r="M16" s="226"/>
      <c r="O16" s="137"/>
      <c r="P16" s="137"/>
      <c r="Q16" s="137"/>
      <c r="R16" s="137"/>
      <c r="S16" s="137"/>
      <c r="T16" s="137"/>
      <c r="U16" s="137"/>
    </row>
    <row r="17" spans="1:23" x14ac:dyDescent="0.25">
      <c r="A17" s="222"/>
      <c r="B17" s="223"/>
      <c r="C17" s="223"/>
      <c r="D17" s="223"/>
      <c r="E17" s="224"/>
      <c r="F17" s="225"/>
      <c r="G17" s="223"/>
      <c r="H17" s="223"/>
      <c r="I17" s="224"/>
      <c r="J17" s="224"/>
      <c r="K17" s="224"/>
      <c r="L17" s="224"/>
      <c r="M17" s="226"/>
      <c r="O17" s="137"/>
      <c r="P17" s="137"/>
      <c r="Q17" s="137"/>
      <c r="R17" s="137"/>
      <c r="S17" s="137"/>
      <c r="T17" s="137"/>
      <c r="U17" s="137"/>
    </row>
    <row r="18" spans="1:23" x14ac:dyDescent="0.25">
      <c r="A18" s="222"/>
      <c r="B18" s="223"/>
      <c r="C18" s="223"/>
      <c r="D18" s="223"/>
      <c r="E18" s="224"/>
      <c r="F18" s="225"/>
      <c r="G18" s="223"/>
      <c r="H18" s="223"/>
      <c r="I18" s="224"/>
      <c r="J18" s="224"/>
      <c r="K18" s="224"/>
      <c r="L18" s="224"/>
      <c r="M18" s="226"/>
      <c r="O18" s="137"/>
      <c r="P18" s="137"/>
      <c r="Q18" s="137"/>
      <c r="R18" s="137"/>
      <c r="S18" s="137"/>
      <c r="T18" s="137"/>
      <c r="U18" s="137"/>
    </row>
    <row r="19" spans="1:23" x14ac:dyDescent="0.25">
      <c r="A19" s="222"/>
      <c r="B19" s="223"/>
      <c r="C19" s="223"/>
      <c r="D19" s="223"/>
      <c r="E19" s="224"/>
      <c r="F19" s="225"/>
      <c r="G19" s="223"/>
      <c r="H19" s="223"/>
      <c r="I19" s="224"/>
      <c r="J19" s="224"/>
      <c r="K19" s="224"/>
      <c r="L19" s="224"/>
      <c r="M19" s="226"/>
      <c r="O19" s="137"/>
      <c r="P19" s="137"/>
      <c r="Q19" s="137"/>
      <c r="R19" s="137"/>
      <c r="S19" s="137"/>
      <c r="T19" s="137"/>
      <c r="U19" s="137"/>
    </row>
    <row r="20" spans="1:23" ht="16.5" thickBot="1" x14ac:dyDescent="0.3">
      <c r="D20" s="137"/>
      <c r="E20" s="137"/>
      <c r="I20" s="137">
        <f>I11-D11</f>
        <v>0</v>
      </c>
      <c r="J20" s="137"/>
      <c r="K20" s="137"/>
      <c r="L20" s="137"/>
      <c r="M20" s="137"/>
      <c r="N20" s="137"/>
      <c r="O20" s="151">
        <f>N4/4</f>
        <v>14213.775</v>
      </c>
      <c r="P20" s="137"/>
      <c r="Q20" s="137"/>
      <c r="R20" s="137"/>
      <c r="S20" s="137"/>
      <c r="T20" s="137"/>
      <c r="U20" s="137"/>
    </row>
    <row r="21" spans="1:23" x14ac:dyDescent="0.25">
      <c r="D21" s="137">
        <f>311526.4+89091.9</f>
        <v>400618.30000000005</v>
      </c>
      <c r="E21" s="137">
        <f>E6+E7+E8</f>
        <v>57066.200000000004</v>
      </c>
      <c r="I21" s="160"/>
      <c r="J21" s="196"/>
      <c r="K21" s="196"/>
      <c r="L21" s="196"/>
      <c r="M21" s="161" t="s">
        <v>104</v>
      </c>
      <c r="N21" s="161"/>
      <c r="O21" s="162"/>
      <c r="P21" s="137"/>
      <c r="Q21" s="137"/>
      <c r="R21" s="137"/>
      <c r="S21" s="137"/>
      <c r="T21" s="137"/>
      <c r="U21" s="137"/>
    </row>
    <row r="22" spans="1:23" ht="32.25" thickBot="1" x14ac:dyDescent="0.3">
      <c r="B22" s="121">
        <f>D6/B6</f>
        <v>1.703962000491164</v>
      </c>
      <c r="C22" s="121">
        <v>2017</v>
      </c>
      <c r="E22" s="122">
        <v>2018</v>
      </c>
      <c r="F22" s="137">
        <f>F4+F5</f>
        <v>2.0485172773453524</v>
      </c>
      <c r="G22" s="137"/>
      <c r="H22" s="137"/>
      <c r="I22" s="163"/>
      <c r="J22" s="163"/>
      <c r="K22" s="163"/>
      <c r="L22" s="163"/>
      <c r="M22" s="164" t="s">
        <v>25</v>
      </c>
      <c r="N22" s="164" t="s">
        <v>28</v>
      </c>
      <c r="O22" s="165" t="s">
        <v>29</v>
      </c>
      <c r="P22" s="128">
        <f>E5*4</f>
        <v>228264.80000000002</v>
      </c>
    </row>
    <row r="23" spans="1:23" ht="31.5" x14ac:dyDescent="0.25">
      <c r="A23" s="121" t="s">
        <v>42</v>
      </c>
      <c r="C23" s="134">
        <v>144194.07999999999</v>
      </c>
      <c r="D23" s="149">
        <f>(C23+C24+C25)/C35*100</f>
        <v>11.151542180885901</v>
      </c>
      <c r="E23" s="134">
        <v>580376.31999999995</v>
      </c>
      <c r="F23" s="149">
        <f>(E23+E24+E25)/E35*100</f>
        <v>20.129841170545955</v>
      </c>
      <c r="G23" s="149"/>
      <c r="H23" s="149"/>
      <c r="I23" s="166" t="s">
        <v>112</v>
      </c>
      <c r="J23" s="197"/>
      <c r="K23" s="197"/>
      <c r="L23" s="197"/>
      <c r="M23" s="168">
        <f>E6/9</f>
        <v>6079.4777777777781</v>
      </c>
      <c r="N23" s="168">
        <f>E7/9</f>
        <v>255.60000000000002</v>
      </c>
      <c r="O23" s="169">
        <f>E8/9</f>
        <v>5.6111111111111107</v>
      </c>
      <c r="P23" s="150">
        <f>F4+P22</f>
        <v>228266.5975890405</v>
      </c>
    </row>
    <row r="24" spans="1:23" x14ac:dyDescent="0.25">
      <c r="A24" s="121" t="s">
        <v>43</v>
      </c>
      <c r="C24" s="134">
        <v>4462609.54</v>
      </c>
      <c r="D24" s="149"/>
      <c r="E24" s="134">
        <v>13371505.35</v>
      </c>
      <c r="F24" s="149"/>
      <c r="G24" s="149"/>
      <c r="H24" s="149"/>
      <c r="I24" s="163" t="s">
        <v>105</v>
      </c>
      <c r="J24" s="198"/>
      <c r="K24" s="198"/>
      <c r="L24" s="198"/>
      <c r="M24" s="168">
        <f>M23*12</f>
        <v>72953.733333333337</v>
      </c>
      <c r="N24" s="168">
        <f>N23*12</f>
        <v>3067.2000000000003</v>
      </c>
      <c r="O24" s="169">
        <f>O23*12</f>
        <v>67.333333333333329</v>
      </c>
      <c r="P24" s="151">
        <f>P22/4</f>
        <v>57066.200000000004</v>
      </c>
    </row>
    <row r="25" spans="1:23" ht="16.5" thickBot="1" x14ac:dyDescent="0.3">
      <c r="A25" s="121" t="s">
        <v>44</v>
      </c>
      <c r="C25" s="134">
        <v>3113195.23</v>
      </c>
      <c r="D25" s="149"/>
      <c r="E25" s="134">
        <v>9326995.0700000003</v>
      </c>
      <c r="F25" s="149"/>
      <c r="G25" s="149"/>
      <c r="H25" s="149"/>
      <c r="I25" s="167" t="s">
        <v>113</v>
      </c>
      <c r="J25" s="199"/>
      <c r="K25" s="199"/>
      <c r="L25" s="199"/>
      <c r="M25" s="170">
        <f>M24*1.03</f>
        <v>75142.345333333345</v>
      </c>
      <c r="N25" s="170">
        <f>N24*1.03</f>
        <v>3159.2160000000003</v>
      </c>
      <c r="O25" s="171">
        <f>O24*1.03</f>
        <v>69.353333333333325</v>
      </c>
      <c r="W25" s="137">
        <f>D25-D4</f>
        <v>-53082.6</v>
      </c>
    </row>
    <row r="26" spans="1:23" x14ac:dyDescent="0.25">
      <c r="A26" s="121" t="s">
        <v>45</v>
      </c>
      <c r="C26" s="134">
        <v>7398841.5499999998</v>
      </c>
      <c r="D26" s="149">
        <f>(C26+C27+C28)/C35*100</f>
        <v>26.157073673088675</v>
      </c>
      <c r="E26" s="134">
        <v>9845880.9399999995</v>
      </c>
      <c r="F26" s="149">
        <f>(E26+E27+E28)/E35*100</f>
        <v>28.690706666866856</v>
      </c>
      <c r="G26" s="149"/>
      <c r="H26" s="149"/>
      <c r="I26" s="149"/>
      <c r="J26" s="149"/>
      <c r="K26" s="149"/>
      <c r="L26" s="149"/>
      <c r="M26" s="149"/>
      <c r="N26" s="149"/>
      <c r="O26" s="137"/>
      <c r="P26" s="137"/>
      <c r="Q26" s="137"/>
      <c r="R26" s="137"/>
      <c r="S26" s="137"/>
      <c r="T26" s="137"/>
      <c r="U26" s="137"/>
      <c r="W26" s="122">
        <f>10587.8</f>
        <v>10587.8</v>
      </c>
    </row>
    <row r="27" spans="1:23" x14ac:dyDescent="0.25">
      <c r="A27" s="121" t="s">
        <v>46</v>
      </c>
      <c r="C27" s="134">
        <v>4740129.82</v>
      </c>
      <c r="D27" s="149"/>
      <c r="E27" s="134">
        <v>12671684.76</v>
      </c>
      <c r="F27" s="149"/>
      <c r="G27" s="149"/>
      <c r="H27" s="149"/>
      <c r="I27" s="149"/>
      <c r="J27" s="149"/>
      <c r="K27" s="149"/>
      <c r="L27" s="149"/>
      <c r="M27" s="149"/>
      <c r="N27" s="149"/>
      <c r="O27" s="128">
        <f>(F5-E5)/3</f>
        <v>-19021.983023921046</v>
      </c>
      <c r="W27" s="137">
        <f>W26+D7+D8</f>
        <v>40955.899999999994</v>
      </c>
    </row>
    <row r="28" spans="1:23" x14ac:dyDescent="0.25">
      <c r="A28" s="121" t="s">
        <v>47</v>
      </c>
      <c r="C28" s="134">
        <v>5969069.2400000002</v>
      </c>
      <c r="D28" s="149"/>
      <c r="E28" s="134">
        <v>10661405.68</v>
      </c>
      <c r="F28" s="149"/>
      <c r="G28" s="149"/>
      <c r="H28" s="149"/>
      <c r="I28" s="149"/>
      <c r="J28" s="149"/>
      <c r="K28" s="149"/>
      <c r="L28" s="149"/>
      <c r="M28" s="137"/>
      <c r="N28" s="137"/>
      <c r="O28" s="137"/>
      <c r="P28" s="137"/>
      <c r="Q28" s="137"/>
      <c r="R28" s="137"/>
      <c r="S28" s="137"/>
      <c r="T28" s="137"/>
      <c r="U28" s="137"/>
    </row>
    <row r="29" spans="1:23" x14ac:dyDescent="0.25">
      <c r="A29" s="121" t="s">
        <v>48</v>
      </c>
      <c r="C29" s="134">
        <v>7071438.3300000001</v>
      </c>
      <c r="D29" s="149">
        <f>(C29+C30+C31)/C35*100</f>
        <v>30.056121172869531</v>
      </c>
      <c r="E29" s="134">
        <v>8380583.2300000004</v>
      </c>
      <c r="F29" s="149">
        <f>(E29+E30+E31)/E35*100</f>
        <v>23.42185572128815</v>
      </c>
      <c r="G29" s="149"/>
      <c r="H29" s="149"/>
      <c r="I29" s="149">
        <v>12699.2</v>
      </c>
      <c r="J29" s="210"/>
      <c r="K29" s="212"/>
      <c r="L29" s="212"/>
      <c r="M29" s="137"/>
      <c r="N29" s="137">
        <f>N5/4</f>
        <v>14781.75</v>
      </c>
      <c r="O29" s="137"/>
      <c r="P29" s="137"/>
      <c r="Q29" s="137"/>
      <c r="R29" s="137"/>
      <c r="S29" s="137"/>
      <c r="T29" s="137"/>
      <c r="U29" s="137"/>
    </row>
    <row r="30" spans="1:23" ht="18.75" x14ac:dyDescent="0.3">
      <c r="A30" s="121" t="s">
        <v>20</v>
      </c>
      <c r="C30" s="134">
        <v>6641544.5899999999</v>
      </c>
      <c r="D30" s="149"/>
      <c r="E30" s="134">
        <v>9711265.4800000004</v>
      </c>
      <c r="F30" s="149"/>
      <c r="G30" s="209">
        <v>2021</v>
      </c>
      <c r="H30" s="209"/>
      <c r="I30" s="210">
        <v>13078.6</v>
      </c>
      <c r="J30" s="210">
        <f t="shared" ref="J30" si="3">I30/I29</f>
        <v>1.029875897694343</v>
      </c>
      <c r="K30" s="210"/>
      <c r="L30" s="210"/>
      <c r="M30" s="211">
        <v>1.03</v>
      </c>
      <c r="P30" s="122">
        <f>D5/4</f>
        <v>56855.1</v>
      </c>
    </row>
    <row r="31" spans="1:23" ht="18.75" x14ac:dyDescent="0.3">
      <c r="A31" s="121" t="s">
        <v>21</v>
      </c>
      <c r="C31" s="134">
        <v>7094293.5199999996</v>
      </c>
      <c r="D31" s="149"/>
      <c r="E31" s="134">
        <v>8994032.7799999993</v>
      </c>
      <c r="F31" s="149"/>
      <c r="G31" s="209">
        <v>2022</v>
      </c>
      <c r="H31" s="209"/>
      <c r="I31" s="210">
        <v>13696.7</v>
      </c>
      <c r="J31" s="210">
        <f>I31/I30</f>
        <v>1.0472604101356415</v>
      </c>
      <c r="K31" s="210"/>
      <c r="L31" s="210"/>
      <c r="M31" s="211">
        <v>1.0469999999999999</v>
      </c>
      <c r="N31" s="216">
        <f>M25*M31</f>
        <v>78674.035564000005</v>
      </c>
    </row>
    <row r="32" spans="1:23" ht="18.75" x14ac:dyDescent="0.3">
      <c r="A32" s="121" t="s">
        <v>22</v>
      </c>
      <c r="C32" s="134">
        <v>6614420.8099999996</v>
      </c>
      <c r="D32" s="149">
        <f>(C32+C33+C34)/C35*100</f>
        <v>32.635262973155896</v>
      </c>
      <c r="E32" s="134">
        <v>10615421.470000001</v>
      </c>
      <c r="F32" s="149">
        <f>(E32+E33+E34)/E35*100</f>
        <v>27.757596441299036</v>
      </c>
      <c r="G32" s="209">
        <v>2023</v>
      </c>
      <c r="H32" s="209"/>
      <c r="I32" s="210">
        <v>14469.5</v>
      </c>
      <c r="J32" s="210">
        <f>I32/I31</f>
        <v>1.0564223499091021</v>
      </c>
      <c r="K32" s="210"/>
      <c r="L32" s="210"/>
      <c r="M32" s="211">
        <v>1.056</v>
      </c>
    </row>
    <row r="33" spans="1:21" x14ac:dyDescent="0.25">
      <c r="A33" s="121" t="s">
        <v>23</v>
      </c>
      <c r="C33" s="134">
        <v>7099921.4500000002</v>
      </c>
      <c r="D33" s="137"/>
      <c r="E33" s="134">
        <v>11461849.859999999</v>
      </c>
      <c r="F33" s="137"/>
      <c r="G33" s="137"/>
      <c r="H33" s="137"/>
      <c r="I33" s="137"/>
      <c r="J33" s="137"/>
      <c r="K33" s="137"/>
      <c r="L33" s="137"/>
      <c r="M33" s="137"/>
      <c r="N33" s="137"/>
      <c r="O33" s="137"/>
      <c r="P33" s="137"/>
      <c r="Q33" s="137"/>
      <c r="R33" s="137"/>
      <c r="S33" s="137"/>
      <c r="T33" s="137"/>
      <c r="U33" s="137"/>
    </row>
    <row r="34" spans="1:21" x14ac:dyDescent="0.25">
      <c r="A34" s="121" t="s">
        <v>24</v>
      </c>
      <c r="C34" s="134">
        <v>8878424.5999999996</v>
      </c>
      <c r="E34" s="134">
        <v>10022617.619999999</v>
      </c>
      <c r="K34" s="122">
        <v>197052.3</v>
      </c>
    </row>
    <row r="35" spans="1:21" x14ac:dyDescent="0.25">
      <c r="C35" s="152">
        <f>SUM(C23:C34)</f>
        <v>69228082.75999999</v>
      </c>
      <c r="D35" s="152">
        <f>SUM(D23:D34)</f>
        <v>100</v>
      </c>
      <c r="E35" s="152">
        <f>SUM(E23:E34)</f>
        <v>115643618.56</v>
      </c>
      <c r="F35" s="122">
        <f>SUM(F23:F34)</f>
        <v>100</v>
      </c>
    </row>
    <row r="36" spans="1:21" x14ac:dyDescent="0.25">
      <c r="D36" s="137"/>
      <c r="E36" s="137"/>
      <c r="F36" s="137"/>
      <c r="G36" s="137"/>
      <c r="H36" s="137"/>
      <c r="I36" s="137"/>
      <c r="J36" s="137"/>
      <c r="K36" s="137"/>
      <c r="L36" s="137"/>
      <c r="M36" s="137" t="s">
        <v>100</v>
      </c>
      <c r="N36" s="137"/>
      <c r="O36" s="137"/>
      <c r="P36" s="137"/>
      <c r="Q36" s="137"/>
      <c r="R36" s="137"/>
      <c r="S36" s="137"/>
      <c r="T36" s="137"/>
      <c r="U36" s="137"/>
    </row>
    <row r="37" spans="1:21" x14ac:dyDescent="0.25">
      <c r="L37" s="213"/>
    </row>
    <row r="38" spans="1:21" x14ac:dyDescent="0.25">
      <c r="I38" s="122">
        <v>2.5000000000000001E-2</v>
      </c>
      <c r="J38" s="122">
        <f>I38*I6</f>
        <v>4926.3074999999999</v>
      </c>
      <c r="K38" s="137">
        <f>J38+I6</f>
        <v>201978.60749999998</v>
      </c>
      <c r="L38" s="214">
        <v>201979</v>
      </c>
    </row>
    <row r="39" spans="1:21" x14ac:dyDescent="0.25">
      <c r="A39" s="121" t="s">
        <v>50</v>
      </c>
      <c r="I39" s="122">
        <v>0.05</v>
      </c>
      <c r="J39" s="122">
        <f>I39*I6</f>
        <v>9852.6149999999998</v>
      </c>
      <c r="K39" s="137">
        <f>J39+I6</f>
        <v>206904.91499999998</v>
      </c>
      <c r="L39" s="214">
        <v>206905</v>
      </c>
    </row>
    <row r="40" spans="1:21" x14ac:dyDescent="0.25">
      <c r="C40" s="121">
        <v>2017</v>
      </c>
      <c r="E40" s="122">
        <v>2018</v>
      </c>
    </row>
    <row r="41" spans="1:21" x14ac:dyDescent="0.25">
      <c r="A41" s="121" t="s">
        <v>42</v>
      </c>
      <c r="C41" s="134">
        <v>1048202.42</v>
      </c>
      <c r="D41" s="149">
        <f>(C41+C42+C43)/C53*100</f>
        <v>12.1948785659285</v>
      </c>
      <c r="E41" s="134">
        <v>1804466.33</v>
      </c>
      <c r="F41" s="149">
        <f>(E41+E42+E43)/E53*100</f>
        <v>19.609743577423117</v>
      </c>
      <c r="G41" s="149"/>
      <c r="H41" s="149"/>
      <c r="I41" s="149"/>
      <c r="J41" s="149"/>
      <c r="K41" s="149"/>
      <c r="L41" s="149"/>
    </row>
    <row r="42" spans="1:21" x14ac:dyDescent="0.25">
      <c r="A42" s="121" t="s">
        <v>43</v>
      </c>
      <c r="C42" s="134">
        <v>5639762.8700000001</v>
      </c>
      <c r="D42" s="149"/>
      <c r="E42" s="134">
        <v>14598026.84</v>
      </c>
      <c r="F42" s="149"/>
      <c r="G42" s="149"/>
      <c r="H42" s="149"/>
      <c r="I42" s="149"/>
      <c r="J42" s="149"/>
      <c r="K42" s="149"/>
      <c r="L42" s="149"/>
      <c r="M42" s="122" t="s">
        <v>101</v>
      </c>
    </row>
    <row r="43" spans="1:21" x14ac:dyDescent="0.25">
      <c r="A43" s="121" t="s">
        <v>44</v>
      </c>
      <c r="C43" s="134">
        <v>4251646.32</v>
      </c>
      <c r="D43" s="149"/>
      <c r="E43" s="134">
        <v>10437025.92</v>
      </c>
      <c r="F43" s="149"/>
      <c r="G43" s="149"/>
      <c r="H43" s="149"/>
      <c r="I43" s="149"/>
      <c r="J43" s="149"/>
      <c r="K43" s="149"/>
      <c r="L43" s="149"/>
    </row>
    <row r="44" spans="1:21" x14ac:dyDescent="0.25">
      <c r="A44" s="121" t="s">
        <v>45</v>
      </c>
      <c r="C44" s="134">
        <v>8655440.2100000009</v>
      </c>
      <c r="D44" s="149">
        <f>(C44+C45+C46)/C53*100</f>
        <v>25.492869978623965</v>
      </c>
      <c r="E44" s="134">
        <v>10883167.08</v>
      </c>
      <c r="F44" s="149">
        <f>(E44+E45+E46)/E53*100</f>
        <v>29.143841589872228</v>
      </c>
      <c r="G44" s="149"/>
      <c r="H44" s="149"/>
      <c r="I44" s="149"/>
      <c r="J44" s="149"/>
      <c r="K44" s="149"/>
      <c r="L44" s="149"/>
    </row>
    <row r="45" spans="1:21" x14ac:dyDescent="0.25">
      <c r="A45" s="121" t="s">
        <v>46</v>
      </c>
      <c r="C45" s="134">
        <v>7035336.9699999997</v>
      </c>
      <c r="D45" s="149"/>
      <c r="E45" s="134">
        <v>15334346.24</v>
      </c>
      <c r="F45" s="149"/>
      <c r="G45" s="149"/>
      <c r="H45" s="149"/>
      <c r="I45" s="149"/>
      <c r="J45" s="149"/>
      <c r="K45" s="149"/>
      <c r="L45" s="149"/>
    </row>
    <row r="46" spans="1:21" x14ac:dyDescent="0.25">
      <c r="A46" s="121" t="s">
        <v>47</v>
      </c>
      <c r="C46" s="134">
        <v>7178011.1299999999</v>
      </c>
      <c r="D46" s="149"/>
      <c r="E46" s="134">
        <v>13671161.9</v>
      </c>
      <c r="F46" s="149"/>
      <c r="G46" s="149"/>
      <c r="H46" s="149"/>
      <c r="I46" s="149"/>
      <c r="J46" s="149"/>
      <c r="K46" s="149"/>
      <c r="L46" s="149"/>
    </row>
    <row r="47" spans="1:21" x14ac:dyDescent="0.25">
      <c r="A47" s="121" t="s">
        <v>48</v>
      </c>
      <c r="C47" s="134">
        <v>8549551.1699999999</v>
      </c>
      <c r="D47" s="149">
        <f>(C47+C48+C49)/C53*100</f>
        <v>30.037025301318408</v>
      </c>
      <c r="E47" s="134">
        <v>9654861.2599999998</v>
      </c>
      <c r="F47" s="149">
        <f>(E47+E48+E49)/E53*100</f>
        <v>22.779448255914122</v>
      </c>
      <c r="G47" s="149"/>
      <c r="H47" s="149"/>
      <c r="I47" s="149"/>
      <c r="J47" s="149"/>
      <c r="K47" s="149"/>
      <c r="L47" s="149"/>
    </row>
    <row r="48" spans="1:21" x14ac:dyDescent="0.25">
      <c r="A48" s="121" t="s">
        <v>20</v>
      </c>
      <c r="C48" s="134">
        <v>8401419.0399999991</v>
      </c>
      <c r="D48" s="149"/>
      <c r="E48" s="134">
        <v>10879409.779999999</v>
      </c>
      <c r="F48" s="149"/>
      <c r="G48" s="149"/>
      <c r="H48" s="149"/>
      <c r="I48" s="149"/>
      <c r="J48" s="149"/>
      <c r="K48" s="149"/>
      <c r="L48" s="149"/>
    </row>
    <row r="49" spans="1:13" x14ac:dyDescent="0.25">
      <c r="A49" s="121" t="s">
        <v>21</v>
      </c>
      <c r="C49" s="134">
        <v>9994225.5899999999</v>
      </c>
      <c r="D49" s="149"/>
      <c r="E49" s="134">
        <v>10643568.380000001</v>
      </c>
      <c r="F49" s="149"/>
      <c r="G49" s="149"/>
      <c r="H49" s="149"/>
      <c r="I49" s="149"/>
      <c r="J49" s="149"/>
      <c r="K49" s="149"/>
      <c r="L49" s="149"/>
    </row>
    <row r="50" spans="1:13" x14ac:dyDescent="0.25">
      <c r="A50" s="121" t="s">
        <v>22</v>
      </c>
      <c r="C50" s="134">
        <v>9100611.5600000005</v>
      </c>
      <c r="D50" s="149">
        <f>(C50+C51+C52)/C53*100</f>
        <v>32.275226154129122</v>
      </c>
      <c r="E50" s="134">
        <v>11625488.34</v>
      </c>
      <c r="F50" s="149">
        <f>(E50+E51+E52)/E53*100</f>
        <v>28.466966576790533</v>
      </c>
      <c r="G50" s="149"/>
      <c r="H50" s="149"/>
      <c r="I50" s="149"/>
      <c r="J50" s="149"/>
      <c r="K50" s="149"/>
      <c r="L50" s="149"/>
    </row>
    <row r="51" spans="1:13" x14ac:dyDescent="0.25">
      <c r="A51" s="121" t="s">
        <v>23</v>
      </c>
      <c r="C51" s="134">
        <v>9808874.0399999991</v>
      </c>
      <c r="D51" s="137"/>
      <c r="E51" s="134">
        <v>14745839.48</v>
      </c>
      <c r="F51" s="137"/>
      <c r="G51" s="137"/>
      <c r="H51" s="137"/>
      <c r="I51" s="137"/>
      <c r="J51" s="137"/>
      <c r="K51" s="137"/>
      <c r="L51" s="137"/>
    </row>
    <row r="52" spans="1:13" x14ac:dyDescent="0.25">
      <c r="A52" s="121" t="s">
        <v>24</v>
      </c>
      <c r="C52" s="134">
        <v>10043524.210000001</v>
      </c>
      <c r="E52" s="134">
        <v>12590920.199999999</v>
      </c>
      <c r="M52" s="122">
        <f>F5*28/100</f>
        <v>7.025990632326741E-2</v>
      </c>
    </row>
    <row r="53" spans="1:13" x14ac:dyDescent="0.25">
      <c r="C53" s="152">
        <f>SUM(C41:C52)</f>
        <v>89706605.530000001</v>
      </c>
      <c r="D53" s="152">
        <f>SUM(D41:D52)</f>
        <v>100</v>
      </c>
      <c r="E53" s="152">
        <f>SUM(E41:E52)</f>
        <v>136868281.75</v>
      </c>
      <c r="F53" s="122">
        <f>SUM(F41:F52)</f>
        <v>100</v>
      </c>
    </row>
  </sheetData>
  <mergeCells count="1">
    <mergeCell ref="N7:N8"/>
  </mergeCells>
  <pageMargins left="0.11811023622047245" right="0.11811023622047245" top="0.74803149606299213" bottom="0.7480314960629921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Источники</vt:lpstr>
      <vt:lpstr>Лист7</vt:lpstr>
      <vt:lpstr>НСЗ мероприятия</vt:lpstr>
      <vt:lpstr>РФ в ЛО пром вар</vt:lpstr>
      <vt:lpstr>Лист1</vt:lpstr>
      <vt:lpstr>Лист2</vt:lpstr>
      <vt:lpstr>Лист3</vt:lpstr>
      <vt:lpstr>НСЗ мероприятия (3)</vt:lpstr>
      <vt:lpstr>НСЗ мероприятия (4)</vt:lpstr>
      <vt:lpstr>НСЗ мероприятия (5)</vt:lpstr>
      <vt:lpstr>НСЗ мероприятия (6)</vt:lpstr>
      <vt:lpstr>НСЗ мер (7)</vt:lpstr>
      <vt:lpstr>'НСЗ мер (7)'!Область_печати</vt:lpstr>
      <vt:lpstr>'НСЗ мероприятия (3)'!Область_печати</vt:lpstr>
      <vt:lpstr>'НСЗ мероприятия (4)'!Область_печати</vt:lpstr>
      <vt:lpstr>'НСЗ мероприятия (5)'!Область_печати</vt:lpstr>
      <vt:lpstr>'НСЗ мероприятия (6)'!Область_печати</vt:lpstr>
    </vt:vector>
  </TitlesOfParts>
  <Company>ТФОМС ЛО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Воронкова Ольга Юрьевна</dc:creator>
  <cp:lastModifiedBy>Бугаева Анна Сергеевна</cp:lastModifiedBy>
  <cp:lastPrinted>2024-05-20T11:51:18Z</cp:lastPrinted>
  <dcterms:created xsi:type="dcterms:W3CDTF">2015-07-20T10:09:37Z</dcterms:created>
  <dcterms:modified xsi:type="dcterms:W3CDTF">2025-04-11T11:58:40Z</dcterms:modified>
</cp:coreProperties>
</file>