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4 год\Бюджет на 2025-2027\ПРОЕКТЫ ЗАКОНОВ\04.09.2024 (ВД-0,9%)\СЭД\"/>
    </mc:Choice>
  </mc:AlternateContent>
  <bookViews>
    <workbookView xWindow="0" yWindow="0" windowWidth="20730" windowHeight="11760" tabRatio="778" firstSheet="9" activeTab="10"/>
  </bookViews>
  <sheets>
    <sheet name="26.08.22" sheetId="1" r:id="rId1"/>
    <sheet name="с 01.09.2022" sheetId="6" r:id="rId2"/>
    <sheet name="14.10.22" sheetId="7" r:id="rId3"/>
    <sheet name="ПРОЕКТ с 01.02.2023" sheetId="8" r:id="rId4"/>
    <sheet name="Проект с 01.09.2023 (9%)" sheetId="9" r:id="rId5"/>
    <sheet name="ФОТ" sheetId="10" r:id="rId6"/>
    <sheet name="Лист3" sheetId="11" r:id="rId7"/>
    <sheet name="Кол-во шт.ед. для Постановления" sheetId="14" r:id="rId8"/>
    <sheet name="Проекты Шт.расп. для Постановл" sheetId="12" r:id="rId9"/>
    <sheet name="Расчет ФОТ на 2024" sheetId="17" r:id="rId10"/>
    <sheet name="Оклады" sheetId="18" r:id="rId11"/>
  </sheets>
  <definedNames>
    <definedName name="_xlnm._FilterDatabase" localSheetId="0" hidden="1">'26.08.22'!$A$11:$AH$188</definedName>
    <definedName name="_xlnm._FilterDatabase" localSheetId="8" hidden="1">'Проекты Шт.расп. для Постановл'!$A$5:$M$127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8" l="1"/>
  <c r="K18" i="18"/>
  <c r="N18" i="18" s="1"/>
  <c r="K17" i="18"/>
  <c r="L18" i="18"/>
  <c r="H18" i="18"/>
  <c r="D18" i="18"/>
  <c r="E18" i="18" s="1"/>
  <c r="M18" i="18" l="1"/>
  <c r="L9" i="18" l="1"/>
  <c r="L10" i="18"/>
  <c r="L11" i="18"/>
  <c r="L12" i="18"/>
  <c r="L13" i="18"/>
  <c r="L14" i="18"/>
  <c r="L15" i="18"/>
  <c r="L16" i="18"/>
  <c r="L17" i="18"/>
  <c r="L19" i="18"/>
  <c r="L20" i="18"/>
  <c r="L21" i="18"/>
  <c r="L22" i="18"/>
  <c r="L23" i="18"/>
  <c r="L24" i="18"/>
  <c r="L25" i="18"/>
  <c r="L26" i="18"/>
  <c r="L27" i="18"/>
  <c r="L28" i="18"/>
  <c r="L29" i="18"/>
  <c r="L30" i="18"/>
  <c r="L31" i="18"/>
  <c r="L32" i="18"/>
  <c r="L33" i="18"/>
  <c r="L8" i="18"/>
  <c r="J9" i="18" l="1"/>
  <c r="M9" i="18" s="1"/>
  <c r="J10" i="18"/>
  <c r="M10" i="18" s="1"/>
  <c r="J11" i="18"/>
  <c r="M11" i="18" s="1"/>
  <c r="J12" i="18"/>
  <c r="M12" i="18" s="1"/>
  <c r="J13" i="18"/>
  <c r="M13" i="18" s="1"/>
  <c r="J14" i="18"/>
  <c r="M14" i="18" s="1"/>
  <c r="J15" i="18"/>
  <c r="M15" i="18" s="1"/>
  <c r="J16" i="18"/>
  <c r="M16" i="18" s="1"/>
  <c r="J17" i="18"/>
  <c r="M17" i="18" s="1"/>
  <c r="J19" i="18"/>
  <c r="M19" i="18" s="1"/>
  <c r="J20" i="18"/>
  <c r="M20" i="18" s="1"/>
  <c r="J21" i="18"/>
  <c r="M21" i="18" s="1"/>
  <c r="J22" i="18"/>
  <c r="M22" i="18" s="1"/>
  <c r="J23" i="18"/>
  <c r="M23" i="18" s="1"/>
  <c r="J24" i="18"/>
  <c r="M24" i="18" s="1"/>
  <c r="J25" i="18"/>
  <c r="M25" i="18" s="1"/>
  <c r="J26" i="18"/>
  <c r="M26" i="18" s="1"/>
  <c r="J27" i="18"/>
  <c r="M27" i="18" s="1"/>
  <c r="J28" i="18"/>
  <c r="M28" i="18" s="1"/>
  <c r="J29" i="18"/>
  <c r="M29" i="18" s="1"/>
  <c r="J30" i="18"/>
  <c r="M30" i="18" s="1"/>
  <c r="J31" i="18"/>
  <c r="M31" i="18" s="1"/>
  <c r="J32" i="18"/>
  <c r="M32" i="18" s="1"/>
  <c r="J33" i="18"/>
  <c r="M33" i="18" s="1"/>
  <c r="M8" i="18"/>
  <c r="I34" i="18"/>
  <c r="F34" i="18" l="1"/>
  <c r="H33" i="18"/>
  <c r="H35" i="18" s="1"/>
  <c r="H32" i="18"/>
  <c r="H31" i="18"/>
  <c r="H30" i="18"/>
  <c r="H29" i="18"/>
  <c r="H28" i="18"/>
  <c r="H27" i="18"/>
  <c r="H26" i="18"/>
  <c r="H25" i="18"/>
  <c r="H24" i="18"/>
  <c r="H23" i="18"/>
  <c r="H22" i="18"/>
  <c r="H21" i="18"/>
  <c r="H20" i="18"/>
  <c r="H19" i="18"/>
  <c r="H17" i="18"/>
  <c r="H16" i="18"/>
  <c r="H15" i="18"/>
  <c r="H14" i="18"/>
  <c r="H13" i="18"/>
  <c r="H12" i="18"/>
  <c r="H11" i="18"/>
  <c r="H10" i="18"/>
  <c r="H9" i="18"/>
  <c r="H8" i="18"/>
  <c r="H34" i="18" l="1"/>
  <c r="H36" i="18" s="1"/>
  <c r="G45" i="17"/>
  <c r="G46" i="17" s="1"/>
  <c r="C9" i="18" l="1"/>
  <c r="D9" i="18" s="1"/>
  <c r="E9" i="18" s="1"/>
  <c r="C10" i="18"/>
  <c r="D10" i="18" s="1"/>
  <c r="E10" i="18" s="1"/>
  <c r="C11" i="18"/>
  <c r="D11" i="18" s="1"/>
  <c r="C12" i="18"/>
  <c r="D12" i="18" s="1"/>
  <c r="C13" i="18"/>
  <c r="D13" i="18" s="1"/>
  <c r="E13" i="18" s="1"/>
  <c r="C14" i="18"/>
  <c r="D14" i="18" s="1"/>
  <c r="E14" i="18" s="1"/>
  <c r="C15" i="18"/>
  <c r="D15" i="18" s="1"/>
  <c r="C16" i="18"/>
  <c r="D16" i="18" s="1"/>
  <c r="C17" i="18"/>
  <c r="D17" i="18" s="1"/>
  <c r="E17" i="18" s="1"/>
  <c r="C19" i="18"/>
  <c r="D19" i="18" s="1"/>
  <c r="E19" i="18" s="1"/>
  <c r="C20" i="18"/>
  <c r="D20" i="18" s="1"/>
  <c r="C21" i="18"/>
  <c r="D21" i="18" s="1"/>
  <c r="E21" i="18" s="1"/>
  <c r="C22" i="18"/>
  <c r="D22" i="18" s="1"/>
  <c r="E22" i="18" s="1"/>
  <c r="C23" i="18"/>
  <c r="D23" i="18" s="1"/>
  <c r="E23" i="18" s="1"/>
  <c r="C24" i="18"/>
  <c r="D24" i="18" s="1"/>
  <c r="E24" i="18" s="1"/>
  <c r="C25" i="18"/>
  <c r="D25" i="18" s="1"/>
  <c r="C26" i="18"/>
  <c r="D26" i="18" s="1"/>
  <c r="E26" i="18" s="1"/>
  <c r="C27" i="18"/>
  <c r="D27" i="18" s="1"/>
  <c r="E27" i="18" s="1"/>
  <c r="C28" i="18"/>
  <c r="D28" i="18" s="1"/>
  <c r="E28" i="18" s="1"/>
  <c r="C29" i="18"/>
  <c r="D29" i="18" s="1"/>
  <c r="C30" i="18"/>
  <c r="D30" i="18" s="1"/>
  <c r="C31" i="18"/>
  <c r="D31" i="18" s="1"/>
  <c r="E31" i="18" s="1"/>
  <c r="C32" i="18"/>
  <c r="D32" i="18"/>
  <c r="E32" i="18" s="1"/>
  <c r="C33" i="18"/>
  <c r="D33" i="18" s="1"/>
  <c r="C8" i="18"/>
  <c r="D8" i="18" s="1"/>
  <c r="E20" i="18" l="1"/>
  <c r="E12" i="18"/>
  <c r="E33" i="18"/>
  <c r="E11" i="18"/>
  <c r="E15" i="18"/>
  <c r="E25" i="18"/>
  <c r="E29" i="18"/>
  <c r="E8" i="18"/>
  <c r="E30" i="18"/>
  <c r="E16" i="18"/>
  <c r="K33" i="18"/>
  <c r="K29" i="18"/>
  <c r="N29" i="18" s="1"/>
  <c r="K28" i="18"/>
  <c r="N28" i="18" s="1"/>
  <c r="K23" i="18"/>
  <c r="N23" i="18" s="1"/>
  <c r="K20" i="18"/>
  <c r="N20" i="18" s="1"/>
  <c r="N17" i="18"/>
  <c r="K16" i="18"/>
  <c r="N16" i="18" s="1"/>
  <c r="K12" i="18"/>
  <c r="N12" i="18" s="1"/>
  <c r="K8" i="18"/>
  <c r="K35" i="18" l="1"/>
  <c r="H34" i="17" s="1"/>
  <c r="I34" i="17" s="1"/>
  <c r="N33" i="18"/>
  <c r="N8" i="18"/>
  <c r="K30" i="18"/>
  <c r="N30" i="18" s="1"/>
  <c r="K22" i="18"/>
  <c r="N22" i="18" s="1"/>
  <c r="K9" i="18"/>
  <c r="N9" i="18" s="1"/>
  <c r="K15" i="18"/>
  <c r="N15" i="18" s="1"/>
  <c r="K24" i="18"/>
  <c r="N24" i="18" s="1"/>
  <c r="K32" i="18"/>
  <c r="N32" i="18" s="1"/>
  <c r="K11" i="18"/>
  <c r="N11" i="18" s="1"/>
  <c r="K26" i="18"/>
  <c r="N26" i="18" s="1"/>
  <c r="K13" i="18"/>
  <c r="N13" i="18" s="1"/>
  <c r="K10" i="18"/>
  <c r="N10" i="18" s="1"/>
  <c r="K14" i="18"/>
  <c r="N14" i="18" s="1"/>
  <c r="K19" i="18"/>
  <c r="N19" i="18" s="1"/>
  <c r="K21" i="18"/>
  <c r="N21" i="18" s="1"/>
  <c r="K25" i="18"/>
  <c r="N25" i="18" s="1"/>
  <c r="K27" i="18"/>
  <c r="N27" i="18" s="1"/>
  <c r="K31" i="18"/>
  <c r="N31" i="18" s="1"/>
  <c r="K34" i="18" l="1"/>
  <c r="H29" i="17" s="1"/>
  <c r="L34" i="18"/>
  <c r="N34" i="18"/>
  <c r="K36" i="18" l="1"/>
  <c r="H16" i="17"/>
  <c r="H18" i="17" s="1"/>
  <c r="H43" i="17" l="1"/>
  <c r="H38" i="17"/>
  <c r="H25" i="17"/>
  <c r="I16" i="17"/>
  <c r="H33" i="17"/>
  <c r="I33" i="17" l="1"/>
  <c r="H31" i="17"/>
  <c r="I29" i="17"/>
  <c r="H27" i="17"/>
  <c r="I38" i="17"/>
  <c r="H36" i="17"/>
  <c r="I43" i="17"/>
  <c r="H40" i="17"/>
  <c r="I25" i="17"/>
  <c r="H23" i="17"/>
  <c r="I18" i="17"/>
  <c r="H14" i="17"/>
  <c r="H77" i="12"/>
  <c r="I40" i="17" l="1"/>
  <c r="I23" i="17"/>
  <c r="H21" i="17"/>
  <c r="H12" i="17" s="1"/>
  <c r="I31" i="17"/>
  <c r="I27" i="17"/>
  <c r="I36" i="17"/>
  <c r="I14" i="17"/>
  <c r="Y14" i="14"/>
  <c r="Y19" i="14"/>
  <c r="Y20" i="14"/>
  <c r="Y21" i="14"/>
  <c r="Y22" i="14"/>
  <c r="Y27" i="14"/>
  <c r="Y28" i="14"/>
  <c r="T14" i="14"/>
  <c r="T19" i="14"/>
  <c r="T20" i="14"/>
  <c r="T21" i="14"/>
  <c r="T22" i="14"/>
  <c r="T28" i="14"/>
  <c r="Q26" i="14"/>
  <c r="Q25" i="14"/>
  <c r="Q24" i="14"/>
  <c r="Y24" i="14" s="1"/>
  <c r="Q23" i="14"/>
  <c r="Y23" i="14" s="1"/>
  <c r="R7" i="14"/>
  <c r="Q18" i="14"/>
  <c r="Y18" i="14" s="1"/>
  <c r="Q16" i="14"/>
  <c r="T16" i="14" s="1"/>
  <c r="R28" i="14"/>
  <c r="S28" i="14" s="1"/>
  <c r="R27" i="14"/>
  <c r="S27" i="14" s="1"/>
  <c r="R26" i="14"/>
  <c r="W26" i="14" s="1"/>
  <c r="X26" i="14" s="1"/>
  <c r="R25" i="14"/>
  <c r="W25" i="14" s="1"/>
  <c r="X25" i="14" s="1"/>
  <c r="R24" i="14"/>
  <c r="R23" i="14"/>
  <c r="W23" i="14" s="1"/>
  <c r="X23" i="14" s="1"/>
  <c r="R22" i="14"/>
  <c r="S22" i="14" s="1"/>
  <c r="R21" i="14"/>
  <c r="S21" i="14" s="1"/>
  <c r="R20" i="14"/>
  <c r="S20" i="14" s="1"/>
  <c r="R19" i="14"/>
  <c r="S19" i="14" s="1"/>
  <c r="R18" i="14"/>
  <c r="S18" i="14" s="1"/>
  <c r="R17" i="14"/>
  <c r="W17" i="14" s="1"/>
  <c r="X17" i="14" s="1"/>
  <c r="R16" i="14"/>
  <c r="R15" i="14"/>
  <c r="W15" i="14" s="1"/>
  <c r="X15" i="14" s="1"/>
  <c r="R13" i="14"/>
  <c r="W13" i="14" s="1"/>
  <c r="X13" i="14" s="1"/>
  <c r="R12" i="14"/>
  <c r="W12" i="14" s="1"/>
  <c r="X12" i="14" s="1"/>
  <c r="R11" i="14"/>
  <c r="W11" i="14" s="1"/>
  <c r="X11" i="14" s="1"/>
  <c r="R10" i="14"/>
  <c r="R9" i="14"/>
  <c r="R8" i="14"/>
  <c r="W8" i="14" s="1"/>
  <c r="X8" i="14" s="1"/>
  <c r="O28" i="14"/>
  <c r="O27" i="14"/>
  <c r="O10" i="14"/>
  <c r="O7" i="14"/>
  <c r="O11" i="14"/>
  <c r="O13" i="14"/>
  <c r="O15" i="14"/>
  <c r="O20" i="14"/>
  <c r="P20" i="14" s="1"/>
  <c r="A20" i="14"/>
  <c r="O22" i="14"/>
  <c r="P22" i="14" s="1"/>
  <c r="A22" i="14"/>
  <c r="O19" i="14"/>
  <c r="P19" i="14" s="1"/>
  <c r="A19" i="14"/>
  <c r="O26" i="14"/>
  <c r="O25" i="14"/>
  <c r="O24" i="14"/>
  <c r="O23" i="14"/>
  <c r="O21" i="14"/>
  <c r="O18" i="14"/>
  <c r="O17" i="14"/>
  <c r="O16" i="14"/>
  <c r="O12" i="14"/>
  <c r="O9" i="14"/>
  <c r="O8" i="14"/>
  <c r="O14" i="14"/>
  <c r="K29" i="14"/>
  <c r="E29" i="14"/>
  <c r="M28" i="14"/>
  <c r="J28" i="14"/>
  <c r="G28" i="14"/>
  <c r="D28" i="14"/>
  <c r="N27" i="14"/>
  <c r="T27" i="14" s="1"/>
  <c r="M27" i="14"/>
  <c r="J27" i="14"/>
  <c r="G27" i="14"/>
  <c r="D27" i="14"/>
  <c r="N26" i="14"/>
  <c r="M26" i="14"/>
  <c r="J26" i="14"/>
  <c r="G26" i="14"/>
  <c r="D26" i="14"/>
  <c r="N25" i="14"/>
  <c r="M25" i="14"/>
  <c r="J25" i="14"/>
  <c r="G25" i="14"/>
  <c r="D25" i="14"/>
  <c r="M24" i="14"/>
  <c r="J24" i="14"/>
  <c r="G24" i="14"/>
  <c r="D24" i="14"/>
  <c r="N23" i="14"/>
  <c r="M23" i="14"/>
  <c r="J23" i="14"/>
  <c r="G23" i="14"/>
  <c r="D23" i="14"/>
  <c r="M21" i="14"/>
  <c r="J21" i="14"/>
  <c r="G21" i="14"/>
  <c r="D21" i="14"/>
  <c r="N18" i="14"/>
  <c r="M18" i="14"/>
  <c r="J18" i="14"/>
  <c r="G18" i="14"/>
  <c r="D18" i="14"/>
  <c r="N17" i="14"/>
  <c r="Q17" i="14" s="1"/>
  <c r="T17" i="14" s="1"/>
  <c r="M17" i="14"/>
  <c r="J17" i="14"/>
  <c r="G17" i="14"/>
  <c r="D17" i="14"/>
  <c r="M16" i="14"/>
  <c r="J16" i="14"/>
  <c r="G16" i="14"/>
  <c r="D16" i="14"/>
  <c r="N15" i="14"/>
  <c r="M15" i="14"/>
  <c r="J15" i="14"/>
  <c r="G15" i="14"/>
  <c r="D15" i="14"/>
  <c r="M14" i="14"/>
  <c r="J14" i="14"/>
  <c r="G14" i="14"/>
  <c r="D14" i="14"/>
  <c r="N13" i="14"/>
  <c r="M13" i="14"/>
  <c r="J13" i="14"/>
  <c r="G13" i="14"/>
  <c r="D13" i="14"/>
  <c r="N12" i="14"/>
  <c r="Q12" i="14" s="1"/>
  <c r="Y12" i="14" s="1"/>
  <c r="M12" i="14"/>
  <c r="J12" i="14"/>
  <c r="G12" i="14"/>
  <c r="D12" i="14"/>
  <c r="N11" i="14"/>
  <c r="Q11" i="14" s="1"/>
  <c r="T11" i="14" s="1"/>
  <c r="M11" i="14"/>
  <c r="J11" i="14"/>
  <c r="G11" i="14"/>
  <c r="D11" i="14"/>
  <c r="N10" i="14"/>
  <c r="Q10" i="14" s="1"/>
  <c r="T10" i="14" s="1"/>
  <c r="M10" i="14"/>
  <c r="J10" i="14"/>
  <c r="G10" i="14"/>
  <c r="D10" i="14"/>
  <c r="N9" i="14"/>
  <c r="M9" i="14"/>
  <c r="J9" i="14"/>
  <c r="G9" i="14"/>
  <c r="D9" i="14"/>
  <c r="N8" i="14"/>
  <c r="Q8" i="14" s="1"/>
  <c r="T8" i="14" s="1"/>
  <c r="M8" i="14"/>
  <c r="J8" i="14"/>
  <c r="G8" i="14"/>
  <c r="D8" i="14"/>
  <c r="N7" i="14"/>
  <c r="Q7" i="14" s="1"/>
  <c r="Y7" i="14" s="1"/>
  <c r="M7" i="14"/>
  <c r="J7" i="14"/>
  <c r="G7" i="14"/>
  <c r="D7" i="14"/>
  <c r="I21" i="17" l="1"/>
  <c r="I12" i="17"/>
  <c r="H10" i="17"/>
  <c r="U22" i="14"/>
  <c r="T25" i="14"/>
  <c r="Y11" i="14"/>
  <c r="Y8" i="14"/>
  <c r="P15" i="14"/>
  <c r="T12" i="14"/>
  <c r="T26" i="14"/>
  <c r="T24" i="14"/>
  <c r="Y26" i="14"/>
  <c r="Y10" i="14"/>
  <c r="Y16" i="14"/>
  <c r="U19" i="14"/>
  <c r="P7" i="14"/>
  <c r="S16" i="14"/>
  <c r="U20" i="14"/>
  <c r="S24" i="14"/>
  <c r="T23" i="14"/>
  <c r="Y25" i="14"/>
  <c r="Y17" i="14"/>
  <c r="W24" i="14"/>
  <c r="X24" i="14" s="1"/>
  <c r="Z24" i="14" s="1"/>
  <c r="W7" i="14"/>
  <c r="X7" i="14" s="1"/>
  <c r="W21" i="14"/>
  <c r="X21" i="14" s="1"/>
  <c r="Z21" i="14" s="1"/>
  <c r="W28" i="14"/>
  <c r="X28" i="14" s="1"/>
  <c r="Z28" i="14" s="1"/>
  <c r="W20" i="14"/>
  <c r="X20" i="14" s="1"/>
  <c r="Z20" i="14" s="1"/>
  <c r="T7" i="14"/>
  <c r="T18" i="14"/>
  <c r="S26" i="14"/>
  <c r="J29" i="14"/>
  <c r="W27" i="14"/>
  <c r="X27" i="14" s="1"/>
  <c r="Z27" i="14" s="1"/>
  <c r="W19" i="14"/>
  <c r="X19" i="14" s="1"/>
  <c r="Z19" i="14" s="1"/>
  <c r="S8" i="14"/>
  <c r="Z8" i="14" s="1"/>
  <c r="S10" i="14"/>
  <c r="S12" i="14"/>
  <c r="Z12" i="14" s="1"/>
  <c r="Q15" i="14"/>
  <c r="W22" i="14"/>
  <c r="X22" i="14" s="1"/>
  <c r="Z22" i="14" s="1"/>
  <c r="W18" i="14"/>
  <c r="X18" i="14" s="1"/>
  <c r="Z18" i="14" s="1"/>
  <c r="W10" i="14"/>
  <c r="X10" i="14" s="1"/>
  <c r="W16" i="14"/>
  <c r="X16" i="14" s="1"/>
  <c r="Z16" i="14" s="1"/>
  <c r="Q9" i="14"/>
  <c r="Y9" i="14" s="1"/>
  <c r="Q13" i="14"/>
  <c r="Y13" i="14" s="1"/>
  <c r="W9" i="14"/>
  <c r="X9" i="14" s="1"/>
  <c r="S11" i="14"/>
  <c r="S17" i="14"/>
  <c r="Z17" i="14" s="1"/>
  <c r="S23" i="14"/>
  <c r="Z23" i="14" s="1"/>
  <c r="S25" i="14"/>
  <c r="Z25" i="14" s="1"/>
  <c r="S7" i="14"/>
  <c r="M29" i="14"/>
  <c r="G29" i="14"/>
  <c r="D29" i="14"/>
  <c r="P23" i="14"/>
  <c r="P21" i="14"/>
  <c r="U21" i="14" s="1"/>
  <c r="N29" i="14"/>
  <c r="P18" i="14"/>
  <c r="U18" i="14" s="1"/>
  <c r="P14" i="14"/>
  <c r="P16" i="14"/>
  <c r="P17" i="14"/>
  <c r="P8" i="14"/>
  <c r="P9" i="14"/>
  <c r="P10" i="14"/>
  <c r="P11" i="14"/>
  <c r="P12" i="14"/>
  <c r="P13" i="14"/>
  <c r="P24" i="14"/>
  <c r="P25" i="14"/>
  <c r="P26" i="14"/>
  <c r="P27" i="14"/>
  <c r="U27" i="14" s="1"/>
  <c r="P28" i="14"/>
  <c r="U28" i="14" s="1"/>
  <c r="H45" i="17" l="1"/>
  <c r="I10" i="17"/>
  <c r="U24" i="14"/>
  <c r="U11" i="14"/>
  <c r="Z11" i="14"/>
  <c r="T15" i="14"/>
  <c r="Y15" i="14"/>
  <c r="U26" i="14"/>
  <c r="Z10" i="14"/>
  <c r="Z26" i="14"/>
  <c r="U7" i="14"/>
  <c r="U10" i="14"/>
  <c r="Z7" i="14"/>
  <c r="U16" i="14"/>
  <c r="S15" i="14"/>
  <c r="U12" i="14"/>
  <c r="U23" i="14"/>
  <c r="U25" i="14"/>
  <c r="S13" i="14"/>
  <c r="Z13" i="14" s="1"/>
  <c r="T13" i="14"/>
  <c r="U8" i="14"/>
  <c r="U17" i="14"/>
  <c r="Q29" i="14"/>
  <c r="Y29" i="14" s="1"/>
  <c r="T9" i="14"/>
  <c r="S9" i="14"/>
  <c r="Z9" i="14" s="1"/>
  <c r="P29" i="14"/>
  <c r="H46" i="17" l="1"/>
  <c r="I46" i="17" s="1"/>
  <c r="I45" i="17"/>
  <c r="T29" i="14"/>
  <c r="U15" i="14"/>
  <c r="Z15" i="14"/>
  <c r="U9" i="14"/>
  <c r="U13" i="14"/>
  <c r="L122" i="12" l="1"/>
  <c r="D126" i="12"/>
  <c r="E126" i="12"/>
  <c r="K126" i="12"/>
  <c r="B126" i="12"/>
  <c r="D8" i="12"/>
  <c r="E8" i="12"/>
  <c r="G8" i="12"/>
  <c r="K8" i="12"/>
  <c r="D14" i="12"/>
  <c r="E14" i="12"/>
  <c r="G14" i="12"/>
  <c r="K14" i="12"/>
  <c r="D23" i="12"/>
  <c r="E23" i="12"/>
  <c r="K23" i="12"/>
  <c r="D29" i="12"/>
  <c r="E29" i="12"/>
  <c r="K29" i="12"/>
  <c r="D34" i="12"/>
  <c r="E34" i="12"/>
  <c r="G34" i="12"/>
  <c r="K34" i="12"/>
  <c r="D44" i="12"/>
  <c r="E44" i="12"/>
  <c r="K44" i="12"/>
  <c r="D50" i="12"/>
  <c r="E50" i="12"/>
  <c r="K50" i="12"/>
  <c r="D55" i="12"/>
  <c r="E55" i="12"/>
  <c r="K55" i="12"/>
  <c r="D61" i="12"/>
  <c r="E61" i="12"/>
  <c r="K61" i="12"/>
  <c r="D69" i="12"/>
  <c r="E69" i="12"/>
  <c r="K69" i="12"/>
  <c r="D73" i="12"/>
  <c r="E73" i="12"/>
  <c r="G73" i="12"/>
  <c r="K73" i="12"/>
  <c r="D79" i="12"/>
  <c r="E79" i="12"/>
  <c r="K79" i="12"/>
  <c r="D90" i="12"/>
  <c r="E90" i="12"/>
  <c r="K90" i="12"/>
  <c r="D97" i="12"/>
  <c r="E97" i="12"/>
  <c r="K97" i="12"/>
  <c r="D103" i="12"/>
  <c r="E103" i="12"/>
  <c r="K103" i="12"/>
  <c r="D110" i="12"/>
  <c r="E110" i="12"/>
  <c r="K110" i="12"/>
  <c r="D117" i="12"/>
  <c r="E117" i="12"/>
  <c r="K117" i="12"/>
  <c r="D123" i="12"/>
  <c r="E123" i="12"/>
  <c r="G123" i="12"/>
  <c r="K123" i="12"/>
  <c r="L7" i="12"/>
  <c r="M7" i="12" s="1"/>
  <c r="L10" i="12"/>
  <c r="M10" i="12" s="1"/>
  <c r="L11" i="12"/>
  <c r="M11" i="12" s="1"/>
  <c r="L12" i="12"/>
  <c r="M12" i="12" s="1"/>
  <c r="L13" i="12"/>
  <c r="M13" i="12" s="1"/>
  <c r="L15" i="12"/>
  <c r="M15" i="12" s="1"/>
  <c r="L16" i="12"/>
  <c r="M16" i="12" s="1"/>
  <c r="L17" i="12"/>
  <c r="M17" i="12" s="1"/>
  <c r="L19" i="12"/>
  <c r="M19" i="12" s="1"/>
  <c r="L20" i="12"/>
  <c r="M20" i="12" s="1"/>
  <c r="L21" i="12"/>
  <c r="M21" i="12" s="1"/>
  <c r="L22" i="12"/>
  <c r="M22" i="12" s="1"/>
  <c r="L25" i="12"/>
  <c r="M25" i="12" s="1"/>
  <c r="L26" i="12"/>
  <c r="M26" i="12" s="1"/>
  <c r="L27" i="12"/>
  <c r="M27" i="12" s="1"/>
  <c r="L28" i="12"/>
  <c r="M28" i="12" s="1"/>
  <c r="L32" i="12"/>
  <c r="M32" i="12" s="1"/>
  <c r="L33" i="12"/>
  <c r="M33" i="12" s="1"/>
  <c r="L36" i="12"/>
  <c r="M36" i="12" s="1"/>
  <c r="L37" i="12"/>
  <c r="M37" i="12" s="1"/>
  <c r="L39" i="12"/>
  <c r="M39" i="12" s="1"/>
  <c r="L40" i="12"/>
  <c r="M40" i="12" s="1"/>
  <c r="L41" i="12"/>
  <c r="M41" i="12" s="1"/>
  <c r="L42" i="12"/>
  <c r="M42" i="12" s="1"/>
  <c r="L43" i="12"/>
  <c r="M43" i="12" s="1"/>
  <c r="L46" i="12"/>
  <c r="M46" i="12" s="1"/>
  <c r="L47" i="12"/>
  <c r="M47" i="12" s="1"/>
  <c r="L48" i="12"/>
  <c r="M48" i="12" s="1"/>
  <c r="L49" i="12"/>
  <c r="M49" i="12" s="1"/>
  <c r="L53" i="12"/>
  <c r="M53" i="12" s="1"/>
  <c r="L54" i="12"/>
  <c r="M54" i="12" s="1"/>
  <c r="L57" i="12"/>
  <c r="M57" i="12" s="1"/>
  <c r="L58" i="12"/>
  <c r="M58" i="12" s="1"/>
  <c r="L59" i="12"/>
  <c r="M59" i="12" s="1"/>
  <c r="L60" i="12"/>
  <c r="M60" i="12" s="1"/>
  <c r="L63" i="12"/>
  <c r="M63" i="12" s="1"/>
  <c r="L64" i="12"/>
  <c r="M64" i="12" s="1"/>
  <c r="L65" i="12"/>
  <c r="M65" i="12" s="1"/>
  <c r="L66" i="12"/>
  <c r="M66" i="12" s="1"/>
  <c r="L67" i="12"/>
  <c r="M67" i="12" s="1"/>
  <c r="L68" i="12"/>
  <c r="M68" i="12" s="1"/>
  <c r="L71" i="12"/>
  <c r="M71" i="12" s="1"/>
  <c r="L72" i="12"/>
  <c r="M72" i="12" s="1"/>
  <c r="L75" i="12"/>
  <c r="M75" i="12" s="1"/>
  <c r="L76" i="12"/>
  <c r="M76" i="12" s="1"/>
  <c r="L77" i="12"/>
  <c r="M77" i="12" s="1"/>
  <c r="L78" i="12"/>
  <c r="M78" i="12" s="1"/>
  <c r="L85" i="12"/>
  <c r="M85" i="12" s="1"/>
  <c r="L86" i="12"/>
  <c r="M86" i="12" s="1"/>
  <c r="L87" i="12"/>
  <c r="M87" i="12" s="1"/>
  <c r="L88" i="12"/>
  <c r="M88" i="12" s="1"/>
  <c r="L89" i="12"/>
  <c r="M89" i="12" s="1"/>
  <c r="L92" i="12"/>
  <c r="M92" i="12" s="1"/>
  <c r="L93" i="12"/>
  <c r="M93" i="12" s="1"/>
  <c r="L94" i="12"/>
  <c r="M94" i="12" s="1"/>
  <c r="L95" i="12"/>
  <c r="M95" i="12" s="1"/>
  <c r="L96" i="12"/>
  <c r="M96" i="12" s="1"/>
  <c r="L99" i="12"/>
  <c r="M99" i="12" s="1"/>
  <c r="L100" i="12"/>
  <c r="M100" i="12" s="1"/>
  <c r="L101" i="12"/>
  <c r="M101" i="12" s="1"/>
  <c r="L102" i="12"/>
  <c r="M102" i="12" s="1"/>
  <c r="L105" i="12"/>
  <c r="M105" i="12" s="1"/>
  <c r="L106" i="12"/>
  <c r="M106" i="12" s="1"/>
  <c r="L107" i="12"/>
  <c r="M107" i="12" s="1"/>
  <c r="L108" i="12"/>
  <c r="M108" i="12" s="1"/>
  <c r="L109" i="12"/>
  <c r="M109" i="12" s="1"/>
  <c r="L112" i="12"/>
  <c r="L113" i="12"/>
  <c r="M113" i="12" s="1"/>
  <c r="L114" i="12"/>
  <c r="M114" i="12" s="1"/>
  <c r="L115" i="12"/>
  <c r="M115" i="12" s="1"/>
  <c r="L116" i="12"/>
  <c r="L119" i="12"/>
  <c r="M119" i="12" s="1"/>
  <c r="L120" i="12"/>
  <c r="M120" i="12" s="1"/>
  <c r="L121" i="12"/>
  <c r="M121" i="12" s="1"/>
  <c r="L6" i="12"/>
  <c r="M6" i="12" s="1"/>
  <c r="G106" i="12"/>
  <c r="J106" i="12" s="1"/>
  <c r="G107" i="12"/>
  <c r="J107" i="12" s="1"/>
  <c r="G108" i="12"/>
  <c r="J108" i="12" s="1"/>
  <c r="G109" i="12"/>
  <c r="G105" i="12"/>
  <c r="J7" i="12"/>
  <c r="J10" i="12"/>
  <c r="J11" i="12"/>
  <c r="J12" i="12"/>
  <c r="J13" i="12"/>
  <c r="J15" i="12"/>
  <c r="J16" i="12"/>
  <c r="J17" i="12"/>
  <c r="J32" i="12"/>
  <c r="J33" i="12"/>
  <c r="J36" i="12"/>
  <c r="J37" i="12"/>
  <c r="J71" i="12"/>
  <c r="J72" i="12"/>
  <c r="J119" i="12"/>
  <c r="J120" i="12"/>
  <c r="J121" i="12"/>
  <c r="J122" i="12"/>
  <c r="J6" i="12"/>
  <c r="I7" i="12"/>
  <c r="I10" i="12"/>
  <c r="I11" i="12"/>
  <c r="I12" i="12"/>
  <c r="I13" i="12"/>
  <c r="I15" i="12"/>
  <c r="I16" i="12"/>
  <c r="I17" i="12"/>
  <c r="I19" i="12"/>
  <c r="I20" i="12"/>
  <c r="I21" i="12"/>
  <c r="I22" i="12"/>
  <c r="I25" i="12"/>
  <c r="I26" i="12"/>
  <c r="I27" i="12"/>
  <c r="I28" i="12"/>
  <c r="I32" i="12"/>
  <c r="I33" i="12"/>
  <c r="I36" i="12"/>
  <c r="I37" i="12"/>
  <c r="I39" i="12"/>
  <c r="I40" i="12"/>
  <c r="I41" i="12"/>
  <c r="I42" i="12"/>
  <c r="I43" i="12"/>
  <c r="I46" i="12"/>
  <c r="I47" i="12"/>
  <c r="I48" i="12"/>
  <c r="I49" i="12"/>
  <c r="I53" i="12"/>
  <c r="I54" i="12"/>
  <c r="I57" i="12"/>
  <c r="I58" i="12"/>
  <c r="I59" i="12"/>
  <c r="I60" i="12"/>
  <c r="I63" i="12"/>
  <c r="I64" i="12"/>
  <c r="I65" i="12"/>
  <c r="I66" i="12"/>
  <c r="I67" i="12"/>
  <c r="I68" i="12"/>
  <c r="I71" i="12"/>
  <c r="I72" i="12"/>
  <c r="I75" i="12"/>
  <c r="I76" i="12"/>
  <c r="I77" i="12"/>
  <c r="I78" i="12"/>
  <c r="I85" i="12"/>
  <c r="I86" i="12"/>
  <c r="I87" i="12"/>
  <c r="I88" i="12"/>
  <c r="I89" i="12"/>
  <c r="I92" i="12"/>
  <c r="I93" i="12"/>
  <c r="I94" i="12"/>
  <c r="I95" i="12"/>
  <c r="I96" i="12"/>
  <c r="I99" i="12"/>
  <c r="I100" i="12"/>
  <c r="I101" i="12"/>
  <c r="I102" i="12"/>
  <c r="I105" i="12"/>
  <c r="I106" i="12"/>
  <c r="I107" i="12"/>
  <c r="I108" i="12"/>
  <c r="I109" i="12"/>
  <c r="I112" i="12"/>
  <c r="I113" i="12"/>
  <c r="I114" i="12"/>
  <c r="I115" i="12"/>
  <c r="I116" i="12"/>
  <c r="I119" i="12"/>
  <c r="I120" i="12"/>
  <c r="I121" i="12"/>
  <c r="I122" i="12"/>
  <c r="I6" i="12"/>
  <c r="H7" i="12"/>
  <c r="H10" i="12"/>
  <c r="H11" i="12"/>
  <c r="H12" i="12"/>
  <c r="H13" i="12"/>
  <c r="H15" i="12"/>
  <c r="H16" i="12"/>
  <c r="H17" i="12"/>
  <c r="H19" i="12"/>
  <c r="H20" i="12"/>
  <c r="H21" i="12"/>
  <c r="H22" i="12"/>
  <c r="H25" i="12"/>
  <c r="H26" i="12"/>
  <c r="H27" i="12"/>
  <c r="H28" i="12"/>
  <c r="H32" i="12"/>
  <c r="H33" i="12"/>
  <c r="H36" i="12"/>
  <c r="H37" i="12"/>
  <c r="H39" i="12"/>
  <c r="H40" i="12"/>
  <c r="H41" i="12"/>
  <c r="H42" i="12"/>
  <c r="H43" i="12"/>
  <c r="H46" i="12"/>
  <c r="H47" i="12"/>
  <c r="H48" i="12"/>
  <c r="H49" i="12"/>
  <c r="H53" i="12"/>
  <c r="H54" i="12"/>
  <c r="H57" i="12"/>
  <c r="H58" i="12"/>
  <c r="H59" i="12"/>
  <c r="H60" i="12"/>
  <c r="H63" i="12"/>
  <c r="H64" i="12"/>
  <c r="H65" i="12"/>
  <c r="H66" i="12"/>
  <c r="H67" i="12"/>
  <c r="H68" i="12"/>
  <c r="H71" i="12"/>
  <c r="H72" i="12"/>
  <c r="H75" i="12"/>
  <c r="H76" i="12"/>
  <c r="H78" i="12"/>
  <c r="H85" i="12"/>
  <c r="H86" i="12"/>
  <c r="H87" i="12"/>
  <c r="H88" i="12"/>
  <c r="H89" i="12"/>
  <c r="H92" i="12"/>
  <c r="H93" i="12"/>
  <c r="H94" i="12"/>
  <c r="H95" i="12"/>
  <c r="H96" i="12"/>
  <c r="H99" i="12"/>
  <c r="H100" i="12"/>
  <c r="H101" i="12"/>
  <c r="H102" i="12"/>
  <c r="H105" i="12"/>
  <c r="H106" i="12"/>
  <c r="H107" i="12"/>
  <c r="H108" i="12"/>
  <c r="H109" i="12"/>
  <c r="H112" i="12"/>
  <c r="H113" i="12"/>
  <c r="H114" i="12"/>
  <c r="H115" i="12"/>
  <c r="H116" i="12"/>
  <c r="H119" i="12"/>
  <c r="H120" i="12"/>
  <c r="H121" i="12"/>
  <c r="H122" i="12"/>
  <c r="B123" i="12"/>
  <c r="B117" i="12"/>
  <c r="B110" i="12"/>
  <c r="B103" i="12"/>
  <c r="B97" i="12"/>
  <c r="B90" i="12"/>
  <c r="B79" i="12"/>
  <c r="B73" i="12"/>
  <c r="B69" i="12"/>
  <c r="B61" i="12"/>
  <c r="B55" i="12"/>
  <c r="B50" i="12"/>
  <c r="B44" i="12"/>
  <c r="B34" i="12"/>
  <c r="B29" i="12"/>
  <c r="B23" i="12"/>
  <c r="B14" i="12"/>
  <c r="B8" i="12"/>
  <c r="H6" i="12"/>
  <c r="K51" i="12" l="1"/>
  <c r="D30" i="12"/>
  <c r="B51" i="12"/>
  <c r="B80" i="12" s="1"/>
  <c r="E30" i="12"/>
  <c r="B30" i="12"/>
  <c r="H8" i="12"/>
  <c r="J8" i="12"/>
  <c r="M73" i="12"/>
  <c r="D51" i="12"/>
  <c r="J73" i="12"/>
  <c r="M29" i="12"/>
  <c r="M103" i="12"/>
  <c r="M50" i="12"/>
  <c r="K30" i="12"/>
  <c r="K80" i="12" s="1"/>
  <c r="M97" i="12"/>
  <c r="M44" i="12"/>
  <c r="M61" i="12"/>
  <c r="H103" i="12"/>
  <c r="H73" i="12"/>
  <c r="H69" i="12"/>
  <c r="H55" i="12"/>
  <c r="H50" i="12"/>
  <c r="H34" i="12"/>
  <c r="H23" i="12"/>
  <c r="H14" i="12"/>
  <c r="J14" i="12"/>
  <c r="M14" i="12"/>
  <c r="D124" i="12"/>
  <c r="J34" i="12"/>
  <c r="K124" i="12"/>
  <c r="B124" i="12"/>
  <c r="M79" i="12"/>
  <c r="J123" i="12"/>
  <c r="H126" i="12"/>
  <c r="M90" i="12"/>
  <c r="M69" i="12"/>
  <c r="M8" i="12"/>
  <c r="M34" i="12"/>
  <c r="M23" i="12"/>
  <c r="H110" i="12"/>
  <c r="H97" i="12"/>
  <c r="H44" i="12"/>
  <c r="H51" i="12" s="1"/>
  <c r="H29" i="12"/>
  <c r="H123" i="12"/>
  <c r="H90" i="12"/>
  <c r="H79" i="12"/>
  <c r="H61" i="12"/>
  <c r="J105" i="12"/>
  <c r="G110" i="12"/>
  <c r="H117" i="12"/>
  <c r="M110" i="12"/>
  <c r="M55" i="12"/>
  <c r="E51" i="12"/>
  <c r="M122" i="12"/>
  <c r="M123" i="12" s="1"/>
  <c r="M116" i="12"/>
  <c r="M112" i="12"/>
  <c r="E124" i="12"/>
  <c r="J109" i="12"/>
  <c r="G100" i="12"/>
  <c r="J100" i="12" s="1"/>
  <c r="G101" i="12"/>
  <c r="J101" i="12" s="1"/>
  <c r="G102" i="12"/>
  <c r="J102" i="12" s="1"/>
  <c r="G99" i="12"/>
  <c r="G93" i="12"/>
  <c r="J93" i="12" s="1"/>
  <c r="G94" i="12"/>
  <c r="J94" i="12" s="1"/>
  <c r="G95" i="12"/>
  <c r="J95" i="12" s="1"/>
  <c r="G96" i="12"/>
  <c r="J96" i="12" s="1"/>
  <c r="G92" i="12"/>
  <c r="G86" i="12"/>
  <c r="J86" i="12" s="1"/>
  <c r="G87" i="12"/>
  <c r="J87" i="12" s="1"/>
  <c r="G88" i="12"/>
  <c r="J88" i="12" s="1"/>
  <c r="G89" i="12"/>
  <c r="J89" i="12" s="1"/>
  <c r="G85" i="12"/>
  <c r="G76" i="12"/>
  <c r="J76" i="12" s="1"/>
  <c r="G77" i="12"/>
  <c r="J77" i="12" s="1"/>
  <c r="G78" i="12"/>
  <c r="J78" i="12" s="1"/>
  <c r="G75" i="12"/>
  <c r="G64" i="12"/>
  <c r="J64" i="12" s="1"/>
  <c r="G65" i="12"/>
  <c r="J65" i="12" s="1"/>
  <c r="G66" i="12"/>
  <c r="J66" i="12" s="1"/>
  <c r="G67" i="12"/>
  <c r="J67" i="12" s="1"/>
  <c r="G68" i="12"/>
  <c r="J68" i="12" s="1"/>
  <c r="G63" i="12"/>
  <c r="G58" i="12"/>
  <c r="J58" i="12" s="1"/>
  <c r="G59" i="12"/>
  <c r="J59" i="12" s="1"/>
  <c r="G60" i="12"/>
  <c r="J60" i="12" s="1"/>
  <c r="G57" i="12"/>
  <c r="G54" i="12"/>
  <c r="J54" i="12" s="1"/>
  <c r="G53" i="12"/>
  <c r="G47" i="12"/>
  <c r="G48" i="12"/>
  <c r="J48" i="12" s="1"/>
  <c r="G49" i="12"/>
  <c r="J49" i="12" s="1"/>
  <c r="G46" i="12"/>
  <c r="G40" i="12"/>
  <c r="J40" i="12" s="1"/>
  <c r="G41" i="12"/>
  <c r="J41" i="12" s="1"/>
  <c r="G42" i="12"/>
  <c r="J42" i="12" s="1"/>
  <c r="G43" i="12"/>
  <c r="J43" i="12" s="1"/>
  <c r="G39" i="12"/>
  <c r="G26" i="12"/>
  <c r="J26" i="12" s="1"/>
  <c r="G27" i="12"/>
  <c r="J27" i="12" s="1"/>
  <c r="G28" i="12"/>
  <c r="J28" i="12" s="1"/>
  <c r="G25" i="12"/>
  <c r="G113" i="12"/>
  <c r="J113" i="12" s="1"/>
  <c r="G114" i="12"/>
  <c r="J114" i="12" s="1"/>
  <c r="G115" i="12"/>
  <c r="J115" i="12" s="1"/>
  <c r="G116" i="12"/>
  <c r="G112" i="12"/>
  <c r="G22" i="12"/>
  <c r="J22" i="12" s="1"/>
  <c r="G19" i="12"/>
  <c r="G20" i="12"/>
  <c r="J20" i="12" s="1"/>
  <c r="G21" i="12"/>
  <c r="J21" i="12" s="1"/>
  <c r="J47" i="12" l="1"/>
  <c r="R14" i="14"/>
  <c r="W14" i="14" s="1"/>
  <c r="X14" i="14" s="1"/>
  <c r="E80" i="12"/>
  <c r="E125" i="12" s="1"/>
  <c r="E127" i="12" s="1"/>
  <c r="D80" i="12"/>
  <c r="D125" i="12" s="1"/>
  <c r="M117" i="12"/>
  <c r="M124" i="12" s="1"/>
  <c r="H30" i="12"/>
  <c r="H80" i="12" s="1"/>
  <c r="M30" i="12"/>
  <c r="B125" i="12"/>
  <c r="B127" i="12" s="1"/>
  <c r="M51" i="12"/>
  <c r="H124" i="12"/>
  <c r="K125" i="12"/>
  <c r="K127" i="12" s="1"/>
  <c r="J110" i="12"/>
  <c r="J25" i="12"/>
  <c r="J29" i="12" s="1"/>
  <c r="G29" i="12"/>
  <c r="G55" i="12"/>
  <c r="J53" i="12"/>
  <c r="J55" i="12" s="1"/>
  <c r="J92" i="12"/>
  <c r="J97" i="12" s="1"/>
  <c r="G97" i="12"/>
  <c r="J39" i="12"/>
  <c r="J44" i="12" s="1"/>
  <c r="G44" i="12"/>
  <c r="J19" i="12"/>
  <c r="J23" i="12" s="1"/>
  <c r="G23" i="12"/>
  <c r="G50" i="12"/>
  <c r="J46" i="12"/>
  <c r="J50" i="12" s="1"/>
  <c r="G79" i="12"/>
  <c r="J75" i="12"/>
  <c r="J79" i="12" s="1"/>
  <c r="G90" i="12"/>
  <c r="J85" i="12"/>
  <c r="J90" i="12" s="1"/>
  <c r="G61" i="12"/>
  <c r="J57" i="12"/>
  <c r="J61" i="12" s="1"/>
  <c r="G69" i="12"/>
  <c r="J63" i="12"/>
  <c r="J69" i="12" s="1"/>
  <c r="J99" i="12"/>
  <c r="J103" i="12" s="1"/>
  <c r="G103" i="12"/>
  <c r="M126" i="12"/>
  <c r="G126" i="12"/>
  <c r="J116" i="12"/>
  <c r="J126" i="12" s="1"/>
  <c r="J112" i="12"/>
  <c r="G117" i="12"/>
  <c r="D109" i="9"/>
  <c r="D135" i="9"/>
  <c r="D121" i="9"/>
  <c r="D207" i="7"/>
  <c r="D45" i="8"/>
  <c r="D193" i="9"/>
  <c r="D198" i="9"/>
  <c r="K118" i="8"/>
  <c r="D177" i="9"/>
  <c r="E198" i="9"/>
  <c r="H198" i="9"/>
  <c r="J198" i="9"/>
  <c r="J199" i="9" s="1"/>
  <c r="J200" i="9" s="1"/>
  <c r="D198" i="8"/>
  <c r="E198" i="8"/>
  <c r="H198" i="8"/>
  <c r="J198" i="8"/>
  <c r="J199" i="8" s="1"/>
  <c r="J200" i="8" s="1"/>
  <c r="D190" i="7"/>
  <c r="E190" i="7"/>
  <c r="H190" i="7"/>
  <c r="J190" i="7"/>
  <c r="J191" i="7" s="1"/>
  <c r="V11" i="10"/>
  <c r="V13" i="10"/>
  <c r="V15" i="10"/>
  <c r="V16" i="10"/>
  <c r="V17" i="10"/>
  <c r="V19" i="10"/>
  <c r="V20" i="10"/>
  <c r="V22" i="10"/>
  <c r="V24" i="10"/>
  <c r="V26" i="10"/>
  <c r="V28" i="10"/>
  <c r="V30" i="10"/>
  <c r="V32" i="10"/>
  <c r="V35" i="10"/>
  <c r="V37" i="10"/>
  <c r="V39" i="10"/>
  <c r="V41" i="10"/>
  <c r="V42" i="10"/>
  <c r="V44" i="10"/>
  <c r="K39" i="9"/>
  <c r="D177" i="8"/>
  <c r="K16" i="8"/>
  <c r="D16" i="8"/>
  <c r="D185" i="7"/>
  <c r="D176" i="7"/>
  <c r="D160" i="7"/>
  <c r="D151" i="7"/>
  <c r="D143" i="7"/>
  <c r="D131" i="7"/>
  <c r="D121" i="7"/>
  <c r="D117" i="7"/>
  <c r="D105" i="7"/>
  <c r="D93" i="7"/>
  <c r="D88" i="7"/>
  <c r="D77" i="7"/>
  <c r="D55" i="7"/>
  <c r="D50" i="7"/>
  <c r="D41" i="7"/>
  <c r="K24" i="7"/>
  <c r="D24" i="7"/>
  <c r="K16" i="7"/>
  <c r="D16" i="7"/>
  <c r="K41" i="9"/>
  <c r="K42" i="8"/>
  <c r="D89" i="7" l="1"/>
  <c r="D51" i="7"/>
  <c r="D132" i="7" s="1"/>
  <c r="J192" i="7"/>
  <c r="H125" i="12"/>
  <c r="H127" i="12" s="1"/>
  <c r="X29" i="14"/>
  <c r="S14" i="14"/>
  <c r="U14" i="14" s="1"/>
  <c r="U29" i="14" s="1"/>
  <c r="D127" i="12"/>
  <c r="M80" i="12"/>
  <c r="M125" i="12" s="1"/>
  <c r="G30" i="12"/>
  <c r="J51" i="12"/>
  <c r="G51" i="12"/>
  <c r="G124" i="12"/>
  <c r="J30" i="12"/>
  <c r="J117" i="12"/>
  <c r="J124" i="12" s="1"/>
  <c r="K43" i="8"/>
  <c r="K40" i="9"/>
  <c r="G80" i="12" l="1"/>
  <c r="Z14" i="14"/>
  <c r="S29" i="14"/>
  <c r="Z29" i="14" s="1"/>
  <c r="J80" i="12"/>
  <c r="J125" i="12" s="1"/>
  <c r="J127" i="12" s="1"/>
  <c r="M127" i="12"/>
  <c r="G125" i="12"/>
  <c r="P3" i="11"/>
  <c r="H8" i="11"/>
  <c r="I8" i="11"/>
  <c r="J8" i="11"/>
  <c r="K8" i="11"/>
  <c r="L8" i="11"/>
  <c r="M8" i="11"/>
  <c r="N8" i="11"/>
  <c r="O8" i="11"/>
  <c r="G8" i="11"/>
  <c r="D8" i="11"/>
  <c r="G127" i="12" l="1"/>
  <c r="P12" i="11"/>
  <c r="P13" i="11"/>
  <c r="P14" i="11"/>
  <c r="P11" i="11"/>
  <c r="L16" i="11"/>
  <c r="K15" i="11"/>
  <c r="K16" i="11" s="1"/>
  <c r="I15" i="11"/>
  <c r="H15" i="11"/>
  <c r="G15" i="11"/>
  <c r="P4" i="11"/>
  <c r="P5" i="11"/>
  <c r="P6" i="11"/>
  <c r="P7" i="11"/>
  <c r="G48" i="10"/>
  <c r="H47" i="10" s="1"/>
  <c r="K45" i="10"/>
  <c r="K46" i="10" s="1"/>
  <c r="J45" i="10"/>
  <c r="J46" i="10" s="1"/>
  <c r="I45" i="10"/>
  <c r="I46" i="10" s="1"/>
  <c r="H45" i="10"/>
  <c r="P8" i="11" l="1"/>
  <c r="J15" i="11"/>
  <c r="J16" i="11" s="1"/>
  <c r="M15" i="11"/>
  <c r="L45" i="10"/>
  <c r="H46" i="10"/>
  <c r="L46" i="10" s="1"/>
  <c r="O15" i="11" l="1"/>
  <c r="O16" i="11" s="1"/>
  <c r="P15" i="11"/>
  <c r="P16" i="11" s="1"/>
  <c r="M16" i="11"/>
  <c r="N15" i="11"/>
  <c r="N16" i="11" s="1"/>
  <c r="K176" i="9"/>
  <c r="P176" i="9" s="1"/>
  <c r="K175" i="9"/>
  <c r="Q175" i="9" s="1"/>
  <c r="K174" i="9"/>
  <c r="O174" i="9" s="1"/>
  <c r="K173" i="9"/>
  <c r="K104" i="9"/>
  <c r="AG104" i="9" s="1"/>
  <c r="K42" i="9"/>
  <c r="S42" i="9" s="1"/>
  <c r="K23" i="9"/>
  <c r="AE23" i="9" s="1"/>
  <c r="K22" i="9"/>
  <c r="AE22" i="9" s="1"/>
  <c r="K21" i="9"/>
  <c r="AB21" i="9" s="1"/>
  <c r="K20" i="9"/>
  <c r="AB20" i="9" s="1"/>
  <c r="K19" i="9"/>
  <c r="AG19" i="9" s="1"/>
  <c r="K18" i="9"/>
  <c r="AE18" i="9" s="1"/>
  <c r="K15" i="9"/>
  <c r="O15" i="9" s="1"/>
  <c r="K13" i="9"/>
  <c r="T200" i="9"/>
  <c r="M200" i="9"/>
  <c r="L200" i="9"/>
  <c r="N198" i="9"/>
  <c r="J194" i="9"/>
  <c r="T193" i="9"/>
  <c r="N193" i="9"/>
  <c r="H193" i="9"/>
  <c r="E193" i="9"/>
  <c r="Z192" i="9"/>
  <c r="I192" i="9"/>
  <c r="F192" i="9"/>
  <c r="G192" i="9" s="1"/>
  <c r="Z191" i="9"/>
  <c r="I191" i="9"/>
  <c r="F191" i="9"/>
  <c r="G191" i="9" s="1"/>
  <c r="Z190" i="9"/>
  <c r="I190" i="9"/>
  <c r="F190" i="9"/>
  <c r="G190" i="9" s="1"/>
  <c r="Z189" i="9"/>
  <c r="I189" i="9"/>
  <c r="F189" i="9"/>
  <c r="G189" i="9" s="1"/>
  <c r="Z188" i="9"/>
  <c r="I188" i="9"/>
  <c r="F188" i="9"/>
  <c r="G188" i="9" s="1"/>
  <c r="Z187" i="9"/>
  <c r="I187" i="9"/>
  <c r="F187" i="9"/>
  <c r="G187" i="9" s="1"/>
  <c r="Z186" i="9"/>
  <c r="I186" i="9"/>
  <c r="F186" i="9"/>
  <c r="G186" i="9" s="1"/>
  <c r="AB185" i="9"/>
  <c r="AA185" i="9"/>
  <c r="T184" i="9"/>
  <c r="N184" i="9"/>
  <c r="K184" i="9"/>
  <c r="AB184" i="9" s="1"/>
  <c r="H184" i="9"/>
  <c r="E184" i="9"/>
  <c r="D184" i="9"/>
  <c r="AG183" i="9"/>
  <c r="AE183" i="9"/>
  <c r="AB183" i="9"/>
  <c r="Z183" i="9"/>
  <c r="AA183" i="9" s="1"/>
  <c r="S183" i="9"/>
  <c r="Q183" i="9"/>
  <c r="P183" i="9"/>
  <c r="O183" i="9"/>
  <c r="I183" i="9"/>
  <c r="F183" i="9"/>
  <c r="G183" i="9" s="1"/>
  <c r="AG182" i="9"/>
  <c r="AE182" i="9"/>
  <c r="AB182" i="9"/>
  <c r="Z182" i="9"/>
  <c r="AA182" i="9" s="1"/>
  <c r="S182" i="9"/>
  <c r="Q182" i="9"/>
  <c r="P182" i="9"/>
  <c r="O182" i="9"/>
  <c r="I182" i="9"/>
  <c r="F182" i="9"/>
  <c r="G182" i="9" s="1"/>
  <c r="AG181" i="9"/>
  <c r="AE181" i="9"/>
  <c r="AB181" i="9"/>
  <c r="Z181" i="9"/>
  <c r="AA181" i="9" s="1"/>
  <c r="S181" i="9"/>
  <c r="Q181" i="9"/>
  <c r="P181" i="9"/>
  <c r="O181" i="9"/>
  <c r="I181" i="9"/>
  <c r="F181" i="9"/>
  <c r="G181" i="9" s="1"/>
  <c r="AG180" i="9"/>
  <c r="AE180" i="9"/>
  <c r="AB180" i="9"/>
  <c r="Z180" i="9"/>
  <c r="AA180" i="9" s="1"/>
  <c r="S180" i="9"/>
  <c r="Q180" i="9"/>
  <c r="P180" i="9"/>
  <c r="O180" i="9"/>
  <c r="I180" i="9"/>
  <c r="F180" i="9"/>
  <c r="G180" i="9" s="1"/>
  <c r="AG179" i="9"/>
  <c r="AE179" i="9"/>
  <c r="AB179" i="9"/>
  <c r="Z179" i="9"/>
  <c r="AA179" i="9" s="1"/>
  <c r="S179" i="9"/>
  <c r="Q179" i="9"/>
  <c r="P179" i="9"/>
  <c r="O179" i="9"/>
  <c r="I179" i="9"/>
  <c r="F179" i="9"/>
  <c r="AB178" i="9"/>
  <c r="AA178" i="9"/>
  <c r="T177" i="9"/>
  <c r="N177" i="9"/>
  <c r="H177" i="9"/>
  <c r="E177" i="9"/>
  <c r="I176" i="9"/>
  <c r="F176" i="9"/>
  <c r="G176" i="9" s="1"/>
  <c r="I175" i="9"/>
  <c r="F175" i="9"/>
  <c r="G175" i="9" s="1"/>
  <c r="I174" i="9"/>
  <c r="F174" i="9"/>
  <c r="G174" i="9" s="1"/>
  <c r="I173" i="9"/>
  <c r="F173" i="9"/>
  <c r="G173" i="9" s="1"/>
  <c r="Z172" i="9"/>
  <c r="I172" i="9"/>
  <c r="F172" i="9"/>
  <c r="G172" i="9" s="1"/>
  <c r="Z171" i="9"/>
  <c r="I171" i="9"/>
  <c r="F171" i="9"/>
  <c r="G171" i="9" s="1"/>
  <c r="Z170" i="9"/>
  <c r="I170" i="9"/>
  <c r="F170" i="9"/>
  <c r="G170" i="9" s="1"/>
  <c r="Z169" i="9"/>
  <c r="I169" i="9"/>
  <c r="F169" i="9"/>
  <c r="G169" i="9" s="1"/>
  <c r="Z168" i="9"/>
  <c r="I168" i="9"/>
  <c r="F168" i="9"/>
  <c r="G168" i="9" s="1"/>
  <c r="Z167" i="9"/>
  <c r="I167" i="9"/>
  <c r="F167" i="9"/>
  <c r="G167" i="9" s="1"/>
  <c r="Z166" i="9"/>
  <c r="I166" i="9"/>
  <c r="F166" i="9"/>
  <c r="AB165" i="9"/>
  <c r="AA165" i="9"/>
  <c r="T164" i="9"/>
  <c r="N164" i="9"/>
  <c r="H164" i="9"/>
  <c r="E164" i="9"/>
  <c r="D164" i="9"/>
  <c r="Z163" i="9"/>
  <c r="I163" i="9"/>
  <c r="F163" i="9"/>
  <c r="G163" i="9" s="1"/>
  <c r="Z162" i="9"/>
  <c r="I162" i="9"/>
  <c r="F162" i="9"/>
  <c r="G162" i="9" s="1"/>
  <c r="Z161" i="9"/>
  <c r="I161" i="9"/>
  <c r="F161" i="9"/>
  <c r="G161" i="9" s="1"/>
  <c r="Z160" i="9"/>
  <c r="I160" i="9"/>
  <c r="F160" i="9"/>
  <c r="G160" i="9" s="1"/>
  <c r="Z159" i="9"/>
  <c r="I159" i="9"/>
  <c r="F159" i="9"/>
  <c r="Z158" i="9"/>
  <c r="I158" i="9"/>
  <c r="F158" i="9"/>
  <c r="G158" i="9" s="1"/>
  <c r="Z157" i="9"/>
  <c r="I157" i="9"/>
  <c r="F157" i="9"/>
  <c r="G157" i="9" s="1"/>
  <c r="AB156" i="9"/>
  <c r="AA156" i="9"/>
  <c r="T155" i="9"/>
  <c r="N155" i="9"/>
  <c r="H155" i="9"/>
  <c r="E155" i="9"/>
  <c r="D155" i="9"/>
  <c r="Z154" i="9"/>
  <c r="I154" i="9"/>
  <c r="F154" i="9"/>
  <c r="G154" i="9" s="1"/>
  <c r="Z153" i="9"/>
  <c r="I153" i="9"/>
  <c r="F153" i="9"/>
  <c r="G153" i="9" s="1"/>
  <c r="Z152" i="9"/>
  <c r="I152" i="9"/>
  <c r="F152" i="9"/>
  <c r="G152" i="9" s="1"/>
  <c r="Z151" i="9"/>
  <c r="I151" i="9"/>
  <c r="F151" i="9"/>
  <c r="G151" i="9" s="1"/>
  <c r="Z150" i="9"/>
  <c r="I150" i="9"/>
  <c r="F150" i="9"/>
  <c r="G150" i="9" s="1"/>
  <c r="Z149" i="9"/>
  <c r="I149" i="9"/>
  <c r="F149" i="9"/>
  <c r="AB148" i="9"/>
  <c r="AA148" i="9"/>
  <c r="T147" i="9"/>
  <c r="N147" i="9"/>
  <c r="H147" i="9"/>
  <c r="E147" i="9"/>
  <c r="D147" i="9"/>
  <c r="Z146" i="9"/>
  <c r="I146" i="9"/>
  <c r="F146" i="9"/>
  <c r="G146" i="9" s="1"/>
  <c r="Z145" i="9"/>
  <c r="I145" i="9"/>
  <c r="F145" i="9"/>
  <c r="G145" i="9" s="1"/>
  <c r="Z144" i="9"/>
  <c r="I144" i="9"/>
  <c r="F144" i="9"/>
  <c r="G144" i="9" s="1"/>
  <c r="Z143" i="9"/>
  <c r="I143" i="9"/>
  <c r="F143" i="9"/>
  <c r="G143" i="9" s="1"/>
  <c r="Z142" i="9"/>
  <c r="I142" i="9"/>
  <c r="F142" i="9"/>
  <c r="G142" i="9" s="1"/>
  <c r="Z141" i="9"/>
  <c r="I141" i="9"/>
  <c r="F141" i="9"/>
  <c r="G141" i="9" s="1"/>
  <c r="AB140" i="9"/>
  <c r="AA140" i="9"/>
  <c r="AB139" i="9"/>
  <c r="AA139" i="9"/>
  <c r="AB138" i="9"/>
  <c r="AA138" i="9"/>
  <c r="AB137" i="9"/>
  <c r="AA137" i="9"/>
  <c r="T135" i="9"/>
  <c r="N135" i="9"/>
  <c r="H135" i="9"/>
  <c r="E135" i="9"/>
  <c r="I134" i="9"/>
  <c r="I133" i="9"/>
  <c r="I132" i="9"/>
  <c r="F132" i="9"/>
  <c r="G132" i="9" s="1"/>
  <c r="Z131" i="9"/>
  <c r="I131" i="9"/>
  <c r="F131" i="9"/>
  <c r="G131" i="9" s="1"/>
  <c r="Z130" i="9"/>
  <c r="I130" i="9"/>
  <c r="F130" i="9"/>
  <c r="G130" i="9" s="1"/>
  <c r="Z129" i="9"/>
  <c r="I129" i="9"/>
  <c r="F129" i="9"/>
  <c r="G129" i="9" s="1"/>
  <c r="Z128" i="9"/>
  <c r="I128" i="9"/>
  <c r="F128" i="9"/>
  <c r="G128" i="9" s="1"/>
  <c r="Z127" i="9"/>
  <c r="I127" i="9"/>
  <c r="F127" i="9"/>
  <c r="G127" i="9" s="1"/>
  <c r="AB126" i="9"/>
  <c r="AA126" i="9"/>
  <c r="Q126" i="9"/>
  <c r="T125" i="9"/>
  <c r="N125" i="9"/>
  <c r="J125" i="9"/>
  <c r="J136" i="9" s="1"/>
  <c r="H125" i="9"/>
  <c r="E125" i="9"/>
  <c r="D125" i="9"/>
  <c r="Z124" i="9"/>
  <c r="I124" i="9"/>
  <c r="G124" i="9"/>
  <c r="Z123" i="9"/>
  <c r="I123" i="9"/>
  <c r="F123" i="9"/>
  <c r="F125" i="9" s="1"/>
  <c r="AB122" i="9"/>
  <c r="AA122" i="9"/>
  <c r="T121" i="9"/>
  <c r="N121" i="9"/>
  <c r="H121" i="9"/>
  <c r="E121" i="9"/>
  <c r="Z120" i="9"/>
  <c r="I120" i="9"/>
  <c r="F120" i="9"/>
  <c r="G120" i="9" s="1"/>
  <c r="Z119" i="9"/>
  <c r="I119" i="9"/>
  <c r="F119" i="9"/>
  <c r="G119" i="9" s="1"/>
  <c r="Z118" i="9"/>
  <c r="I118" i="9"/>
  <c r="F118" i="9"/>
  <c r="G118" i="9" s="1"/>
  <c r="Z117" i="9"/>
  <c r="I117" i="9"/>
  <c r="F117" i="9"/>
  <c r="Z116" i="9"/>
  <c r="I116" i="9"/>
  <c r="G116" i="9"/>
  <c r="Z115" i="9"/>
  <c r="I115" i="9"/>
  <c r="F115" i="9"/>
  <c r="G115" i="9" s="1"/>
  <c r="Z114" i="9"/>
  <c r="I114" i="9"/>
  <c r="F114" i="9"/>
  <c r="G114" i="9" s="1"/>
  <c r="Z113" i="9"/>
  <c r="I113" i="9"/>
  <c r="F113" i="9"/>
  <c r="G113" i="9" s="1"/>
  <c r="Z112" i="9"/>
  <c r="I112" i="9"/>
  <c r="F112" i="9"/>
  <c r="G112" i="9" s="1"/>
  <c r="Z111" i="9"/>
  <c r="I111" i="9"/>
  <c r="F111" i="9"/>
  <c r="G111" i="9" s="1"/>
  <c r="AB110" i="9"/>
  <c r="AA110" i="9"/>
  <c r="T109" i="9"/>
  <c r="N109" i="9"/>
  <c r="H109" i="9"/>
  <c r="E109" i="9"/>
  <c r="Z108" i="9"/>
  <c r="I108" i="9"/>
  <c r="F108" i="9"/>
  <c r="G108" i="9" s="1"/>
  <c r="Z107" i="9"/>
  <c r="I107" i="9"/>
  <c r="F107" i="9"/>
  <c r="G107" i="9" s="1"/>
  <c r="Z106" i="9"/>
  <c r="I106" i="9"/>
  <c r="F106" i="9"/>
  <c r="G106" i="9" s="1"/>
  <c r="Z105" i="9"/>
  <c r="I105" i="9"/>
  <c r="F105" i="9"/>
  <c r="G105" i="9" s="1"/>
  <c r="Z104" i="9"/>
  <c r="I104" i="9"/>
  <c r="F104" i="9"/>
  <c r="G104" i="9" s="1"/>
  <c r="Z103" i="9"/>
  <c r="I103" i="9"/>
  <c r="F103" i="9"/>
  <c r="G103" i="9" s="1"/>
  <c r="Z101" i="9"/>
  <c r="I101" i="9"/>
  <c r="F101" i="9"/>
  <c r="G101" i="9" s="1"/>
  <c r="Z100" i="9"/>
  <c r="I100" i="9"/>
  <c r="F100" i="9"/>
  <c r="G100" i="9" s="1"/>
  <c r="Z99" i="9"/>
  <c r="I99" i="9"/>
  <c r="F99" i="9"/>
  <c r="G99" i="9" s="1"/>
  <c r="AB98" i="9"/>
  <c r="AA98" i="9"/>
  <c r="N97" i="9"/>
  <c r="D97" i="9"/>
  <c r="Z96" i="9"/>
  <c r="Z95" i="9"/>
  <c r="AB94" i="9"/>
  <c r="AA94" i="9"/>
  <c r="T92" i="9"/>
  <c r="N92" i="9"/>
  <c r="H92" i="9"/>
  <c r="E92" i="9"/>
  <c r="D92" i="9"/>
  <c r="Z91" i="9"/>
  <c r="I91" i="9"/>
  <c r="Z90" i="9"/>
  <c r="I90" i="9"/>
  <c r="Z89" i="9"/>
  <c r="I89" i="9"/>
  <c r="Z87" i="9"/>
  <c r="I87" i="9"/>
  <c r="F87" i="9"/>
  <c r="G87" i="9" s="1"/>
  <c r="Z86" i="9"/>
  <c r="I86" i="9"/>
  <c r="F86" i="9"/>
  <c r="G86" i="9" s="1"/>
  <c r="Z85" i="9"/>
  <c r="I85" i="9"/>
  <c r="F85" i="9"/>
  <c r="G85" i="9" s="1"/>
  <c r="I84" i="9"/>
  <c r="Z83" i="9"/>
  <c r="I83" i="9"/>
  <c r="F83" i="9"/>
  <c r="AB82" i="9"/>
  <c r="AA82" i="9"/>
  <c r="AH81" i="9"/>
  <c r="AF81" i="9"/>
  <c r="AD81" i="9"/>
  <c r="AC81" i="9"/>
  <c r="Y81" i="9"/>
  <c r="X81" i="9"/>
  <c r="T81" i="9"/>
  <c r="T93" i="9" s="1"/>
  <c r="N81" i="9"/>
  <c r="J81" i="9"/>
  <c r="H81" i="9"/>
  <c r="E81" i="9"/>
  <c r="E93" i="9" s="1"/>
  <c r="D81" i="9"/>
  <c r="D93" i="9" s="1"/>
  <c r="Z76" i="9"/>
  <c r="I76" i="9"/>
  <c r="Z75" i="9"/>
  <c r="Z74" i="9"/>
  <c r="I74" i="9"/>
  <c r="Z73" i="9"/>
  <c r="I73" i="9"/>
  <c r="Z71" i="9"/>
  <c r="Z70" i="9"/>
  <c r="Z69" i="9"/>
  <c r="I69" i="9"/>
  <c r="Z68" i="9"/>
  <c r="I68" i="9"/>
  <c r="F68" i="9"/>
  <c r="G68" i="9" s="1"/>
  <c r="Z67" i="9"/>
  <c r="I67" i="9"/>
  <c r="F67" i="9"/>
  <c r="G67" i="9" s="1"/>
  <c r="Z66" i="9"/>
  <c r="I66" i="9"/>
  <c r="F66" i="9"/>
  <c r="G66" i="9" s="1"/>
  <c r="Z65" i="9"/>
  <c r="I65" i="9"/>
  <c r="Z64" i="9"/>
  <c r="I64" i="9"/>
  <c r="G64" i="9"/>
  <c r="AB63" i="9"/>
  <c r="AA63" i="9"/>
  <c r="Z62" i="9"/>
  <c r="I62" i="9"/>
  <c r="F62" i="9"/>
  <c r="G62" i="9" s="1"/>
  <c r="Z61" i="9"/>
  <c r="I61" i="9"/>
  <c r="F61" i="9"/>
  <c r="G61" i="9" s="1"/>
  <c r="AB60" i="9"/>
  <c r="AA60" i="9"/>
  <c r="T59" i="9"/>
  <c r="N59" i="9"/>
  <c r="H59" i="9"/>
  <c r="E59" i="9"/>
  <c r="D59" i="9"/>
  <c r="Z58" i="9"/>
  <c r="I58" i="9"/>
  <c r="F58" i="9"/>
  <c r="G58" i="9" s="1"/>
  <c r="Z57" i="9"/>
  <c r="I57" i="9"/>
  <c r="F57" i="9"/>
  <c r="AB56" i="9"/>
  <c r="AA56" i="9"/>
  <c r="AF54" i="9"/>
  <c r="AD54" i="9"/>
  <c r="AC54" i="9"/>
  <c r="Y54" i="9"/>
  <c r="X54" i="9"/>
  <c r="T54" i="9"/>
  <c r="N54" i="9"/>
  <c r="H54" i="9"/>
  <c r="E54" i="9"/>
  <c r="D54" i="9"/>
  <c r="Z53" i="9"/>
  <c r="I53" i="9"/>
  <c r="F53" i="9"/>
  <c r="G53" i="9" s="1"/>
  <c r="Z52" i="9"/>
  <c r="I52" i="9"/>
  <c r="F52" i="9"/>
  <c r="G52" i="9" s="1"/>
  <c r="Z51" i="9"/>
  <c r="I51" i="9"/>
  <c r="F51" i="9"/>
  <c r="G51" i="9" s="1"/>
  <c r="Z50" i="9"/>
  <c r="I50" i="9"/>
  <c r="F50" i="9"/>
  <c r="G50" i="9" s="1"/>
  <c r="Z49" i="9"/>
  <c r="I49" i="9"/>
  <c r="F49" i="9"/>
  <c r="G49" i="9" s="1"/>
  <c r="I48" i="9"/>
  <c r="F48" i="9"/>
  <c r="G48" i="9" s="1"/>
  <c r="Z47" i="9"/>
  <c r="I47" i="9"/>
  <c r="G47" i="9"/>
  <c r="F47" i="9"/>
  <c r="AB46" i="9"/>
  <c r="Z46" i="9"/>
  <c r="AA46" i="9" s="1"/>
  <c r="Z45" i="9"/>
  <c r="T45" i="9"/>
  <c r="T55" i="9" s="1"/>
  <c r="N45" i="9"/>
  <c r="N55" i="9" s="1"/>
  <c r="H45" i="9"/>
  <c r="D45" i="9"/>
  <c r="D55" i="9" s="1"/>
  <c r="I43" i="9"/>
  <c r="F43" i="9"/>
  <c r="G43" i="9" s="1"/>
  <c r="Z38" i="9"/>
  <c r="I38" i="9"/>
  <c r="F38" i="9"/>
  <c r="G38" i="9" s="1"/>
  <c r="Z37" i="9"/>
  <c r="I37" i="9"/>
  <c r="F37" i="9"/>
  <c r="G37" i="9" s="1"/>
  <c r="Z36" i="9"/>
  <c r="I36" i="9"/>
  <c r="F36" i="9"/>
  <c r="G36" i="9" s="1"/>
  <c r="Z35" i="9"/>
  <c r="I35" i="9"/>
  <c r="F35" i="9"/>
  <c r="G35" i="9" s="1"/>
  <c r="Z34" i="9"/>
  <c r="I34" i="9"/>
  <c r="G34" i="9"/>
  <c r="Z33" i="9"/>
  <c r="I33" i="9"/>
  <c r="F33" i="9"/>
  <c r="G33" i="9" s="1"/>
  <c r="Z32" i="9"/>
  <c r="I32" i="9"/>
  <c r="F32" i="9"/>
  <c r="G32" i="9" s="1"/>
  <c r="Z31" i="9"/>
  <c r="I31" i="9"/>
  <c r="F31" i="9"/>
  <c r="G31" i="9" s="1"/>
  <c r="Z29" i="9"/>
  <c r="I29" i="9"/>
  <c r="G29" i="9"/>
  <c r="F29" i="9"/>
  <c r="AB28" i="9"/>
  <c r="AA28" i="9"/>
  <c r="Z27" i="9"/>
  <c r="I27" i="9"/>
  <c r="G27" i="9"/>
  <c r="Z26" i="9"/>
  <c r="I26" i="9"/>
  <c r="G26" i="9"/>
  <c r="AB25" i="9"/>
  <c r="AA25" i="9"/>
  <c r="T24" i="9"/>
  <c r="N24" i="9"/>
  <c r="H24" i="9"/>
  <c r="E24" i="9"/>
  <c r="D24" i="9"/>
  <c r="Z23" i="9"/>
  <c r="I23" i="9"/>
  <c r="F23" i="9"/>
  <c r="G23" i="9" s="1"/>
  <c r="Z22" i="9"/>
  <c r="I22" i="9"/>
  <c r="F22" i="9"/>
  <c r="G22" i="9" s="1"/>
  <c r="AG21" i="9"/>
  <c r="Z21" i="9"/>
  <c r="S21" i="9"/>
  <c r="O21" i="9"/>
  <c r="I21" i="9"/>
  <c r="F21" i="9"/>
  <c r="G21" i="9" s="1"/>
  <c r="Z20" i="9"/>
  <c r="I20" i="9"/>
  <c r="F20" i="9"/>
  <c r="G20" i="9" s="1"/>
  <c r="Z19" i="9"/>
  <c r="I19" i="9"/>
  <c r="F19" i="9"/>
  <c r="G19" i="9" s="1"/>
  <c r="Z18" i="9"/>
  <c r="I18" i="9"/>
  <c r="F18" i="9"/>
  <c r="G18" i="9" s="1"/>
  <c r="AB17" i="9"/>
  <c r="AA17" i="9"/>
  <c r="AF16" i="9"/>
  <c r="AD16" i="9"/>
  <c r="AC16" i="9"/>
  <c r="Y16" i="9"/>
  <c r="X16" i="9"/>
  <c r="N16" i="9"/>
  <c r="H16" i="9"/>
  <c r="E16" i="9"/>
  <c r="D16" i="9"/>
  <c r="AG15" i="9"/>
  <c r="AE15" i="9"/>
  <c r="AB15" i="9"/>
  <c r="Z15" i="9"/>
  <c r="S15" i="9"/>
  <c r="Q15" i="9"/>
  <c r="P15" i="9"/>
  <c r="AG14" i="9"/>
  <c r="AE14" i="9"/>
  <c r="AB14" i="9"/>
  <c r="Z14" i="9"/>
  <c r="AA14" i="9" s="1"/>
  <c r="S14" i="9"/>
  <c r="Q14" i="9"/>
  <c r="P14" i="9"/>
  <c r="O14" i="9"/>
  <c r="I14" i="9"/>
  <c r="F14" i="9"/>
  <c r="G14" i="9" s="1"/>
  <c r="Z13" i="9"/>
  <c r="I13" i="9"/>
  <c r="F13" i="9"/>
  <c r="T177" i="8"/>
  <c r="S42" i="8"/>
  <c r="Q42" i="8"/>
  <c r="P42" i="8"/>
  <c r="O42" i="8"/>
  <c r="P23" i="9" l="1"/>
  <c r="P184" i="9"/>
  <c r="D136" i="9"/>
  <c r="F184" i="9"/>
  <c r="G123" i="9"/>
  <c r="G125" i="9" s="1"/>
  <c r="D194" i="9"/>
  <c r="F16" i="9"/>
  <c r="F59" i="9"/>
  <c r="R179" i="9"/>
  <c r="R180" i="9"/>
  <c r="V180" i="9" s="1"/>
  <c r="U183" i="9"/>
  <c r="W183" i="9" s="1"/>
  <c r="I16" i="9"/>
  <c r="AG20" i="9"/>
  <c r="H55" i="9"/>
  <c r="I59" i="9"/>
  <c r="Q20" i="9"/>
  <c r="G179" i="9"/>
  <c r="G184" i="9" s="1"/>
  <c r="I109" i="9"/>
  <c r="G117" i="9"/>
  <c r="G198" i="9" s="1"/>
  <c r="F198" i="9"/>
  <c r="I54" i="9"/>
  <c r="I198" i="9"/>
  <c r="O19" i="9"/>
  <c r="AA19" i="9"/>
  <c r="AE104" i="9"/>
  <c r="O176" i="9"/>
  <c r="S176" i="9"/>
  <c r="K16" i="9"/>
  <c r="P18" i="9"/>
  <c r="AE13" i="9"/>
  <c r="AE16" i="9" s="1"/>
  <c r="S20" i="9"/>
  <c r="Q176" i="9"/>
  <c r="AE20" i="9"/>
  <c r="P173" i="9"/>
  <c r="AA18" i="9"/>
  <c r="G24" i="9"/>
  <c r="AA22" i="9"/>
  <c r="P22" i="9"/>
  <c r="F155" i="9"/>
  <c r="I24" i="9"/>
  <c r="AB23" i="9"/>
  <c r="Z81" i="9"/>
  <c r="Q174" i="9"/>
  <c r="P19" i="9"/>
  <c r="AB19" i="9"/>
  <c r="Q23" i="9"/>
  <c r="Q13" i="9"/>
  <c r="Q16" i="9" s="1"/>
  <c r="Q19" i="9"/>
  <c r="AE19" i="9"/>
  <c r="O20" i="9"/>
  <c r="AA20" i="9"/>
  <c r="S23" i="9"/>
  <c r="AG23" i="9"/>
  <c r="AA15" i="9"/>
  <c r="S19" i="9"/>
  <c r="P20" i="9"/>
  <c r="AE21" i="9"/>
  <c r="O23" i="9"/>
  <c r="AA23" i="9"/>
  <c r="S104" i="9"/>
  <c r="P174" i="9"/>
  <c r="O175" i="9"/>
  <c r="O42" i="9"/>
  <c r="P42" i="9"/>
  <c r="Q173" i="9"/>
  <c r="S173" i="9"/>
  <c r="O173" i="9"/>
  <c r="Q42" i="9"/>
  <c r="U14" i="9"/>
  <c r="W14" i="9" s="1"/>
  <c r="F24" i="9"/>
  <c r="G57" i="9"/>
  <c r="G59" i="9" s="1"/>
  <c r="R15" i="9"/>
  <c r="V15" i="9" s="1"/>
  <c r="G81" i="9"/>
  <c r="R14" i="9"/>
  <c r="AH14" i="9" s="1"/>
  <c r="E136" i="9"/>
  <c r="G135" i="9"/>
  <c r="F135" i="9"/>
  <c r="I121" i="9"/>
  <c r="I125" i="9"/>
  <c r="I155" i="9"/>
  <c r="O184" i="9"/>
  <c r="S184" i="9"/>
  <c r="K24" i="9"/>
  <c r="I147" i="9"/>
  <c r="F147" i="9"/>
  <c r="R181" i="9"/>
  <c r="V181" i="9" s="1"/>
  <c r="R182" i="9"/>
  <c r="V182" i="9" s="1"/>
  <c r="AA184" i="9"/>
  <c r="H194" i="9"/>
  <c r="U180" i="9"/>
  <c r="W180" i="9" s="1"/>
  <c r="I184" i="9"/>
  <c r="R183" i="9"/>
  <c r="V183" i="9" s="1"/>
  <c r="R42" i="8"/>
  <c r="V42" i="8" s="1"/>
  <c r="S175" i="9"/>
  <c r="S174" i="9"/>
  <c r="P175" i="9"/>
  <c r="Q104" i="9"/>
  <c r="AB104" i="9"/>
  <c r="P104" i="9"/>
  <c r="AA104" i="9"/>
  <c r="O104" i="9"/>
  <c r="O18" i="9"/>
  <c r="S18" i="9"/>
  <c r="AG18" i="9"/>
  <c r="S22" i="9"/>
  <c r="AG22" i="9"/>
  <c r="AA24" i="9"/>
  <c r="Q18" i="9"/>
  <c r="AB18" i="9"/>
  <c r="P21" i="9"/>
  <c r="AA21" i="9"/>
  <c r="Q22" i="9"/>
  <c r="AB22" i="9"/>
  <c r="O22" i="9"/>
  <c r="Q21" i="9"/>
  <c r="P13" i="9"/>
  <c r="P16" i="9" s="1"/>
  <c r="AB13" i="9"/>
  <c r="AB16" i="9" s="1"/>
  <c r="O13" i="9"/>
  <c r="S13" i="9"/>
  <c r="S16" i="9" s="1"/>
  <c r="AG13" i="9"/>
  <c r="AG16" i="9" s="1"/>
  <c r="AA13" i="9"/>
  <c r="Z16" i="9"/>
  <c r="F92" i="9"/>
  <c r="G83" i="9"/>
  <c r="G92" i="9" s="1"/>
  <c r="G54" i="9"/>
  <c r="G45" i="9"/>
  <c r="N93" i="9"/>
  <c r="N136" i="9" s="1"/>
  <c r="U15" i="9"/>
  <c r="W15" i="9" s="1"/>
  <c r="I45" i="9"/>
  <c r="F54" i="9"/>
  <c r="F177" i="9"/>
  <c r="G166" i="9"/>
  <c r="G177" i="9" s="1"/>
  <c r="Z54" i="9"/>
  <c r="F121" i="9"/>
  <c r="T194" i="9"/>
  <c r="Q184" i="9"/>
  <c r="G13" i="9"/>
  <c r="G16" i="9" s="1"/>
  <c r="T136" i="9"/>
  <c r="I92" i="9"/>
  <c r="I164" i="9"/>
  <c r="I177" i="9"/>
  <c r="U181" i="9"/>
  <c r="W181" i="9" s="1"/>
  <c r="G193" i="9"/>
  <c r="G159" i="9"/>
  <c r="G164" i="9" s="1"/>
  <c r="F164" i="9"/>
  <c r="I81" i="9"/>
  <c r="F81" i="9"/>
  <c r="H93" i="9"/>
  <c r="N194" i="9"/>
  <c r="F193" i="9"/>
  <c r="AE184" i="9"/>
  <c r="AG184" i="9"/>
  <c r="F109" i="9"/>
  <c r="I135" i="9"/>
  <c r="U179" i="9"/>
  <c r="I193" i="9"/>
  <c r="G109" i="9"/>
  <c r="G147" i="9"/>
  <c r="E194" i="9"/>
  <c r="U182" i="9"/>
  <c r="W182" i="9" s="1"/>
  <c r="G149" i="9"/>
  <c r="G155" i="9" s="1"/>
  <c r="U42" i="8"/>
  <c r="W42" i="8" s="1"/>
  <c r="S173" i="8"/>
  <c r="S174" i="8"/>
  <c r="S175" i="8"/>
  <c r="S176" i="8"/>
  <c r="Q173" i="8"/>
  <c r="Q174" i="8"/>
  <c r="Q175" i="8"/>
  <c r="Q176" i="8"/>
  <c r="P176" i="8"/>
  <c r="P173" i="8"/>
  <c r="P174" i="8"/>
  <c r="P175" i="8"/>
  <c r="O173" i="8"/>
  <c r="O174" i="8"/>
  <c r="O175" i="8"/>
  <c r="O176" i="8"/>
  <c r="I176" i="8"/>
  <c r="F176" i="8"/>
  <c r="G176" i="8" s="1"/>
  <c r="I175" i="8"/>
  <c r="F175" i="8"/>
  <c r="G175" i="8" s="1"/>
  <c r="I174" i="8"/>
  <c r="F174" i="8"/>
  <c r="G174" i="8" s="1"/>
  <c r="I173" i="8"/>
  <c r="F173" i="8"/>
  <c r="G173" i="8" s="1"/>
  <c r="T200" i="8"/>
  <c r="M200" i="8"/>
  <c r="L200" i="8"/>
  <c r="N198" i="8"/>
  <c r="J194" i="8"/>
  <c r="T193" i="8"/>
  <c r="N193" i="8"/>
  <c r="H193" i="8"/>
  <c r="E193" i="8"/>
  <c r="D193" i="8"/>
  <c r="Z192" i="8"/>
  <c r="K192" i="8"/>
  <c r="I192" i="8"/>
  <c r="F192" i="8"/>
  <c r="G192" i="8" s="1"/>
  <c r="Z191" i="8"/>
  <c r="K191" i="8"/>
  <c r="K191" i="9" s="1"/>
  <c r="AG191" i="9" s="1"/>
  <c r="I191" i="8"/>
  <c r="F191" i="8"/>
  <c r="G191" i="8" s="1"/>
  <c r="Z190" i="8"/>
  <c r="K190" i="8"/>
  <c r="I190" i="8"/>
  <c r="F190" i="8"/>
  <c r="G190" i="8" s="1"/>
  <c r="Z189" i="8"/>
  <c r="K189" i="8"/>
  <c r="I189" i="8"/>
  <c r="F189" i="8"/>
  <c r="G189" i="8" s="1"/>
  <c r="Z188" i="8"/>
  <c r="K188" i="8"/>
  <c r="K188" i="9" s="1"/>
  <c r="I188" i="8"/>
  <c r="F188" i="8"/>
  <c r="G188" i="8" s="1"/>
  <c r="Z187" i="8"/>
  <c r="K187" i="8"/>
  <c r="K187" i="9" s="1"/>
  <c r="I187" i="8"/>
  <c r="F187" i="8"/>
  <c r="G187" i="8" s="1"/>
  <c r="Z186" i="8"/>
  <c r="K186" i="8"/>
  <c r="O186" i="8" s="1"/>
  <c r="I186" i="8"/>
  <c r="F186" i="8"/>
  <c r="AB185" i="8"/>
  <c r="AA185" i="8"/>
  <c r="T184" i="8"/>
  <c r="N184" i="8"/>
  <c r="H184" i="8"/>
  <c r="E184" i="8"/>
  <c r="D184" i="8"/>
  <c r="Z183" i="8"/>
  <c r="I183" i="8"/>
  <c r="F183" i="8"/>
  <c r="G183" i="8" s="1"/>
  <c r="Z182" i="8"/>
  <c r="I182" i="8"/>
  <c r="F182" i="8"/>
  <c r="G182" i="8" s="1"/>
  <c r="Z181" i="8"/>
  <c r="Q181" i="8"/>
  <c r="I181" i="8"/>
  <c r="F181" i="8"/>
  <c r="G181" i="8" s="1"/>
  <c r="Z180" i="8"/>
  <c r="S180" i="8"/>
  <c r="I180" i="8"/>
  <c r="F180" i="8"/>
  <c r="G180" i="8" s="1"/>
  <c r="Z179" i="8"/>
  <c r="S179" i="8"/>
  <c r="I179" i="8"/>
  <c r="F179" i="8"/>
  <c r="AB178" i="8"/>
  <c r="AA178" i="8"/>
  <c r="N177" i="8"/>
  <c r="H177" i="8"/>
  <c r="E177" i="8"/>
  <c r="Z172" i="8"/>
  <c r="K172" i="8"/>
  <c r="I172" i="8"/>
  <c r="F172" i="8"/>
  <c r="G172" i="8" s="1"/>
  <c r="Z171" i="8"/>
  <c r="K171" i="8"/>
  <c r="I171" i="8"/>
  <c r="F171" i="8"/>
  <c r="G171" i="8" s="1"/>
  <c r="Z170" i="8"/>
  <c r="K170" i="8"/>
  <c r="I170" i="8"/>
  <c r="F170" i="8"/>
  <c r="G170" i="8" s="1"/>
  <c r="Z169" i="8"/>
  <c r="K169" i="8"/>
  <c r="I169" i="8"/>
  <c r="F169" i="8"/>
  <c r="G169" i="8" s="1"/>
  <c r="Z168" i="8"/>
  <c r="K168" i="8"/>
  <c r="K168" i="9" s="1"/>
  <c r="I168" i="8"/>
  <c r="F168" i="8"/>
  <c r="G168" i="8" s="1"/>
  <c r="Z167" i="8"/>
  <c r="K167" i="8"/>
  <c r="K167" i="9" s="1"/>
  <c r="I167" i="8"/>
  <c r="F167" i="8"/>
  <c r="G167" i="8" s="1"/>
  <c r="Z166" i="8"/>
  <c r="K166" i="8"/>
  <c r="I166" i="8"/>
  <c r="F166" i="8"/>
  <c r="G166" i="8" s="1"/>
  <c r="AB165" i="8"/>
  <c r="AA165" i="8"/>
  <c r="T164" i="8"/>
  <c r="N164" i="8"/>
  <c r="H164" i="8"/>
  <c r="E164" i="8"/>
  <c r="D164" i="8"/>
  <c r="Z163" i="8"/>
  <c r="K163" i="8"/>
  <c r="K163" i="9" s="1"/>
  <c r="O163" i="9" s="1"/>
  <c r="I163" i="8"/>
  <c r="F163" i="8"/>
  <c r="G163" i="8" s="1"/>
  <c r="Z162" i="8"/>
  <c r="K162" i="8"/>
  <c r="K162" i="9" s="1"/>
  <c r="AE162" i="9" s="1"/>
  <c r="I162" i="8"/>
  <c r="F162" i="8"/>
  <c r="G162" i="8" s="1"/>
  <c r="Z161" i="8"/>
  <c r="K161" i="8"/>
  <c r="K161" i="9" s="1"/>
  <c r="O161" i="9" s="1"/>
  <c r="I161" i="8"/>
  <c r="F161" i="8"/>
  <c r="G161" i="8" s="1"/>
  <c r="Z160" i="8"/>
  <c r="K160" i="8"/>
  <c r="I160" i="8"/>
  <c r="F160" i="8"/>
  <c r="G160" i="8" s="1"/>
  <c r="Z159" i="8"/>
  <c r="K159" i="8"/>
  <c r="I159" i="8"/>
  <c r="F159" i="8"/>
  <c r="G159" i="8" s="1"/>
  <c r="Z158" i="8"/>
  <c r="K158" i="8"/>
  <c r="I158" i="8"/>
  <c r="F158" i="8"/>
  <c r="G158" i="8" s="1"/>
  <c r="Z157" i="8"/>
  <c r="K157" i="8"/>
  <c r="K157" i="9" s="1"/>
  <c r="I157" i="8"/>
  <c r="F157" i="8"/>
  <c r="G157" i="8" s="1"/>
  <c r="AB156" i="8"/>
  <c r="AA156" i="8"/>
  <c r="T155" i="8"/>
  <c r="N155" i="8"/>
  <c r="H155" i="8"/>
  <c r="E155" i="8"/>
  <c r="D155" i="8"/>
  <c r="Z154" i="8"/>
  <c r="K154" i="8"/>
  <c r="I154" i="8"/>
  <c r="F154" i="8"/>
  <c r="G154" i="8" s="1"/>
  <c r="Z153" i="8"/>
  <c r="K153" i="8"/>
  <c r="K153" i="9" s="1"/>
  <c r="P153" i="9" s="1"/>
  <c r="I153" i="8"/>
  <c r="F153" i="8"/>
  <c r="G153" i="8" s="1"/>
  <c r="Z152" i="8"/>
  <c r="K152" i="8"/>
  <c r="K152" i="9" s="1"/>
  <c r="I152" i="8"/>
  <c r="F152" i="8"/>
  <c r="G152" i="8" s="1"/>
  <c r="Z151" i="8"/>
  <c r="K151" i="8"/>
  <c r="K151" i="9" s="1"/>
  <c r="I151" i="8"/>
  <c r="F151" i="8"/>
  <c r="G151" i="8" s="1"/>
  <c r="Z150" i="8"/>
  <c r="K150" i="8"/>
  <c r="K150" i="9" s="1"/>
  <c r="I150" i="8"/>
  <c r="F150" i="8"/>
  <c r="G150" i="8" s="1"/>
  <c r="Z149" i="8"/>
  <c r="K149" i="8"/>
  <c r="I149" i="8"/>
  <c r="F149" i="8"/>
  <c r="G149" i="8" s="1"/>
  <c r="AB148" i="8"/>
  <c r="AA148" i="8"/>
  <c r="T147" i="8"/>
  <c r="N147" i="8"/>
  <c r="H147" i="8"/>
  <c r="E147" i="8"/>
  <c r="D147" i="8"/>
  <c r="Z146" i="8"/>
  <c r="K146" i="8"/>
  <c r="K146" i="9" s="1"/>
  <c r="I146" i="8"/>
  <c r="F146" i="8"/>
  <c r="G146" i="8" s="1"/>
  <c r="Z145" i="8"/>
  <c r="K145" i="8"/>
  <c r="K145" i="9" s="1"/>
  <c r="I145" i="8"/>
  <c r="F145" i="8"/>
  <c r="G145" i="8" s="1"/>
  <c r="Z144" i="8"/>
  <c r="K144" i="8"/>
  <c r="I144" i="8"/>
  <c r="F144" i="8"/>
  <c r="G144" i="8" s="1"/>
  <c r="Z143" i="8"/>
  <c r="K143" i="8"/>
  <c r="I143" i="8"/>
  <c r="F143" i="8"/>
  <c r="G143" i="8" s="1"/>
  <c r="Z142" i="8"/>
  <c r="K142" i="8"/>
  <c r="O142" i="8" s="1"/>
  <c r="I142" i="8"/>
  <c r="F142" i="8"/>
  <c r="G142" i="8" s="1"/>
  <c r="Z141" i="8"/>
  <c r="K141" i="8"/>
  <c r="K141" i="9" s="1"/>
  <c r="I141" i="8"/>
  <c r="F141" i="8"/>
  <c r="G141" i="8" s="1"/>
  <c r="AB140" i="8"/>
  <c r="AA140" i="8"/>
  <c r="AB139" i="8"/>
  <c r="AA139" i="8"/>
  <c r="AB138" i="8"/>
  <c r="AA138" i="8"/>
  <c r="AB137" i="8"/>
  <c r="AA137" i="8"/>
  <c r="T135" i="8"/>
  <c r="N135" i="8"/>
  <c r="H135" i="8"/>
  <c r="E135" i="8"/>
  <c r="D135" i="8"/>
  <c r="K134" i="8"/>
  <c r="O134" i="8" s="1"/>
  <c r="I134" i="8"/>
  <c r="K133" i="8"/>
  <c r="O133" i="8" s="1"/>
  <c r="I133" i="8"/>
  <c r="K132" i="8"/>
  <c r="I132" i="8"/>
  <c r="F132" i="8"/>
  <c r="G132" i="8" s="1"/>
  <c r="Z131" i="8"/>
  <c r="K131" i="8"/>
  <c r="K131" i="9" s="1"/>
  <c r="AA131" i="9" s="1"/>
  <c r="I131" i="8"/>
  <c r="F131" i="8"/>
  <c r="G131" i="8" s="1"/>
  <c r="Z130" i="8"/>
  <c r="K130" i="8"/>
  <c r="K130" i="9" s="1"/>
  <c r="AE130" i="9" s="1"/>
  <c r="I130" i="8"/>
  <c r="F130" i="8"/>
  <c r="Z129" i="8"/>
  <c r="K129" i="8"/>
  <c r="I129" i="8"/>
  <c r="F129" i="8"/>
  <c r="G129" i="8" s="1"/>
  <c r="Z128" i="8"/>
  <c r="K128" i="8"/>
  <c r="K128" i="9" s="1"/>
  <c r="I128" i="8"/>
  <c r="F128" i="8"/>
  <c r="G128" i="8" s="1"/>
  <c r="Z127" i="8"/>
  <c r="K127" i="8"/>
  <c r="K127" i="9" s="1"/>
  <c r="I127" i="8"/>
  <c r="F127" i="8"/>
  <c r="G127" i="8" s="1"/>
  <c r="AB126" i="8"/>
  <c r="AA126" i="8"/>
  <c r="Q126" i="8"/>
  <c r="T125" i="8"/>
  <c r="N125" i="8"/>
  <c r="J125" i="8"/>
  <c r="J136" i="8" s="1"/>
  <c r="H125" i="8"/>
  <c r="E125" i="8"/>
  <c r="D125" i="8"/>
  <c r="Z124" i="8"/>
  <c r="K124" i="8"/>
  <c r="K124" i="9" s="1"/>
  <c r="I124" i="8"/>
  <c r="G124" i="8"/>
  <c r="Z123" i="8"/>
  <c r="K123" i="8"/>
  <c r="K123" i="9" s="1"/>
  <c r="K125" i="9" s="1"/>
  <c r="I123" i="8"/>
  <c r="F123" i="8"/>
  <c r="F125" i="8" s="1"/>
  <c r="AB122" i="8"/>
  <c r="AA122" i="8"/>
  <c r="T121" i="8"/>
  <c r="N121" i="8"/>
  <c r="H121" i="8"/>
  <c r="E121" i="8"/>
  <c r="D121" i="8"/>
  <c r="Z120" i="8"/>
  <c r="K120" i="8"/>
  <c r="K120" i="9" s="1"/>
  <c r="AG120" i="9" s="1"/>
  <c r="I120" i="8"/>
  <c r="F120" i="8"/>
  <c r="G120" i="8" s="1"/>
  <c r="Z119" i="8"/>
  <c r="AA119" i="9"/>
  <c r="I119" i="8"/>
  <c r="F119" i="8"/>
  <c r="Z118" i="8"/>
  <c r="K118" i="9"/>
  <c r="I118" i="8"/>
  <c r="F118" i="8"/>
  <c r="G118" i="8" s="1"/>
  <c r="Z117" i="8"/>
  <c r="K117" i="8"/>
  <c r="I117" i="8"/>
  <c r="F117" i="8"/>
  <c r="G117" i="8" s="1"/>
  <c r="Z116" i="8"/>
  <c r="K116" i="8"/>
  <c r="I116" i="8"/>
  <c r="G116" i="8"/>
  <c r="Z115" i="8"/>
  <c r="K115" i="8"/>
  <c r="I115" i="8"/>
  <c r="F115" i="8"/>
  <c r="G115" i="8" s="1"/>
  <c r="Z114" i="8"/>
  <c r="K114" i="8"/>
  <c r="P114" i="8" s="1"/>
  <c r="I114" i="8"/>
  <c r="F114" i="8"/>
  <c r="G114" i="8" s="1"/>
  <c r="Z113" i="8"/>
  <c r="K113" i="8"/>
  <c r="K113" i="9" s="1"/>
  <c r="Q113" i="9" s="1"/>
  <c r="I113" i="8"/>
  <c r="F113" i="8"/>
  <c r="G113" i="8" s="1"/>
  <c r="Z112" i="8"/>
  <c r="K112" i="8"/>
  <c r="I112" i="8"/>
  <c r="F112" i="8"/>
  <c r="G112" i="8" s="1"/>
  <c r="Z111" i="8"/>
  <c r="K111" i="8"/>
  <c r="I111" i="8"/>
  <c r="F111" i="8"/>
  <c r="G111" i="8" s="1"/>
  <c r="AB110" i="8"/>
  <c r="AA110" i="8"/>
  <c r="T109" i="8"/>
  <c r="N109" i="8"/>
  <c r="H109" i="8"/>
  <c r="E109" i="8"/>
  <c r="D109" i="8"/>
  <c r="Z108" i="8"/>
  <c r="K108" i="8"/>
  <c r="I108" i="8"/>
  <c r="F108" i="8"/>
  <c r="G108" i="8" s="1"/>
  <c r="Z107" i="8"/>
  <c r="K107" i="8"/>
  <c r="I107" i="8"/>
  <c r="F107" i="8"/>
  <c r="G107" i="8" s="1"/>
  <c r="Z106" i="8"/>
  <c r="K106" i="8"/>
  <c r="I106" i="8"/>
  <c r="F106" i="8"/>
  <c r="G106" i="8" s="1"/>
  <c r="Z105" i="8"/>
  <c r="K105" i="8"/>
  <c r="K105" i="9" s="1"/>
  <c r="AG105" i="9" s="1"/>
  <c r="I105" i="8"/>
  <c r="F105" i="8"/>
  <c r="G105" i="8" s="1"/>
  <c r="AG104" i="8"/>
  <c r="AE104" i="8"/>
  <c r="AB104" i="8"/>
  <c r="Z104" i="8"/>
  <c r="AA104" i="8" s="1"/>
  <c r="S104" i="8"/>
  <c r="Q104" i="8"/>
  <c r="P104" i="8"/>
  <c r="O104" i="8"/>
  <c r="I104" i="8"/>
  <c r="F104" i="8"/>
  <c r="G104" i="8" s="1"/>
  <c r="Z103" i="8"/>
  <c r="K103" i="8"/>
  <c r="I103" i="8"/>
  <c r="F103" i="8"/>
  <c r="G103" i="8" s="1"/>
  <c r="K102" i="8"/>
  <c r="Z101" i="8"/>
  <c r="K101" i="8"/>
  <c r="I101" i="8"/>
  <c r="F101" i="8"/>
  <c r="G101" i="8" s="1"/>
  <c r="Z100" i="8"/>
  <c r="K100" i="8"/>
  <c r="I100" i="8"/>
  <c r="F100" i="8"/>
  <c r="G100" i="8" s="1"/>
  <c r="Z99" i="8"/>
  <c r="K99" i="8"/>
  <c r="K99" i="9" s="1"/>
  <c r="I99" i="8"/>
  <c r="F99" i="8"/>
  <c r="G99" i="8" s="1"/>
  <c r="AB98" i="8"/>
  <c r="AA98" i="8"/>
  <c r="N97" i="8"/>
  <c r="D97" i="8"/>
  <c r="Z96" i="8"/>
  <c r="K96" i="8"/>
  <c r="Z95" i="8"/>
  <c r="K95" i="8"/>
  <c r="Q95" i="8" s="1"/>
  <c r="AB94" i="8"/>
  <c r="AA94" i="8"/>
  <c r="T92" i="8"/>
  <c r="N92" i="8"/>
  <c r="H92" i="8"/>
  <c r="E92" i="8"/>
  <c r="D92" i="8"/>
  <c r="Z91" i="8"/>
  <c r="K91" i="8"/>
  <c r="O91" i="8" s="1"/>
  <c r="I91" i="8"/>
  <c r="Z90" i="8"/>
  <c r="K90" i="8"/>
  <c r="I90" i="8"/>
  <c r="Z89" i="8"/>
  <c r="K89" i="8"/>
  <c r="I89" i="8"/>
  <c r="K88" i="8"/>
  <c r="Z87" i="8"/>
  <c r="K87" i="8"/>
  <c r="K87" i="9" s="1"/>
  <c r="I87" i="8"/>
  <c r="F87" i="8"/>
  <c r="G87" i="8" s="1"/>
  <c r="Z86" i="8"/>
  <c r="K86" i="8"/>
  <c r="I86" i="8"/>
  <c r="F86" i="8"/>
  <c r="G86" i="8" s="1"/>
  <c r="Z85" i="8"/>
  <c r="K85" i="8"/>
  <c r="I85" i="8"/>
  <c r="F85" i="8"/>
  <c r="K84" i="8"/>
  <c r="I84" i="8"/>
  <c r="Z83" i="8"/>
  <c r="K83" i="8"/>
  <c r="K83" i="9" s="1"/>
  <c r="Q83" i="9" s="1"/>
  <c r="I83" i="8"/>
  <c r="F83" i="8"/>
  <c r="G83" i="8" s="1"/>
  <c r="AB82" i="8"/>
  <c r="AA82" i="8"/>
  <c r="AH81" i="8"/>
  <c r="AF81" i="8"/>
  <c r="AD81" i="8"/>
  <c r="AC81" i="8"/>
  <c r="Y81" i="8"/>
  <c r="X81" i="8"/>
  <c r="T81" i="8"/>
  <c r="N81" i="8"/>
  <c r="J81" i="8"/>
  <c r="H81" i="8"/>
  <c r="E81" i="8"/>
  <c r="D81" i="8"/>
  <c r="K80" i="8"/>
  <c r="K80" i="9" s="1"/>
  <c r="K79" i="8"/>
  <c r="K78" i="8"/>
  <c r="K77" i="8"/>
  <c r="K77" i="9" s="1"/>
  <c r="Z76" i="8"/>
  <c r="K76" i="8"/>
  <c r="I76" i="8"/>
  <c r="Z75" i="8"/>
  <c r="K75" i="8"/>
  <c r="K75" i="9" s="1"/>
  <c r="Z74" i="8"/>
  <c r="K74" i="8"/>
  <c r="K74" i="9" s="1"/>
  <c r="I74" i="8"/>
  <c r="Z73" i="8"/>
  <c r="K73" i="8"/>
  <c r="I73" i="8"/>
  <c r="K72" i="8"/>
  <c r="Z71" i="8"/>
  <c r="K71" i="8"/>
  <c r="K71" i="9" s="1"/>
  <c r="Q71" i="9" s="1"/>
  <c r="Z70" i="8"/>
  <c r="K70" i="8"/>
  <c r="Z69" i="8"/>
  <c r="K69" i="8"/>
  <c r="I69" i="8"/>
  <c r="Z68" i="8"/>
  <c r="K68" i="8"/>
  <c r="I68" i="8"/>
  <c r="F68" i="8"/>
  <c r="G68" i="8" s="1"/>
  <c r="Z67" i="8"/>
  <c r="K67" i="8"/>
  <c r="K67" i="9" s="1"/>
  <c r="I67" i="8"/>
  <c r="F67" i="8"/>
  <c r="G67" i="8" s="1"/>
  <c r="Z66" i="8"/>
  <c r="K66" i="8"/>
  <c r="I66" i="8"/>
  <c r="F66" i="8"/>
  <c r="Z65" i="8"/>
  <c r="K65" i="8"/>
  <c r="I65" i="8"/>
  <c r="Z64" i="8"/>
  <c r="K64" i="8"/>
  <c r="I64" i="8"/>
  <c r="G64" i="8"/>
  <c r="AB63" i="8"/>
  <c r="AA63" i="8"/>
  <c r="Z62" i="8"/>
  <c r="K62" i="8"/>
  <c r="K62" i="9" s="1"/>
  <c r="I62" i="8"/>
  <c r="F62" i="8"/>
  <c r="G62" i="8" s="1"/>
  <c r="Z61" i="8"/>
  <c r="K61" i="8"/>
  <c r="I61" i="8"/>
  <c r="F61" i="8"/>
  <c r="G61" i="8" s="1"/>
  <c r="AB60" i="8"/>
  <c r="AA60" i="8"/>
  <c r="T59" i="8"/>
  <c r="N59" i="8"/>
  <c r="H59" i="8"/>
  <c r="E59" i="8"/>
  <c r="D59" i="8"/>
  <c r="Z58" i="8"/>
  <c r="K58" i="8"/>
  <c r="I58" i="8"/>
  <c r="F58" i="8"/>
  <c r="G58" i="8" s="1"/>
  <c r="Z57" i="8"/>
  <c r="K57" i="8"/>
  <c r="I57" i="8"/>
  <c r="F57" i="8"/>
  <c r="AB56" i="8"/>
  <c r="AA56" i="8"/>
  <c r="AF54" i="8"/>
  <c r="AD54" i="8"/>
  <c r="AC54" i="8"/>
  <c r="Y54" i="8"/>
  <c r="X54" i="8"/>
  <c r="T54" i="8"/>
  <c r="N54" i="8"/>
  <c r="H54" i="8"/>
  <c r="E54" i="8"/>
  <c r="D54" i="8"/>
  <c r="Z53" i="8"/>
  <c r="K53" i="8"/>
  <c r="I53" i="8"/>
  <c r="F53" i="8"/>
  <c r="G53" i="8" s="1"/>
  <c r="Z52" i="8"/>
  <c r="K52" i="8"/>
  <c r="I52" i="8"/>
  <c r="F52" i="8"/>
  <c r="G52" i="8" s="1"/>
  <c r="Z51" i="8"/>
  <c r="K51" i="8"/>
  <c r="K51" i="9" s="1"/>
  <c r="I51" i="8"/>
  <c r="F51" i="8"/>
  <c r="G51" i="8" s="1"/>
  <c r="Z50" i="8"/>
  <c r="K50" i="8"/>
  <c r="I50" i="8"/>
  <c r="F50" i="8"/>
  <c r="G50" i="8" s="1"/>
  <c r="Z49" i="8"/>
  <c r="K49" i="8"/>
  <c r="I49" i="8"/>
  <c r="F49" i="8"/>
  <c r="G49" i="8" s="1"/>
  <c r="K48" i="8"/>
  <c r="I48" i="8"/>
  <c r="F48" i="8"/>
  <c r="G48" i="8" s="1"/>
  <c r="Z47" i="8"/>
  <c r="K47" i="8"/>
  <c r="K47" i="9" s="1"/>
  <c r="I47" i="8"/>
  <c r="G47" i="8"/>
  <c r="F47" i="8"/>
  <c r="AB46" i="8"/>
  <c r="Z46" i="8"/>
  <c r="AA46" i="8" s="1"/>
  <c r="Z45" i="8"/>
  <c r="T45" i="8"/>
  <c r="N45" i="8"/>
  <c r="H45" i="8"/>
  <c r="K44" i="8"/>
  <c r="I43" i="8"/>
  <c r="F43" i="8"/>
  <c r="Z38" i="8"/>
  <c r="K38" i="8"/>
  <c r="I38" i="8"/>
  <c r="F38" i="8"/>
  <c r="G38" i="8" s="1"/>
  <c r="Z37" i="8"/>
  <c r="K37" i="8"/>
  <c r="Q37" i="8" s="1"/>
  <c r="I37" i="8"/>
  <c r="F37" i="8"/>
  <c r="G37" i="8" s="1"/>
  <c r="Z36" i="8"/>
  <c r="K36" i="8"/>
  <c r="I36" i="8"/>
  <c r="F36" i="8"/>
  <c r="G36" i="8" s="1"/>
  <c r="Z35" i="8"/>
  <c r="K35" i="8"/>
  <c r="I35" i="8"/>
  <c r="F35" i="8"/>
  <c r="G35" i="8" s="1"/>
  <c r="Z34" i="8"/>
  <c r="K34" i="8"/>
  <c r="I34" i="8"/>
  <c r="G34" i="8"/>
  <c r="Z33" i="8"/>
  <c r="K33" i="8"/>
  <c r="I33" i="8"/>
  <c r="F33" i="8"/>
  <c r="G33" i="8" s="1"/>
  <c r="Z32" i="8"/>
  <c r="K32" i="8"/>
  <c r="I32" i="8"/>
  <c r="F32" i="8"/>
  <c r="G32" i="8" s="1"/>
  <c r="Z31" i="8"/>
  <c r="K31" i="8"/>
  <c r="I31" i="8"/>
  <c r="F31" i="8"/>
  <c r="G31" i="8" s="1"/>
  <c r="K30" i="8"/>
  <c r="Z29" i="8"/>
  <c r="K29" i="8"/>
  <c r="Q29" i="8" s="1"/>
  <c r="I29" i="8"/>
  <c r="G29" i="8"/>
  <c r="F29" i="8"/>
  <c r="AB28" i="8"/>
  <c r="AA28" i="8"/>
  <c r="Z27" i="8"/>
  <c r="K27" i="8"/>
  <c r="I27" i="8"/>
  <c r="G27" i="8"/>
  <c r="Z26" i="8"/>
  <c r="K26" i="8"/>
  <c r="K26" i="9" s="1"/>
  <c r="I26" i="8"/>
  <c r="G26" i="8"/>
  <c r="AB25" i="8"/>
  <c r="AA25" i="8"/>
  <c r="T24" i="8"/>
  <c r="N24" i="8"/>
  <c r="K24" i="8"/>
  <c r="AG24" i="8" s="1"/>
  <c r="H24" i="8"/>
  <c r="E24" i="8"/>
  <c r="D24" i="8"/>
  <c r="AG23" i="8"/>
  <c r="AE23" i="8"/>
  <c r="AB23" i="8"/>
  <c r="Z23" i="8"/>
  <c r="AA23" i="8" s="1"/>
  <c r="S23" i="8"/>
  <c r="Q23" i="8"/>
  <c r="P23" i="8"/>
  <c r="O23" i="8"/>
  <c r="I23" i="8"/>
  <c r="F23" i="8"/>
  <c r="G23" i="8" s="1"/>
  <c r="AG22" i="8"/>
  <c r="AE22" i="8"/>
  <c r="AB22" i="8"/>
  <c r="Z22" i="8"/>
  <c r="AA22" i="8" s="1"/>
  <c r="S22" i="8"/>
  <c r="Q22" i="8"/>
  <c r="P22" i="8"/>
  <c r="O22" i="8"/>
  <c r="I22" i="8"/>
  <c r="F22" i="8"/>
  <c r="G22" i="8" s="1"/>
  <c r="AG21" i="8"/>
  <c r="AE21" i="8"/>
  <c r="AB21" i="8"/>
  <c r="Z21" i="8"/>
  <c r="AA21" i="8" s="1"/>
  <c r="S21" i="8"/>
  <c r="Q21" i="8"/>
  <c r="P21" i="8"/>
  <c r="O21" i="8"/>
  <c r="I21" i="8"/>
  <c r="F21" i="8"/>
  <c r="G21" i="8" s="1"/>
  <c r="AG20" i="8"/>
  <c r="AE20" i="8"/>
  <c r="AB20" i="8"/>
  <c r="Z20" i="8"/>
  <c r="AA20" i="8" s="1"/>
  <c r="S20" i="8"/>
  <c r="Q20" i="8"/>
  <c r="P20" i="8"/>
  <c r="O20" i="8"/>
  <c r="I20" i="8"/>
  <c r="F20" i="8"/>
  <c r="G20" i="8" s="1"/>
  <c r="AG19" i="8"/>
  <c r="AE19" i="8"/>
  <c r="AB19" i="8"/>
  <c r="Z19" i="8"/>
  <c r="AA19" i="8" s="1"/>
  <c r="S19" i="8"/>
  <c r="Q19" i="8"/>
  <c r="P19" i="8"/>
  <c r="O19" i="8"/>
  <c r="I19" i="8"/>
  <c r="F19" i="8"/>
  <c r="G19" i="8" s="1"/>
  <c r="AG18" i="8"/>
  <c r="AE18" i="8"/>
  <c r="AB18" i="8"/>
  <c r="Z18" i="8"/>
  <c r="AA18" i="8" s="1"/>
  <c r="S18" i="8"/>
  <c r="Q18" i="8"/>
  <c r="P18" i="8"/>
  <c r="O18" i="8"/>
  <c r="I18" i="8"/>
  <c r="F18" i="8"/>
  <c r="G18" i="8" s="1"/>
  <c r="AB17" i="8"/>
  <c r="AA17" i="8"/>
  <c r="AF16" i="8"/>
  <c r="AD16" i="8"/>
  <c r="AC16" i="8"/>
  <c r="Y16" i="8"/>
  <c r="X16" i="8"/>
  <c r="N16" i="8"/>
  <c r="H16" i="8"/>
  <c r="E16" i="8"/>
  <c r="AG15" i="8"/>
  <c r="AE15" i="8"/>
  <c r="AB15" i="8"/>
  <c r="Z15" i="8"/>
  <c r="AA15" i="8" s="1"/>
  <c r="S15" i="8"/>
  <c r="Q15" i="8"/>
  <c r="P15" i="8"/>
  <c r="O15" i="8"/>
  <c r="AG14" i="8"/>
  <c r="AE14" i="8"/>
  <c r="AB14" i="8"/>
  <c r="Z14" i="8"/>
  <c r="AA14" i="8" s="1"/>
  <c r="S14" i="8"/>
  <c r="Q14" i="8"/>
  <c r="P14" i="8"/>
  <c r="O14" i="8"/>
  <c r="I14" i="8"/>
  <c r="F14" i="8"/>
  <c r="G14" i="8" s="1"/>
  <c r="AG13" i="8"/>
  <c r="AE13" i="8"/>
  <c r="AB13" i="8"/>
  <c r="Z13" i="8"/>
  <c r="AA13" i="8" s="1"/>
  <c r="S13" i="8"/>
  <c r="Q13" i="8"/>
  <c r="P13" i="8"/>
  <c r="O13" i="8"/>
  <c r="I13" i="8"/>
  <c r="F13" i="8"/>
  <c r="G13" i="8" s="1"/>
  <c r="I125" i="8" l="1"/>
  <c r="F59" i="8"/>
  <c r="F93" i="9"/>
  <c r="G121" i="9"/>
  <c r="G93" i="9"/>
  <c r="T93" i="8"/>
  <c r="F184" i="8"/>
  <c r="D195" i="9"/>
  <c r="D199" i="9" s="1"/>
  <c r="D200" i="9" s="1"/>
  <c r="I16" i="8"/>
  <c r="S16" i="8"/>
  <c r="T194" i="8"/>
  <c r="I198" i="8"/>
  <c r="D194" i="8"/>
  <c r="V14" i="9"/>
  <c r="I93" i="9"/>
  <c r="R184" i="9"/>
  <c r="I55" i="9"/>
  <c r="G119" i="8"/>
  <c r="G198" i="8" s="1"/>
  <c r="F198" i="8"/>
  <c r="V179" i="9"/>
  <c r="V184" i="9" s="1"/>
  <c r="H136" i="9"/>
  <c r="H195" i="9" s="1"/>
  <c r="H199" i="9" s="1"/>
  <c r="H200" i="9" s="1"/>
  <c r="AA127" i="9"/>
  <c r="AB141" i="9"/>
  <c r="S157" i="9"/>
  <c r="R19" i="9"/>
  <c r="V19" i="9" s="1"/>
  <c r="R176" i="9"/>
  <c r="V176" i="9" s="1"/>
  <c r="U19" i="9"/>
  <c r="W19" i="9" s="1"/>
  <c r="U176" i="9"/>
  <c r="W176" i="9" s="1"/>
  <c r="R174" i="9"/>
  <c r="V174" i="9" s="1"/>
  <c r="U23" i="9"/>
  <c r="W23" i="9" s="1"/>
  <c r="R20" i="9"/>
  <c r="V20" i="9" s="1"/>
  <c r="K166" i="9"/>
  <c r="AB166" i="9" s="1"/>
  <c r="K177" i="8"/>
  <c r="AE141" i="8"/>
  <c r="P24" i="9"/>
  <c r="R18" i="9"/>
  <c r="V18" i="9" s="1"/>
  <c r="U174" i="9"/>
  <c r="W174" i="9" s="1"/>
  <c r="U175" i="8"/>
  <c r="W175" i="8" s="1"/>
  <c r="S153" i="9"/>
  <c r="U20" i="9"/>
  <c r="W20" i="9" s="1"/>
  <c r="S161" i="9"/>
  <c r="R175" i="9"/>
  <c r="V175" i="9" s="1"/>
  <c r="R23" i="9"/>
  <c r="V23" i="9" s="1"/>
  <c r="U173" i="9"/>
  <c r="W173" i="9" s="1"/>
  <c r="U42" i="9"/>
  <c r="W42" i="9" s="1"/>
  <c r="AA52" i="8"/>
  <c r="R13" i="9"/>
  <c r="R16" i="9" s="1"/>
  <c r="Q151" i="8"/>
  <c r="Q162" i="8"/>
  <c r="O24" i="9"/>
  <c r="R42" i="9"/>
  <c r="V42" i="9" s="1"/>
  <c r="AG163" i="9"/>
  <c r="AH15" i="9"/>
  <c r="AH16" i="9" s="1"/>
  <c r="R173" i="9"/>
  <c r="V173" i="9" s="1"/>
  <c r="R23" i="8"/>
  <c r="V23" i="8" s="1"/>
  <c r="AE27" i="8"/>
  <c r="K27" i="9"/>
  <c r="AG47" i="8"/>
  <c r="AE64" i="8"/>
  <c r="K64" i="9"/>
  <c r="AG65" i="8"/>
  <c r="K65" i="9"/>
  <c r="AE66" i="8"/>
  <c r="K66" i="9"/>
  <c r="P67" i="9"/>
  <c r="O67" i="9"/>
  <c r="AG67" i="9"/>
  <c r="AE67" i="9"/>
  <c r="AB67" i="9"/>
  <c r="Q67" i="9"/>
  <c r="S67" i="9"/>
  <c r="AA67" i="9"/>
  <c r="AE68" i="8"/>
  <c r="K68" i="9"/>
  <c r="AE75" i="9"/>
  <c r="O75" i="9"/>
  <c r="S75" i="9"/>
  <c r="AG75" i="9"/>
  <c r="AA75" i="9"/>
  <c r="AB75" i="9"/>
  <c r="P75" i="9"/>
  <c r="O80" i="9"/>
  <c r="S80" i="9"/>
  <c r="Q80" i="9"/>
  <c r="P80" i="9"/>
  <c r="P84" i="8"/>
  <c r="K84" i="9"/>
  <c r="AE103" i="8"/>
  <c r="K103" i="9"/>
  <c r="AG115" i="8"/>
  <c r="K115" i="9"/>
  <c r="AE116" i="8"/>
  <c r="K116" i="9"/>
  <c r="AB26" i="9"/>
  <c r="Q26" i="9"/>
  <c r="AA26" i="9"/>
  <c r="P26" i="9"/>
  <c r="O26" i="9"/>
  <c r="AG26" i="9"/>
  <c r="S26" i="9"/>
  <c r="AE26" i="9"/>
  <c r="AE31" i="8"/>
  <c r="K31" i="9"/>
  <c r="Q32" i="8"/>
  <c r="K32" i="9"/>
  <c r="AE33" i="8"/>
  <c r="K33" i="9"/>
  <c r="AE34" i="8"/>
  <c r="K34" i="9"/>
  <c r="AG35" i="8"/>
  <c r="K35" i="9"/>
  <c r="AE36" i="8"/>
  <c r="K36" i="9"/>
  <c r="AE37" i="8"/>
  <c r="K37" i="9"/>
  <c r="P64" i="8"/>
  <c r="AG70" i="8"/>
  <c r="K70" i="9"/>
  <c r="S72" i="8"/>
  <c r="K72" i="9"/>
  <c r="P77" i="9"/>
  <c r="Q77" i="9"/>
  <c r="S77" i="9"/>
  <c r="O77" i="9"/>
  <c r="D93" i="8"/>
  <c r="S83" i="9"/>
  <c r="P83" i="9"/>
  <c r="O83" i="9"/>
  <c r="AG83" i="9"/>
  <c r="AA83" i="9"/>
  <c r="AB83" i="9"/>
  <c r="AE83" i="9"/>
  <c r="P88" i="8"/>
  <c r="K88" i="9"/>
  <c r="AG91" i="8"/>
  <c r="K91" i="9"/>
  <c r="S102" i="8"/>
  <c r="K102" i="9"/>
  <c r="S116" i="8"/>
  <c r="K198" i="8"/>
  <c r="S34" i="10" s="1"/>
  <c r="K117" i="9"/>
  <c r="Q118" i="9"/>
  <c r="AE118" i="9"/>
  <c r="AA118" i="9"/>
  <c r="AG118" i="9"/>
  <c r="O118" i="9"/>
  <c r="P118" i="9"/>
  <c r="S118" i="9"/>
  <c r="AB118" i="9"/>
  <c r="AB119" i="9"/>
  <c r="Q119" i="9"/>
  <c r="AE119" i="9"/>
  <c r="AG119" i="9"/>
  <c r="P119" i="9"/>
  <c r="S119" i="9"/>
  <c r="O119" i="9"/>
  <c r="AA120" i="9"/>
  <c r="Q120" i="9"/>
  <c r="P120" i="9"/>
  <c r="AB120" i="9"/>
  <c r="AE120" i="9"/>
  <c r="O120" i="9"/>
  <c r="S120" i="9"/>
  <c r="AB123" i="9"/>
  <c r="P123" i="9"/>
  <c r="Q123" i="9"/>
  <c r="AE123" i="9"/>
  <c r="AA123" i="9"/>
  <c r="O123" i="9"/>
  <c r="S123" i="9"/>
  <c r="AG123" i="9"/>
  <c r="AG125" i="9"/>
  <c r="Q124" i="9"/>
  <c r="AB124" i="9"/>
  <c r="P124" i="9"/>
  <c r="AA124" i="9"/>
  <c r="AE124" i="9"/>
  <c r="S124" i="9"/>
  <c r="AG124" i="9"/>
  <c r="AG133" i="8"/>
  <c r="K133" i="9"/>
  <c r="AB134" i="8"/>
  <c r="K134" i="9"/>
  <c r="AG143" i="8"/>
  <c r="K143" i="9"/>
  <c r="AE144" i="8"/>
  <c r="K144" i="9"/>
  <c r="AE149" i="8"/>
  <c r="K149" i="9"/>
  <c r="AB150" i="9"/>
  <c r="P150" i="9"/>
  <c r="AA150" i="9"/>
  <c r="AE150" i="9"/>
  <c r="Q150" i="9"/>
  <c r="AG150" i="9"/>
  <c r="O150" i="9"/>
  <c r="S151" i="9"/>
  <c r="AB151" i="9"/>
  <c r="AG151" i="9"/>
  <c r="Q151" i="9"/>
  <c r="AA151" i="9"/>
  <c r="P151" i="9"/>
  <c r="O151" i="9"/>
  <c r="AE151" i="9"/>
  <c r="AB157" i="9"/>
  <c r="AE157" i="9"/>
  <c r="AA157" i="9"/>
  <c r="Q157" i="9"/>
  <c r="P157" i="9"/>
  <c r="AG157" i="9"/>
  <c r="O157" i="9"/>
  <c r="O158" i="8"/>
  <c r="K158" i="9"/>
  <c r="AG159" i="8"/>
  <c r="K159" i="9"/>
  <c r="AA159" i="8"/>
  <c r="AG167" i="9"/>
  <c r="P167" i="9"/>
  <c r="S167" i="9"/>
  <c r="AB167" i="9"/>
  <c r="O167" i="9"/>
  <c r="Q167" i="9"/>
  <c r="AA167" i="9"/>
  <c r="AE167" i="9"/>
  <c r="Q168" i="9"/>
  <c r="AB168" i="9"/>
  <c r="P168" i="9"/>
  <c r="AA168" i="9"/>
  <c r="AE168" i="9"/>
  <c r="AG168" i="9"/>
  <c r="O168" i="9"/>
  <c r="K169" i="9"/>
  <c r="Q169" i="8"/>
  <c r="O169" i="8"/>
  <c r="O141" i="9"/>
  <c r="Q30" i="8"/>
  <c r="K30" i="9"/>
  <c r="AE38" i="8"/>
  <c r="K38" i="9"/>
  <c r="O43" i="8"/>
  <c r="K43" i="9"/>
  <c r="AA47" i="9"/>
  <c r="S47" i="9"/>
  <c r="AG47" i="9"/>
  <c r="Q47" i="9"/>
  <c r="AB47" i="9"/>
  <c r="AE47" i="9"/>
  <c r="O47" i="9"/>
  <c r="P47" i="9"/>
  <c r="AE49" i="8"/>
  <c r="K49" i="9"/>
  <c r="Q50" i="8"/>
  <c r="K50" i="9"/>
  <c r="P51" i="9"/>
  <c r="AG51" i="9"/>
  <c r="AE51" i="9"/>
  <c r="O51" i="9"/>
  <c r="S51" i="9"/>
  <c r="AB51" i="9"/>
  <c r="AA51" i="9"/>
  <c r="Q51" i="9"/>
  <c r="AE61" i="8"/>
  <c r="K61" i="9"/>
  <c r="AE62" i="9"/>
  <c r="O62" i="9"/>
  <c r="P62" i="9"/>
  <c r="S62" i="9"/>
  <c r="AA62" i="9"/>
  <c r="AB62" i="9"/>
  <c r="Q62" i="9"/>
  <c r="AG62" i="9"/>
  <c r="O74" i="9"/>
  <c r="AG74" i="9"/>
  <c r="S74" i="9"/>
  <c r="AE74" i="9"/>
  <c r="AB74" i="9"/>
  <c r="Q74" i="9"/>
  <c r="AA74" i="9"/>
  <c r="P74" i="9"/>
  <c r="S78" i="8"/>
  <c r="K78" i="9"/>
  <c r="AE90" i="8"/>
  <c r="K90" i="9"/>
  <c r="AG96" i="8"/>
  <c r="K96" i="9"/>
  <c r="S99" i="9"/>
  <c r="AE99" i="9"/>
  <c r="AA99" i="9"/>
  <c r="O99" i="9"/>
  <c r="P99" i="9"/>
  <c r="Q99" i="9"/>
  <c r="AG99" i="9"/>
  <c r="AB99" i="9"/>
  <c r="AE100" i="8"/>
  <c r="K100" i="9"/>
  <c r="AE101" i="8"/>
  <c r="K101" i="9"/>
  <c r="AE105" i="9"/>
  <c r="S105" i="9"/>
  <c r="P105" i="9"/>
  <c r="AB105" i="9"/>
  <c r="O105" i="9"/>
  <c r="AA105" i="9"/>
  <c r="Q105" i="9"/>
  <c r="AE106" i="8"/>
  <c r="K106" i="9"/>
  <c r="AG107" i="8"/>
  <c r="K107" i="9"/>
  <c r="P111" i="8"/>
  <c r="K111" i="9"/>
  <c r="AE112" i="8"/>
  <c r="K112" i="9"/>
  <c r="O127" i="9"/>
  <c r="AG127" i="9"/>
  <c r="AE127" i="9"/>
  <c r="P127" i="9"/>
  <c r="AB127" i="9"/>
  <c r="Q127" i="9"/>
  <c r="AG128" i="9"/>
  <c r="P128" i="9"/>
  <c r="S128" i="9"/>
  <c r="AB128" i="9"/>
  <c r="O128" i="9"/>
  <c r="Q128" i="9"/>
  <c r="AA128" i="9"/>
  <c r="AE128" i="9"/>
  <c r="P145" i="9"/>
  <c r="S145" i="9"/>
  <c r="AB145" i="9"/>
  <c r="AE145" i="9"/>
  <c r="Q145" i="9"/>
  <c r="AA145" i="9"/>
  <c r="AG145" i="9"/>
  <c r="O145" i="9"/>
  <c r="AE146" i="9"/>
  <c r="AB146" i="9"/>
  <c r="Q146" i="9"/>
  <c r="AA146" i="9"/>
  <c r="AG146" i="9"/>
  <c r="P146" i="9"/>
  <c r="S146" i="9"/>
  <c r="O152" i="9"/>
  <c r="P152" i="9"/>
  <c r="S152" i="9"/>
  <c r="AB152" i="9"/>
  <c r="AE152" i="9"/>
  <c r="Q152" i="9"/>
  <c r="AA152" i="9"/>
  <c r="AG152" i="9"/>
  <c r="S163" i="9"/>
  <c r="AB163" i="9"/>
  <c r="Q163" i="9"/>
  <c r="AA163" i="9"/>
  <c r="AE163" i="9"/>
  <c r="Q187" i="9"/>
  <c r="O187" i="9"/>
  <c r="AA187" i="9"/>
  <c r="P187" i="9"/>
  <c r="AB187" i="9"/>
  <c r="AE187" i="9"/>
  <c r="S187" i="9"/>
  <c r="AG187" i="9"/>
  <c r="AG188" i="9"/>
  <c r="P188" i="9"/>
  <c r="AA188" i="9"/>
  <c r="O188" i="9"/>
  <c r="AB188" i="9"/>
  <c r="S188" i="9"/>
  <c r="AE188" i="9"/>
  <c r="Q188" i="9"/>
  <c r="AG189" i="8"/>
  <c r="K189" i="9"/>
  <c r="AE190" i="8"/>
  <c r="K190" i="9"/>
  <c r="O190" i="8"/>
  <c r="S168" i="9"/>
  <c r="S150" i="9"/>
  <c r="S127" i="9"/>
  <c r="AG141" i="9"/>
  <c r="Q75" i="9"/>
  <c r="P163" i="9"/>
  <c r="AE29" i="8"/>
  <c r="K29" i="9"/>
  <c r="O44" i="8"/>
  <c r="K44" i="9"/>
  <c r="AA47" i="8"/>
  <c r="S48" i="8"/>
  <c r="K48" i="9"/>
  <c r="S51" i="8"/>
  <c r="AG52" i="8"/>
  <c r="K52" i="9"/>
  <c r="AE53" i="8"/>
  <c r="K53" i="9"/>
  <c r="Q57" i="8"/>
  <c r="K57" i="9"/>
  <c r="AE58" i="8"/>
  <c r="K58" i="9"/>
  <c r="O69" i="8"/>
  <c r="K69" i="9"/>
  <c r="AG71" i="9"/>
  <c r="AE71" i="9"/>
  <c r="P71" i="9"/>
  <c r="O71" i="9"/>
  <c r="S71" i="9"/>
  <c r="AB71" i="9"/>
  <c r="AA71" i="9"/>
  <c r="AG73" i="8"/>
  <c r="K73" i="9"/>
  <c r="S76" i="8"/>
  <c r="K76" i="9"/>
  <c r="S79" i="8"/>
  <c r="K79" i="9"/>
  <c r="S85" i="8"/>
  <c r="K85" i="9"/>
  <c r="AG86" i="8"/>
  <c r="K86" i="9"/>
  <c r="S87" i="9"/>
  <c r="AG87" i="9"/>
  <c r="O87" i="9"/>
  <c r="AE87" i="9"/>
  <c r="AB87" i="9"/>
  <c r="Q87" i="9"/>
  <c r="AA87" i="9"/>
  <c r="P87" i="9"/>
  <c r="AG89" i="8"/>
  <c r="K89" i="9"/>
  <c r="P95" i="8"/>
  <c r="K95" i="9"/>
  <c r="Q101" i="8"/>
  <c r="P107" i="8"/>
  <c r="AE108" i="8"/>
  <c r="K108" i="9"/>
  <c r="O112" i="8"/>
  <c r="AE113" i="9"/>
  <c r="S113" i="9"/>
  <c r="AG113" i="9"/>
  <c r="O113" i="9"/>
  <c r="AA113" i="9"/>
  <c r="P113" i="9"/>
  <c r="AB113" i="9"/>
  <c r="AE114" i="8"/>
  <c r="K114" i="9"/>
  <c r="G123" i="8"/>
  <c r="G125" i="8" s="1"/>
  <c r="AG129" i="8"/>
  <c r="K129" i="9"/>
  <c r="S130" i="9"/>
  <c r="P130" i="9"/>
  <c r="O130" i="9"/>
  <c r="AA130" i="9"/>
  <c r="AG130" i="9"/>
  <c r="AB130" i="9"/>
  <c r="Q130" i="9"/>
  <c r="S131" i="9"/>
  <c r="P131" i="9"/>
  <c r="O131" i="9"/>
  <c r="AB131" i="9"/>
  <c r="Q131" i="9"/>
  <c r="AG131" i="9"/>
  <c r="AB132" i="8"/>
  <c r="K132" i="9"/>
  <c r="P133" i="8"/>
  <c r="S141" i="9"/>
  <c r="Q141" i="9"/>
  <c r="AA141" i="9"/>
  <c r="P141" i="9"/>
  <c r="AE141" i="9"/>
  <c r="O124" i="9"/>
  <c r="O146" i="9"/>
  <c r="AE131" i="9"/>
  <c r="AB153" i="9"/>
  <c r="Q153" i="9"/>
  <c r="AE153" i="9"/>
  <c r="AE154" i="8"/>
  <c r="K154" i="9"/>
  <c r="AE160" i="8"/>
  <c r="K160" i="9"/>
  <c r="AA166" i="8"/>
  <c r="AB191" i="9"/>
  <c r="AA191" i="9"/>
  <c r="P191" i="9"/>
  <c r="Q191" i="9"/>
  <c r="AE191" i="9"/>
  <c r="AB192" i="8"/>
  <c r="K192" i="9"/>
  <c r="S191" i="9"/>
  <c r="AG153" i="9"/>
  <c r="O160" i="8"/>
  <c r="O191" i="9"/>
  <c r="AA153" i="9"/>
  <c r="F194" i="9"/>
  <c r="I194" i="9"/>
  <c r="AA142" i="8"/>
  <c r="K142" i="9"/>
  <c r="AB161" i="9"/>
  <c r="Q161" i="9"/>
  <c r="AA161" i="9"/>
  <c r="P161" i="9"/>
  <c r="AE161" i="9"/>
  <c r="AG162" i="9"/>
  <c r="S162" i="9"/>
  <c r="AB162" i="9"/>
  <c r="O162" i="9"/>
  <c r="AA162" i="9"/>
  <c r="P162" i="9"/>
  <c r="AG170" i="8"/>
  <c r="K170" i="9"/>
  <c r="AE171" i="8"/>
  <c r="K171" i="9"/>
  <c r="P172" i="8"/>
  <c r="K172" i="9"/>
  <c r="AE186" i="8"/>
  <c r="K186" i="9"/>
  <c r="Q162" i="9"/>
  <c r="AG161" i="9"/>
  <c r="O153" i="9"/>
  <c r="F136" i="9"/>
  <c r="Q24" i="9"/>
  <c r="U175" i="9"/>
  <c r="W175" i="9" s="1"/>
  <c r="R21" i="9"/>
  <c r="V21" i="9" s="1"/>
  <c r="S24" i="9"/>
  <c r="T195" i="9"/>
  <c r="G55" i="9"/>
  <c r="R104" i="9"/>
  <c r="V104" i="9" s="1"/>
  <c r="R22" i="9"/>
  <c r="V22" i="9" s="1"/>
  <c r="U104" i="9"/>
  <c r="W104" i="9" s="1"/>
  <c r="AE24" i="9"/>
  <c r="AB24" i="9"/>
  <c r="AG24" i="9"/>
  <c r="U21" i="9"/>
  <c r="W21" i="9" s="1"/>
  <c r="U22" i="9"/>
  <c r="W22" i="9" s="1"/>
  <c r="U18" i="9"/>
  <c r="W18" i="9" s="1"/>
  <c r="U13" i="9"/>
  <c r="O16" i="9"/>
  <c r="AA16" i="9"/>
  <c r="U184" i="9"/>
  <c r="W179" i="9"/>
  <c r="W184" i="9" s="1"/>
  <c r="E195" i="9"/>
  <c r="E199" i="9" s="1"/>
  <c r="E200" i="9" s="1"/>
  <c r="E196" i="9"/>
  <c r="N196" i="9"/>
  <c r="N195" i="9"/>
  <c r="N199" i="9" s="1"/>
  <c r="N200" i="9" s="1"/>
  <c r="G194" i="9"/>
  <c r="E93" i="8"/>
  <c r="E136" i="8" s="1"/>
  <c r="U173" i="8"/>
  <c r="W173" i="8" s="1"/>
  <c r="P16" i="8"/>
  <c r="R14" i="8"/>
  <c r="O34" i="8"/>
  <c r="Q38" i="8"/>
  <c r="I59" i="8"/>
  <c r="F81" i="8"/>
  <c r="S66" i="8"/>
  <c r="O72" i="8"/>
  <c r="O100" i="8"/>
  <c r="P108" i="8"/>
  <c r="AG142" i="8"/>
  <c r="AA146" i="8"/>
  <c r="AA169" i="8"/>
  <c r="I184" i="8"/>
  <c r="U174" i="8"/>
  <c r="W174" i="8" s="1"/>
  <c r="G16" i="8"/>
  <c r="I24" i="8"/>
  <c r="U21" i="8"/>
  <c r="W21" i="8" s="1"/>
  <c r="R22" i="8"/>
  <c r="V22" i="8" s="1"/>
  <c r="P38" i="8"/>
  <c r="H55" i="8"/>
  <c r="Q61" i="8"/>
  <c r="S64" i="8"/>
  <c r="P66" i="8"/>
  <c r="Q70" i="8"/>
  <c r="O79" i="8"/>
  <c r="AA95" i="8"/>
  <c r="O108" i="8"/>
  <c r="Q114" i="8"/>
  <c r="AE133" i="8"/>
  <c r="Q134" i="8"/>
  <c r="AA158" i="8"/>
  <c r="R175" i="8"/>
  <c r="V175" i="8" s="1"/>
  <c r="R176" i="8"/>
  <c r="V176" i="8" s="1"/>
  <c r="AG166" i="8"/>
  <c r="I193" i="8"/>
  <c r="D55" i="8"/>
  <c r="D136" i="8" s="1"/>
  <c r="D195" i="8" s="1"/>
  <c r="H93" i="8"/>
  <c r="AA99" i="8"/>
  <c r="AE132" i="8"/>
  <c r="AB142" i="8"/>
  <c r="R173" i="8"/>
  <c r="V173" i="8" s="1"/>
  <c r="U14" i="8"/>
  <c r="W14" i="8" s="1"/>
  <c r="R19" i="8"/>
  <c r="V19" i="8" s="1"/>
  <c r="AG38" i="8"/>
  <c r="T55" i="8"/>
  <c r="T136" i="8" s="1"/>
  <c r="T195" i="8" s="1"/>
  <c r="F92" i="8"/>
  <c r="AE86" i="8"/>
  <c r="A101" i="8"/>
  <c r="P103" i="8"/>
  <c r="AG114" i="8"/>
  <c r="Q132" i="8"/>
  <c r="S146" i="8"/>
  <c r="H194" i="8"/>
  <c r="AG169" i="8"/>
  <c r="AA186" i="8"/>
  <c r="AA192" i="8"/>
  <c r="R174" i="8"/>
  <c r="V174" i="8" s="1"/>
  <c r="F16" i="8"/>
  <c r="U13" i="8"/>
  <c r="AG33" i="8"/>
  <c r="AA103" i="8"/>
  <c r="N194" i="8"/>
  <c r="N196" i="8" s="1"/>
  <c r="AG158" i="8"/>
  <c r="R15" i="8"/>
  <c r="AH15" i="8" s="1"/>
  <c r="P24" i="8"/>
  <c r="R13" i="8"/>
  <c r="V13" i="8" s="1"/>
  <c r="I45" i="8"/>
  <c r="Q33" i="8"/>
  <c r="AB34" i="8"/>
  <c r="G57" i="8"/>
  <c r="Q58" i="8"/>
  <c r="Q84" i="8"/>
  <c r="N93" i="8"/>
  <c r="O103" i="8"/>
  <c r="Q112" i="8"/>
  <c r="AA113" i="8"/>
  <c r="O132" i="8"/>
  <c r="AE134" i="8"/>
  <c r="Q142" i="8"/>
  <c r="Q146" i="8"/>
  <c r="E194" i="8"/>
  <c r="AA151" i="8"/>
  <c r="Q158" i="8"/>
  <c r="AA162" i="8"/>
  <c r="P186" i="8"/>
  <c r="AB99" i="8"/>
  <c r="AA144" i="8"/>
  <c r="AG149" i="8"/>
  <c r="AB171" i="8"/>
  <c r="AB189" i="8"/>
  <c r="AB107" i="8"/>
  <c r="Q144" i="8"/>
  <c r="AB160" i="8"/>
  <c r="AA171" i="8"/>
  <c r="AB190" i="8"/>
  <c r="AB58" i="8"/>
  <c r="AG64" i="8"/>
  <c r="Q72" i="8"/>
  <c r="P78" i="8"/>
  <c r="Q88" i="8"/>
  <c r="AB95" i="8"/>
  <c r="Q99" i="8"/>
  <c r="AA100" i="8"/>
  <c r="AB108" i="8"/>
  <c r="AG111" i="8"/>
  <c r="AA129" i="8"/>
  <c r="AB133" i="8"/>
  <c r="P144" i="8"/>
  <c r="AG144" i="8"/>
  <c r="AG146" i="8"/>
  <c r="S149" i="8"/>
  <c r="AG151" i="8"/>
  <c r="AB158" i="8"/>
  <c r="AB169" i="8"/>
  <c r="P171" i="8"/>
  <c r="AE181" i="8"/>
  <c r="Q189" i="8"/>
  <c r="AA190" i="8"/>
  <c r="Q172" i="8"/>
  <c r="O172" i="8"/>
  <c r="S172" i="8"/>
  <c r="AA34" i="8"/>
  <c r="AG162" i="8"/>
  <c r="Q34" i="8"/>
  <c r="AB38" i="8"/>
  <c r="AG29" i="8"/>
  <c r="P34" i="8"/>
  <c r="AG34" i="8"/>
  <c r="AB61" i="8"/>
  <c r="Q65" i="8"/>
  <c r="AB68" i="8"/>
  <c r="P72" i="8"/>
  <c r="O73" i="8"/>
  <c r="O78" i="8"/>
  <c r="AE91" i="8"/>
  <c r="P99" i="8"/>
  <c r="P100" i="8"/>
  <c r="AB103" i="8"/>
  <c r="Q107" i="8"/>
  <c r="AA108" i="8"/>
  <c r="AG112" i="8"/>
  <c r="AB114" i="8"/>
  <c r="P129" i="8"/>
  <c r="Q133" i="8"/>
  <c r="S142" i="8"/>
  <c r="AA143" i="8"/>
  <c r="O144" i="8"/>
  <c r="AB144" i="8"/>
  <c r="Q149" i="8"/>
  <c r="P160" i="8"/>
  <c r="S162" i="8"/>
  <c r="AA170" i="8"/>
  <c r="O171" i="8"/>
  <c r="AG186" i="8"/>
  <c r="P189" i="8"/>
  <c r="P190" i="8"/>
  <c r="U176" i="8"/>
  <c r="W176" i="8" s="1"/>
  <c r="G24" i="8"/>
  <c r="F24" i="8"/>
  <c r="AE119" i="8"/>
  <c r="AA119" i="8"/>
  <c r="Q119" i="8"/>
  <c r="P119" i="8"/>
  <c r="AG119" i="8"/>
  <c r="O119" i="8"/>
  <c r="AE167" i="8"/>
  <c r="AG167" i="8"/>
  <c r="Q167" i="8"/>
  <c r="AB167" i="8"/>
  <c r="P167" i="8"/>
  <c r="O167" i="8"/>
  <c r="S29" i="8"/>
  <c r="S33" i="8"/>
  <c r="AA74" i="8"/>
  <c r="AG105" i="8"/>
  <c r="AE105" i="8"/>
  <c r="O105" i="8"/>
  <c r="AE130" i="8"/>
  <c r="AG130" i="8"/>
  <c r="Q130" i="8"/>
  <c r="AB130" i="8"/>
  <c r="P130" i="8"/>
  <c r="O130" i="8"/>
  <c r="K135" i="8"/>
  <c r="AG135" i="8" s="1"/>
  <c r="AG182" i="8"/>
  <c r="Q182" i="8"/>
  <c r="AB182" i="8"/>
  <c r="P182" i="8"/>
  <c r="AE16" i="8"/>
  <c r="U19" i="8"/>
  <c r="W19" i="8" s="1"/>
  <c r="R21" i="8"/>
  <c r="V21" i="8" s="1"/>
  <c r="U23" i="8"/>
  <c r="W23" i="8" s="1"/>
  <c r="O29" i="8"/>
  <c r="AA29" i="8"/>
  <c r="P32" i="8"/>
  <c r="AE32" i="8"/>
  <c r="O33" i="8"/>
  <c r="AA33" i="8"/>
  <c r="AB37" i="8"/>
  <c r="S38" i="8"/>
  <c r="F54" i="8"/>
  <c r="AE47" i="8"/>
  <c r="S47" i="8"/>
  <c r="P47" i="8"/>
  <c r="AB50" i="8"/>
  <c r="AE51" i="8"/>
  <c r="AA51" i="8"/>
  <c r="P51" i="8"/>
  <c r="O51" i="8"/>
  <c r="AB51" i="8"/>
  <c r="AE52" i="8"/>
  <c r="S52" i="8"/>
  <c r="P52" i="8"/>
  <c r="AB57" i="8"/>
  <c r="AE120" i="8"/>
  <c r="S120" i="8"/>
  <c r="P120" i="8"/>
  <c r="AG120" i="8"/>
  <c r="O120" i="8"/>
  <c r="AE123" i="8"/>
  <c r="S123" i="8"/>
  <c r="K125" i="8"/>
  <c r="AA125" i="8" s="1"/>
  <c r="P123" i="8"/>
  <c r="AG123" i="8"/>
  <c r="O123" i="8"/>
  <c r="AE124" i="8"/>
  <c r="S124" i="8"/>
  <c r="P124" i="8"/>
  <c r="AG124" i="8"/>
  <c r="O124" i="8"/>
  <c r="S130" i="8"/>
  <c r="G177" i="8"/>
  <c r="AE183" i="8"/>
  <c r="S183" i="8"/>
  <c r="P183" i="8"/>
  <c r="AG183" i="8"/>
  <c r="O183" i="8"/>
  <c r="Q43" i="8"/>
  <c r="P43" i="8"/>
  <c r="AE62" i="8"/>
  <c r="S62" i="8"/>
  <c r="P62" i="8"/>
  <c r="AB62" i="8"/>
  <c r="O62" i="8"/>
  <c r="AE74" i="8"/>
  <c r="S74" i="8"/>
  <c r="P74" i="8"/>
  <c r="AG74" i="8"/>
  <c r="O74" i="8"/>
  <c r="AB90" i="8"/>
  <c r="Q90" i="8"/>
  <c r="AG163" i="8"/>
  <c r="AA163" i="8"/>
  <c r="P163" i="8"/>
  <c r="AA188" i="8"/>
  <c r="AB188" i="8"/>
  <c r="Q188" i="8"/>
  <c r="Q24" i="8"/>
  <c r="U20" i="8"/>
  <c r="W20" i="8" s="1"/>
  <c r="AB32" i="8"/>
  <c r="S53" i="8"/>
  <c r="AE85" i="8"/>
  <c r="AG85" i="8"/>
  <c r="Q85" i="8"/>
  <c r="AB85" i="8"/>
  <c r="P85" i="8"/>
  <c r="O85" i="8"/>
  <c r="S119" i="8"/>
  <c r="K155" i="8"/>
  <c r="AG155" i="8" s="1"/>
  <c r="AA150" i="8"/>
  <c r="S167" i="8"/>
  <c r="S24" i="8"/>
  <c r="AG16" i="8"/>
  <c r="O24" i="8"/>
  <c r="R20" i="8"/>
  <c r="V20" i="8" s="1"/>
  <c r="U22" i="8"/>
  <c r="W22" i="8" s="1"/>
  <c r="P29" i="8"/>
  <c r="R29" i="8" s="1"/>
  <c r="AB29" i="8"/>
  <c r="P33" i="8"/>
  <c r="AB33" i="8"/>
  <c r="S34" i="8"/>
  <c r="P37" i="8"/>
  <c r="O38" i="8"/>
  <c r="AA38" i="8"/>
  <c r="S44" i="8"/>
  <c r="O47" i="8"/>
  <c r="AE50" i="8"/>
  <c r="Q51" i="8"/>
  <c r="AG51" i="8"/>
  <c r="O52" i="8"/>
  <c r="AG53" i="8"/>
  <c r="AE57" i="8"/>
  <c r="S77" i="8"/>
  <c r="Q77" i="8"/>
  <c r="P77" i="8"/>
  <c r="Q102" i="8"/>
  <c r="P102" i="8"/>
  <c r="O102" i="8"/>
  <c r="AB119" i="8"/>
  <c r="AA120" i="8"/>
  <c r="AA123" i="8"/>
  <c r="AA124" i="8"/>
  <c r="AA128" i="8"/>
  <c r="S128" i="8"/>
  <c r="AG128" i="8"/>
  <c r="Q128" i="8"/>
  <c r="AB128" i="8"/>
  <c r="O128" i="8"/>
  <c r="AE153" i="8"/>
  <c r="S153" i="8"/>
  <c r="AG153" i="8"/>
  <c r="Q153" i="8"/>
  <c r="AB153" i="8"/>
  <c r="O153" i="8"/>
  <c r="AA182" i="8"/>
  <c r="AA183" i="8"/>
  <c r="S58" i="8"/>
  <c r="AG58" i="8"/>
  <c r="S61" i="8"/>
  <c r="AG61" i="8"/>
  <c r="I92" i="8"/>
  <c r="S84" i="8"/>
  <c r="AA85" i="8"/>
  <c r="AA89" i="8"/>
  <c r="K92" i="8"/>
  <c r="AE92" i="8" s="1"/>
  <c r="AA130" i="8"/>
  <c r="I155" i="8"/>
  <c r="S151" i="8"/>
  <c r="AA167" i="8"/>
  <c r="K184" i="8"/>
  <c r="AG184" i="8" s="1"/>
  <c r="AA179" i="8"/>
  <c r="AE180" i="8"/>
  <c r="G54" i="8"/>
  <c r="O58" i="8"/>
  <c r="O61" i="8"/>
  <c r="AA65" i="8"/>
  <c r="AA66" i="8"/>
  <c r="AA70" i="8"/>
  <c r="AE73" i="8"/>
  <c r="O84" i="8"/>
  <c r="S88" i="8"/>
  <c r="P89" i="8"/>
  <c r="AB89" i="8"/>
  <c r="Q100" i="8"/>
  <c r="AB100" i="8"/>
  <c r="AB101" i="8"/>
  <c r="Q103" i="8"/>
  <c r="AG103" i="8"/>
  <c r="Q108" i="8"/>
  <c r="AG108" i="8"/>
  <c r="S114" i="8"/>
  <c r="O116" i="8"/>
  <c r="AA116" i="8"/>
  <c r="S132" i="8"/>
  <c r="S133" i="8"/>
  <c r="S134" i="8"/>
  <c r="I147" i="8"/>
  <c r="P143" i="8"/>
  <c r="O151" i="8"/>
  <c r="S158" i="8"/>
  <c r="P159" i="8"/>
  <c r="Q160" i="8"/>
  <c r="AG160" i="8"/>
  <c r="S169" i="8"/>
  <c r="P170" i="8"/>
  <c r="Q171" i="8"/>
  <c r="AG171" i="8"/>
  <c r="O179" i="8"/>
  <c r="AG179" i="8"/>
  <c r="O180" i="8"/>
  <c r="AG180" i="8"/>
  <c r="Q186" i="8"/>
  <c r="Q190" i="8"/>
  <c r="AG190" i="8"/>
  <c r="Q192" i="8"/>
  <c r="I54" i="8"/>
  <c r="P58" i="8"/>
  <c r="AA58" i="8"/>
  <c r="P61" i="8"/>
  <c r="AA61" i="8"/>
  <c r="O64" i="8"/>
  <c r="AA64" i="8"/>
  <c r="P65" i="8"/>
  <c r="AB65" i="8"/>
  <c r="O66" i="8"/>
  <c r="AG66" i="8"/>
  <c r="Q68" i="8"/>
  <c r="P70" i="8"/>
  <c r="AB70" i="8"/>
  <c r="O86" i="8"/>
  <c r="O88" i="8"/>
  <c r="AB88" i="8"/>
  <c r="Q89" i="8"/>
  <c r="S100" i="8"/>
  <c r="AG100" i="8"/>
  <c r="S103" i="8"/>
  <c r="AA107" i="8"/>
  <c r="S108" i="8"/>
  <c r="O114" i="8"/>
  <c r="AA114" i="8"/>
  <c r="P116" i="8"/>
  <c r="AG116" i="8"/>
  <c r="AA132" i="8"/>
  <c r="AA133" i="8"/>
  <c r="AA134" i="8"/>
  <c r="F147" i="8"/>
  <c r="S144" i="8"/>
  <c r="O146" i="8"/>
  <c r="AB146" i="8"/>
  <c r="O149" i="8"/>
  <c r="AB149" i="8"/>
  <c r="P151" i="8"/>
  <c r="AB151" i="8"/>
  <c r="S160" i="8"/>
  <c r="O162" i="8"/>
  <c r="AB162" i="8"/>
  <c r="P166" i="8"/>
  <c r="S171" i="8"/>
  <c r="P179" i="8"/>
  <c r="S186" i="8"/>
  <c r="AA189" i="8"/>
  <c r="S190" i="8"/>
  <c r="W13" i="8"/>
  <c r="AH14" i="8"/>
  <c r="V14" i="8"/>
  <c r="AA16" i="8"/>
  <c r="AB26" i="8"/>
  <c r="Q26" i="8"/>
  <c r="S26" i="8"/>
  <c r="AA26" i="8"/>
  <c r="S30" i="8"/>
  <c r="S35" i="8"/>
  <c r="Z54" i="8"/>
  <c r="P80" i="8"/>
  <c r="S80" i="8"/>
  <c r="O80" i="8"/>
  <c r="K97" i="8"/>
  <c r="AB117" i="8"/>
  <c r="Q117" i="8"/>
  <c r="AA117" i="8"/>
  <c r="P117" i="8"/>
  <c r="AE117" i="8"/>
  <c r="O117" i="8"/>
  <c r="S117" i="8"/>
  <c r="AB145" i="8"/>
  <c r="Q145" i="8"/>
  <c r="AA145" i="8"/>
  <c r="P145" i="8"/>
  <c r="AG145" i="8"/>
  <c r="S145" i="8"/>
  <c r="O145" i="8"/>
  <c r="AE145" i="8"/>
  <c r="R18" i="8"/>
  <c r="O26" i="8"/>
  <c r="AE26" i="8"/>
  <c r="S27" i="8"/>
  <c r="O30" i="8"/>
  <c r="S31" i="8"/>
  <c r="AB31" i="8"/>
  <c r="O35" i="8"/>
  <c r="AE35" i="8"/>
  <c r="S36" i="8"/>
  <c r="G43" i="8"/>
  <c r="K45" i="8"/>
  <c r="Q48" i="8"/>
  <c r="P48" i="8"/>
  <c r="Q80" i="8"/>
  <c r="O16" i="8"/>
  <c r="AB16" i="8"/>
  <c r="AB24" i="8"/>
  <c r="P26" i="8"/>
  <c r="AG26" i="8"/>
  <c r="O27" i="8"/>
  <c r="O31" i="8"/>
  <c r="P35" i="8"/>
  <c r="O36" i="8"/>
  <c r="N55" i="8"/>
  <c r="O48" i="8"/>
  <c r="AB53" i="8"/>
  <c r="Q53" i="8"/>
  <c r="AA53" i="8"/>
  <c r="P53" i="8"/>
  <c r="AB67" i="8"/>
  <c r="Q67" i="8"/>
  <c r="AA67" i="8"/>
  <c r="P67" i="8"/>
  <c r="K81" i="8"/>
  <c r="AE67" i="8"/>
  <c r="O67" i="8"/>
  <c r="AG67" i="8"/>
  <c r="AB71" i="8"/>
  <c r="Q71" i="8"/>
  <c r="AA71" i="8"/>
  <c r="P71" i="8"/>
  <c r="AG71" i="8"/>
  <c r="S71" i="8"/>
  <c r="AE71" i="8"/>
  <c r="AA75" i="8"/>
  <c r="P75" i="8"/>
  <c r="AG75" i="8"/>
  <c r="S75" i="8"/>
  <c r="O75" i="8"/>
  <c r="AE75" i="8"/>
  <c r="AB75" i="8"/>
  <c r="AB83" i="8"/>
  <c r="Q83" i="8"/>
  <c r="AA83" i="8"/>
  <c r="P83" i="8"/>
  <c r="AE83" i="8"/>
  <c r="O83" i="8"/>
  <c r="AG83" i="8"/>
  <c r="G85" i="8"/>
  <c r="G92" i="8" s="1"/>
  <c r="AA87" i="8"/>
  <c r="P87" i="8"/>
  <c r="AG87" i="8"/>
  <c r="S87" i="8"/>
  <c r="O87" i="8"/>
  <c r="AB87" i="8"/>
  <c r="Q87" i="8"/>
  <c r="AE87" i="8"/>
  <c r="I109" i="8"/>
  <c r="AG113" i="8"/>
  <c r="S113" i="8"/>
  <c r="O113" i="8"/>
  <c r="AE113" i="8"/>
  <c r="Q113" i="8"/>
  <c r="AB113" i="8"/>
  <c r="P113" i="8"/>
  <c r="AE115" i="8"/>
  <c r="AB115" i="8"/>
  <c r="Q115" i="8"/>
  <c r="AA115" i="8"/>
  <c r="P115" i="8"/>
  <c r="O115" i="8"/>
  <c r="S115" i="8"/>
  <c r="AG117" i="8"/>
  <c r="AA118" i="8"/>
  <c r="P118" i="8"/>
  <c r="AG118" i="8"/>
  <c r="S118" i="8"/>
  <c r="O118" i="8"/>
  <c r="AE118" i="8"/>
  <c r="AB118" i="8"/>
  <c r="Q118" i="8"/>
  <c r="Q16" i="8"/>
  <c r="Z16" i="8"/>
  <c r="P30" i="8"/>
  <c r="AB35" i="8"/>
  <c r="Q35" i="8"/>
  <c r="AA35" i="8"/>
  <c r="AB49" i="8"/>
  <c r="Q49" i="8"/>
  <c r="AA49" i="8"/>
  <c r="P49" i="8"/>
  <c r="AB96" i="8"/>
  <c r="Q96" i="8"/>
  <c r="Q97" i="8" s="1"/>
  <c r="AA96" i="8"/>
  <c r="P96" i="8"/>
  <c r="AE96" i="8"/>
  <c r="O96" i="8"/>
  <c r="U15" i="8"/>
  <c r="W15" i="8" s="1"/>
  <c r="AA24" i="8"/>
  <c r="AB27" i="8"/>
  <c r="Q27" i="8"/>
  <c r="AA27" i="8"/>
  <c r="AA31" i="8"/>
  <c r="P31" i="8"/>
  <c r="AA36" i="8"/>
  <c r="P36" i="8"/>
  <c r="AB36" i="8"/>
  <c r="Q44" i="8"/>
  <c r="P44" i="8"/>
  <c r="O49" i="8"/>
  <c r="G59" i="8"/>
  <c r="S96" i="8"/>
  <c r="G109" i="8"/>
  <c r="AA106" i="8"/>
  <c r="P106" i="8"/>
  <c r="AG106" i="8"/>
  <c r="S106" i="8"/>
  <c r="O106" i="8"/>
  <c r="AB106" i="8"/>
  <c r="Q106" i="8"/>
  <c r="G130" i="8"/>
  <c r="G135" i="8" s="1"/>
  <c r="F135" i="8"/>
  <c r="U18" i="8"/>
  <c r="AE24" i="8"/>
  <c r="P27" i="8"/>
  <c r="AG27" i="8"/>
  <c r="G45" i="8"/>
  <c r="Q31" i="8"/>
  <c r="AG31" i="8"/>
  <c r="AG32" i="8"/>
  <c r="S32" i="8"/>
  <c r="O32" i="8"/>
  <c r="AA32" i="8"/>
  <c r="Q36" i="8"/>
  <c r="AG36" i="8"/>
  <c r="AG37" i="8"/>
  <c r="S37" i="8"/>
  <c r="O37" i="8"/>
  <c r="AA37" i="8"/>
  <c r="S43" i="8"/>
  <c r="S49" i="8"/>
  <c r="AG49" i="8"/>
  <c r="AA50" i="8"/>
  <c r="P50" i="8"/>
  <c r="AG50" i="8"/>
  <c r="S50" i="8"/>
  <c r="O50" i="8"/>
  <c r="O53" i="8"/>
  <c r="K54" i="8"/>
  <c r="AA57" i="8"/>
  <c r="P57" i="8"/>
  <c r="K59" i="8"/>
  <c r="AG57" i="8"/>
  <c r="S57" i="8"/>
  <c r="O57" i="8"/>
  <c r="Z81" i="8"/>
  <c r="G66" i="8"/>
  <c r="G81" i="8" s="1"/>
  <c r="S67" i="8"/>
  <c r="AB69" i="8"/>
  <c r="Q69" i="8"/>
  <c r="AA69" i="8"/>
  <c r="P69" i="8"/>
  <c r="AG69" i="8"/>
  <c r="S69" i="8"/>
  <c r="AE69" i="8"/>
  <c r="O71" i="8"/>
  <c r="Q75" i="8"/>
  <c r="AB76" i="8"/>
  <c r="Q76" i="8"/>
  <c r="AA76" i="8"/>
  <c r="P76" i="8"/>
  <c r="AE76" i="8"/>
  <c r="O76" i="8"/>
  <c r="AG76" i="8"/>
  <c r="S83" i="8"/>
  <c r="I121" i="8"/>
  <c r="AB157" i="8"/>
  <c r="Q157" i="8"/>
  <c r="K164" i="8"/>
  <c r="AG157" i="8"/>
  <c r="S157" i="8"/>
  <c r="O157" i="8"/>
  <c r="AE157" i="8"/>
  <c r="AA157" i="8"/>
  <c r="P157" i="8"/>
  <c r="Q47" i="8"/>
  <c r="AB47" i="8"/>
  <c r="Q52" i="8"/>
  <c r="AB52" i="8"/>
  <c r="Q62" i="8"/>
  <c r="I81" i="8"/>
  <c r="S73" i="8"/>
  <c r="S86" i="8"/>
  <c r="AA90" i="8"/>
  <c r="P90" i="8"/>
  <c r="AG90" i="8"/>
  <c r="S90" i="8"/>
  <c r="O90" i="8"/>
  <c r="S91" i="8"/>
  <c r="K109" i="8"/>
  <c r="AA101" i="8"/>
  <c r="P101" i="8"/>
  <c r="AG101" i="8"/>
  <c r="S101" i="8"/>
  <c r="O101" i="8"/>
  <c r="S105" i="8"/>
  <c r="AB141" i="8"/>
  <c r="Q141" i="8"/>
  <c r="AA141" i="8"/>
  <c r="P141" i="8"/>
  <c r="K147" i="8"/>
  <c r="AG141" i="8"/>
  <c r="S141" i="8"/>
  <c r="O141" i="8"/>
  <c r="E196" i="8"/>
  <c r="AA62" i="8"/>
  <c r="AG62" i="8"/>
  <c r="AA68" i="8"/>
  <c r="P68" i="8"/>
  <c r="AG68" i="8"/>
  <c r="S68" i="8"/>
  <c r="O68" i="8"/>
  <c r="AB73" i="8"/>
  <c r="Q73" i="8"/>
  <c r="AA73" i="8"/>
  <c r="P73" i="8"/>
  <c r="Q79" i="8"/>
  <c r="P79" i="8"/>
  <c r="AB86" i="8"/>
  <c r="Q86" i="8"/>
  <c r="AA86" i="8"/>
  <c r="P86" i="8"/>
  <c r="AB91" i="8"/>
  <c r="Q91" i="8"/>
  <c r="AA91" i="8"/>
  <c r="P91" i="8"/>
  <c r="F109" i="8"/>
  <c r="R104" i="8"/>
  <c r="V104" i="8" s="1"/>
  <c r="U104" i="8"/>
  <c r="W104" i="8" s="1"/>
  <c r="AB105" i="8"/>
  <c r="Q105" i="8"/>
  <c r="AA105" i="8"/>
  <c r="P105" i="8"/>
  <c r="I135" i="8"/>
  <c r="Q64" i="8"/>
  <c r="AB64" i="8"/>
  <c r="AE65" i="8"/>
  <c r="Q66" i="8"/>
  <c r="AB66" i="8"/>
  <c r="AE70" i="8"/>
  <c r="Q74" i="8"/>
  <c r="AB74" i="8"/>
  <c r="Q78" i="8"/>
  <c r="AE89" i="8"/>
  <c r="AE95" i="8"/>
  <c r="AE99" i="8"/>
  <c r="AE107" i="8"/>
  <c r="K121" i="8"/>
  <c r="AB111" i="8"/>
  <c r="Q111" i="8"/>
  <c r="S111" i="8"/>
  <c r="AA111" i="8"/>
  <c r="AB127" i="8"/>
  <c r="Q127" i="8"/>
  <c r="AA127" i="8"/>
  <c r="P127" i="8"/>
  <c r="AG127" i="8"/>
  <c r="S127" i="8"/>
  <c r="O127" i="8"/>
  <c r="AE127" i="8"/>
  <c r="AB131" i="8"/>
  <c r="Q131" i="8"/>
  <c r="AA131" i="8"/>
  <c r="P131" i="8"/>
  <c r="AG131" i="8"/>
  <c r="S131" i="8"/>
  <c r="O131" i="8"/>
  <c r="AE131" i="8"/>
  <c r="G147" i="8"/>
  <c r="AG152" i="8"/>
  <c r="S152" i="8"/>
  <c r="O152" i="8"/>
  <c r="AB152" i="8"/>
  <c r="Q152" i="8"/>
  <c r="AE152" i="8"/>
  <c r="AA152" i="8"/>
  <c r="P152" i="8"/>
  <c r="O65" i="8"/>
  <c r="S65" i="8"/>
  <c r="O70" i="8"/>
  <c r="S70" i="8"/>
  <c r="O77" i="8"/>
  <c r="O89" i="8"/>
  <c r="S89" i="8"/>
  <c r="O95" i="8"/>
  <c r="S95" i="8"/>
  <c r="AG95" i="8"/>
  <c r="O99" i="8"/>
  <c r="S99" i="8"/>
  <c r="AG99" i="8"/>
  <c r="O107" i="8"/>
  <c r="S107" i="8"/>
  <c r="F121" i="8"/>
  <c r="O111" i="8"/>
  <c r="AE111" i="8"/>
  <c r="AA112" i="8"/>
  <c r="P112" i="8"/>
  <c r="S112" i="8"/>
  <c r="AB112" i="8"/>
  <c r="Q116" i="8"/>
  <c r="AB116" i="8"/>
  <c r="Q120" i="8"/>
  <c r="AB120" i="8"/>
  <c r="Q123" i="8"/>
  <c r="AB123" i="8"/>
  <c r="Q124" i="8"/>
  <c r="AB124" i="8"/>
  <c r="AE128" i="8"/>
  <c r="Q129" i="8"/>
  <c r="AB129" i="8"/>
  <c r="AG132" i="8"/>
  <c r="AG134" i="8"/>
  <c r="AE142" i="8"/>
  <c r="Q143" i="8"/>
  <c r="AB143" i="8"/>
  <c r="AE146" i="8"/>
  <c r="G155" i="8"/>
  <c r="AE150" i="8"/>
  <c r="AB154" i="8"/>
  <c r="Q154" i="8"/>
  <c r="AG154" i="8"/>
  <c r="S154" i="8"/>
  <c r="O154" i="8"/>
  <c r="F164" i="8"/>
  <c r="F177" i="8"/>
  <c r="AE129" i="8"/>
  <c r="AE143" i="8"/>
  <c r="AB150" i="8"/>
  <c r="Q150" i="8"/>
  <c r="AG150" i="8"/>
  <c r="S150" i="8"/>
  <c r="O150" i="8"/>
  <c r="P154" i="8"/>
  <c r="G164" i="8"/>
  <c r="AB168" i="8"/>
  <c r="Q168" i="8"/>
  <c r="AA168" i="8"/>
  <c r="P168" i="8"/>
  <c r="AG168" i="8"/>
  <c r="S168" i="8"/>
  <c r="O168" i="8"/>
  <c r="AE168" i="8"/>
  <c r="AB172" i="8"/>
  <c r="AA172" i="8"/>
  <c r="AG172" i="8"/>
  <c r="AE172" i="8"/>
  <c r="P128" i="8"/>
  <c r="O129" i="8"/>
  <c r="S129" i="8"/>
  <c r="P132" i="8"/>
  <c r="P134" i="8"/>
  <c r="P142" i="8"/>
  <c r="O143" i="8"/>
  <c r="S143" i="8"/>
  <c r="P146" i="8"/>
  <c r="P150" i="8"/>
  <c r="AA154" i="8"/>
  <c r="F155" i="8"/>
  <c r="I164" i="8"/>
  <c r="AB161" i="8"/>
  <c r="Q161" i="8"/>
  <c r="AA161" i="8"/>
  <c r="P161" i="8"/>
  <c r="AG161" i="8"/>
  <c r="S161" i="8"/>
  <c r="O161" i="8"/>
  <c r="AE161" i="8"/>
  <c r="I177" i="8"/>
  <c r="P149" i="8"/>
  <c r="AA149" i="8"/>
  <c r="AE151" i="8"/>
  <c r="P153" i="8"/>
  <c r="AA153" i="8"/>
  <c r="AE158" i="8"/>
  <c r="Q159" i="8"/>
  <c r="AB159" i="8"/>
  <c r="AA160" i="8"/>
  <c r="AE162" i="8"/>
  <c r="Q163" i="8"/>
  <c r="AB163" i="8"/>
  <c r="Q166" i="8"/>
  <c r="AB166" i="8"/>
  <c r="AE169" i="8"/>
  <c r="Q170" i="8"/>
  <c r="AB170" i="8"/>
  <c r="AA181" i="8"/>
  <c r="P181" i="8"/>
  <c r="AG181" i="8"/>
  <c r="S181" i="8"/>
  <c r="O181" i="8"/>
  <c r="AB187" i="8"/>
  <c r="Q187" i="8"/>
  <c r="AA187" i="8"/>
  <c r="P187" i="8"/>
  <c r="AG187" i="8"/>
  <c r="S187" i="8"/>
  <c r="O187" i="8"/>
  <c r="AE187" i="8"/>
  <c r="AE159" i="8"/>
  <c r="AE163" i="8"/>
  <c r="AE166" i="8"/>
  <c r="AE170" i="8"/>
  <c r="F193" i="8"/>
  <c r="G186" i="8"/>
  <c r="G193" i="8" s="1"/>
  <c r="P158" i="8"/>
  <c r="O159" i="8"/>
  <c r="S159" i="8"/>
  <c r="P162" i="8"/>
  <c r="O163" i="8"/>
  <c r="S163" i="8"/>
  <c r="O166" i="8"/>
  <c r="S166" i="8"/>
  <c r="P169" i="8"/>
  <c r="O170" i="8"/>
  <c r="S170" i="8"/>
  <c r="G179" i="8"/>
  <c r="G184" i="8" s="1"/>
  <c r="AB180" i="8"/>
  <c r="Q180" i="8"/>
  <c r="AA180" i="8"/>
  <c r="P180" i="8"/>
  <c r="AB181" i="8"/>
  <c r="AB191" i="8"/>
  <c r="Q191" i="8"/>
  <c r="AA191" i="8"/>
  <c r="P191" i="8"/>
  <c r="AG191" i="8"/>
  <c r="S191" i="8"/>
  <c r="O191" i="8"/>
  <c r="AE191" i="8"/>
  <c r="AE188" i="8"/>
  <c r="AE192" i="8"/>
  <c r="K193" i="8"/>
  <c r="Q179" i="8"/>
  <c r="AB179" i="8"/>
  <c r="AE182" i="8"/>
  <c r="Q183" i="8"/>
  <c r="AB183" i="8"/>
  <c r="AB186" i="8"/>
  <c r="O188" i="8"/>
  <c r="S188" i="8"/>
  <c r="AG188" i="8"/>
  <c r="AE189" i="8"/>
  <c r="O192" i="8"/>
  <c r="S192" i="8"/>
  <c r="AG192" i="8"/>
  <c r="AE179" i="8"/>
  <c r="O182" i="8"/>
  <c r="S182" i="8"/>
  <c r="P188" i="8"/>
  <c r="O189" i="8"/>
  <c r="S189" i="8"/>
  <c r="P192" i="8"/>
  <c r="Q100" i="7"/>
  <c r="M199" i="7"/>
  <c r="L199" i="7"/>
  <c r="T196" i="7"/>
  <c r="M196" i="7"/>
  <c r="L196" i="7"/>
  <c r="T195" i="7"/>
  <c r="M195" i="7"/>
  <c r="L195" i="7"/>
  <c r="T192" i="7"/>
  <c r="M192" i="7"/>
  <c r="L192" i="7"/>
  <c r="N190" i="7"/>
  <c r="N195" i="7" s="1"/>
  <c r="J186" i="7"/>
  <c r="T185" i="7"/>
  <c r="N185" i="7"/>
  <c r="H185" i="7"/>
  <c r="E185" i="7"/>
  <c r="Z184" i="7"/>
  <c r="K184" i="7"/>
  <c r="I184" i="7"/>
  <c r="F184" i="7"/>
  <c r="G184" i="7" s="1"/>
  <c r="Z183" i="7"/>
  <c r="K183" i="7"/>
  <c r="AB183" i="7" s="1"/>
  <c r="I183" i="7"/>
  <c r="F183" i="7"/>
  <c r="G183" i="7" s="1"/>
  <c r="AB182" i="7"/>
  <c r="Z182" i="7"/>
  <c r="K182" i="7"/>
  <c r="AE182" i="7" s="1"/>
  <c r="I182" i="7"/>
  <c r="F182" i="7"/>
  <c r="G182" i="7" s="1"/>
  <c r="Z181" i="7"/>
  <c r="K181" i="7"/>
  <c r="I181" i="7"/>
  <c r="F181" i="7"/>
  <c r="G181" i="7" s="1"/>
  <c r="Z180" i="7"/>
  <c r="K180" i="7"/>
  <c r="AG180" i="7" s="1"/>
  <c r="I180" i="7"/>
  <c r="F180" i="7"/>
  <c r="G180" i="7" s="1"/>
  <c r="Z179" i="7"/>
  <c r="K179" i="7"/>
  <c r="I179" i="7"/>
  <c r="F179" i="7"/>
  <c r="G179" i="7" s="1"/>
  <c r="Z178" i="7"/>
  <c r="K178" i="7"/>
  <c r="O178" i="7" s="1"/>
  <c r="I178" i="7"/>
  <c r="F178" i="7"/>
  <c r="G178" i="7" s="1"/>
  <c r="AB177" i="7"/>
  <c r="AA177" i="7"/>
  <c r="T176" i="7"/>
  <c r="N176" i="7"/>
  <c r="H176" i="7"/>
  <c r="E176" i="7"/>
  <c r="Z175" i="7"/>
  <c r="K175" i="7"/>
  <c r="I175" i="7"/>
  <c r="F175" i="7"/>
  <c r="G175" i="7" s="1"/>
  <c r="Z174" i="7"/>
  <c r="K174" i="7"/>
  <c r="I174" i="7"/>
  <c r="F174" i="7"/>
  <c r="G174" i="7" s="1"/>
  <c r="Z173" i="7"/>
  <c r="K173" i="7"/>
  <c r="AG173" i="7" s="1"/>
  <c r="I173" i="7"/>
  <c r="F173" i="7"/>
  <c r="G173" i="7" s="1"/>
  <c r="Z172" i="7"/>
  <c r="K172" i="7"/>
  <c r="S172" i="7" s="1"/>
  <c r="I172" i="7"/>
  <c r="F172" i="7"/>
  <c r="G172" i="7" s="1"/>
  <c r="Z171" i="7"/>
  <c r="K171" i="7"/>
  <c r="I171" i="7"/>
  <c r="F171" i="7"/>
  <c r="AB170" i="7"/>
  <c r="AA170" i="7"/>
  <c r="T169" i="7"/>
  <c r="N169" i="7"/>
  <c r="H169" i="7"/>
  <c r="E169" i="7"/>
  <c r="D169" i="7"/>
  <c r="D186" i="7" s="1"/>
  <c r="D187" i="7" s="1"/>
  <c r="D191" i="7" s="1"/>
  <c r="D192" i="7" s="1"/>
  <c r="Z168" i="7"/>
  <c r="K168" i="7"/>
  <c r="I168" i="7"/>
  <c r="F168" i="7"/>
  <c r="G168" i="7" s="1"/>
  <c r="Z167" i="7"/>
  <c r="K167" i="7"/>
  <c r="S167" i="7" s="1"/>
  <c r="I167" i="7"/>
  <c r="F167" i="7"/>
  <c r="G167" i="7" s="1"/>
  <c r="Z166" i="7"/>
  <c r="K166" i="7"/>
  <c r="AE166" i="7" s="1"/>
  <c r="I166" i="7"/>
  <c r="F166" i="7"/>
  <c r="G166" i="7" s="1"/>
  <c r="Z165" i="7"/>
  <c r="K165" i="7"/>
  <c r="AG165" i="7" s="1"/>
  <c r="I165" i="7"/>
  <c r="F165" i="7"/>
  <c r="G165" i="7" s="1"/>
  <c r="Z164" i="7"/>
  <c r="K164" i="7"/>
  <c r="I164" i="7"/>
  <c r="F164" i="7"/>
  <c r="G164" i="7" s="1"/>
  <c r="Z163" i="7"/>
  <c r="K163" i="7"/>
  <c r="AG163" i="7" s="1"/>
  <c r="I163" i="7"/>
  <c r="F163" i="7"/>
  <c r="G163" i="7" s="1"/>
  <c r="Z162" i="7"/>
  <c r="K162" i="7"/>
  <c r="AE162" i="7" s="1"/>
  <c r="I162" i="7"/>
  <c r="F162" i="7"/>
  <c r="AB161" i="7"/>
  <c r="AA161" i="7"/>
  <c r="T160" i="7"/>
  <c r="N160" i="7"/>
  <c r="H160" i="7"/>
  <c r="E160" i="7"/>
  <c r="Z159" i="7"/>
  <c r="K159" i="7"/>
  <c r="AE159" i="7" s="1"/>
  <c r="I159" i="7"/>
  <c r="F159" i="7"/>
  <c r="G159" i="7" s="1"/>
  <c r="Z158" i="7"/>
  <c r="K158" i="7"/>
  <c r="AG158" i="7" s="1"/>
  <c r="I158" i="7"/>
  <c r="F158" i="7"/>
  <c r="G158" i="7" s="1"/>
  <c r="Z157" i="7"/>
  <c r="K157" i="7"/>
  <c r="I157" i="7"/>
  <c r="F157" i="7"/>
  <c r="G157" i="7" s="1"/>
  <c r="Z156" i="7"/>
  <c r="K156" i="7"/>
  <c r="AG156" i="7" s="1"/>
  <c r="I156" i="7"/>
  <c r="F156" i="7"/>
  <c r="G156" i="7" s="1"/>
  <c r="Z155" i="7"/>
  <c r="K155" i="7"/>
  <c r="AE155" i="7" s="1"/>
  <c r="I155" i="7"/>
  <c r="F155" i="7"/>
  <c r="G155" i="7" s="1"/>
  <c r="Z154" i="7"/>
  <c r="K154" i="7"/>
  <c r="AG154" i="7" s="1"/>
  <c r="I154" i="7"/>
  <c r="F154" i="7"/>
  <c r="G154" i="7" s="1"/>
  <c r="Z153" i="7"/>
  <c r="K153" i="7"/>
  <c r="AB153" i="7" s="1"/>
  <c r="I153" i="7"/>
  <c r="F153" i="7"/>
  <c r="AB152" i="7"/>
  <c r="AA152" i="7"/>
  <c r="T151" i="7"/>
  <c r="N151" i="7"/>
  <c r="H151" i="7"/>
  <c r="E151" i="7"/>
  <c r="Z150" i="7"/>
  <c r="K150" i="7"/>
  <c r="I150" i="7"/>
  <c r="F150" i="7"/>
  <c r="G150" i="7" s="1"/>
  <c r="Z149" i="7"/>
  <c r="K149" i="7"/>
  <c r="AG149" i="7" s="1"/>
  <c r="I149" i="7"/>
  <c r="F149" i="7"/>
  <c r="G149" i="7" s="1"/>
  <c r="Z148" i="7"/>
  <c r="K148" i="7"/>
  <c r="AE148" i="7" s="1"/>
  <c r="I148" i="7"/>
  <c r="F148" i="7"/>
  <c r="G148" i="7" s="1"/>
  <c r="Z147" i="7"/>
  <c r="K147" i="7"/>
  <c r="AG147" i="7" s="1"/>
  <c r="I147" i="7"/>
  <c r="F147" i="7"/>
  <c r="G147" i="7" s="1"/>
  <c r="Z146" i="7"/>
  <c r="K146" i="7"/>
  <c r="AE146" i="7" s="1"/>
  <c r="I146" i="7"/>
  <c r="F146" i="7"/>
  <c r="G146" i="7" s="1"/>
  <c r="Z145" i="7"/>
  <c r="K145" i="7"/>
  <c r="I145" i="7"/>
  <c r="F145" i="7"/>
  <c r="AB144" i="7"/>
  <c r="AA144" i="7"/>
  <c r="T143" i="7"/>
  <c r="N143" i="7"/>
  <c r="H143" i="7"/>
  <c r="E143" i="7"/>
  <c r="Z142" i="7"/>
  <c r="K142" i="7"/>
  <c r="AE142" i="7" s="1"/>
  <c r="I142" i="7"/>
  <c r="F142" i="7"/>
  <c r="G142" i="7" s="1"/>
  <c r="Z141" i="7"/>
  <c r="K141" i="7"/>
  <c r="AE141" i="7" s="1"/>
  <c r="I141" i="7"/>
  <c r="F141" i="7"/>
  <c r="G141" i="7" s="1"/>
  <c r="Z140" i="7"/>
  <c r="K140" i="7"/>
  <c r="AE140" i="7" s="1"/>
  <c r="I140" i="7"/>
  <c r="F140" i="7"/>
  <c r="G140" i="7" s="1"/>
  <c r="Z139" i="7"/>
  <c r="K139" i="7"/>
  <c r="Q139" i="7" s="1"/>
  <c r="I139" i="7"/>
  <c r="F139" i="7"/>
  <c r="G139" i="7" s="1"/>
  <c r="Z138" i="7"/>
  <c r="O138" i="7"/>
  <c r="K138" i="7"/>
  <c r="I138" i="7"/>
  <c r="F138" i="7"/>
  <c r="G138" i="7" s="1"/>
  <c r="Z137" i="7"/>
  <c r="K137" i="7"/>
  <c r="S137" i="7" s="1"/>
  <c r="I137" i="7"/>
  <c r="F137" i="7"/>
  <c r="G137" i="7" s="1"/>
  <c r="AB136" i="7"/>
  <c r="AA136" i="7"/>
  <c r="AB135" i="7"/>
  <c r="AA135" i="7"/>
  <c r="AB134" i="7"/>
  <c r="AA134" i="7"/>
  <c r="AB133" i="7"/>
  <c r="AA133" i="7"/>
  <c r="T131" i="7"/>
  <c r="N131" i="7"/>
  <c r="H131" i="7"/>
  <c r="E131" i="7"/>
  <c r="K130" i="7"/>
  <c r="S130" i="7" s="1"/>
  <c r="I130" i="7"/>
  <c r="K129" i="7"/>
  <c r="AA129" i="7" s="1"/>
  <c r="I129" i="7"/>
  <c r="K128" i="7"/>
  <c r="S128" i="7" s="1"/>
  <c r="I128" i="7"/>
  <c r="F128" i="7"/>
  <c r="G128" i="7" s="1"/>
  <c r="Z127" i="7"/>
  <c r="K127" i="7"/>
  <c r="AE127" i="7" s="1"/>
  <c r="I127" i="7"/>
  <c r="F127" i="7"/>
  <c r="G127" i="7" s="1"/>
  <c r="Z126" i="7"/>
  <c r="K126" i="7"/>
  <c r="AG126" i="7" s="1"/>
  <c r="I126" i="7"/>
  <c r="F126" i="7"/>
  <c r="G126" i="7" s="1"/>
  <c r="Z125" i="7"/>
  <c r="K125" i="7"/>
  <c r="AE125" i="7" s="1"/>
  <c r="I125" i="7"/>
  <c r="F125" i="7"/>
  <c r="G125" i="7" s="1"/>
  <c r="Z124" i="7"/>
  <c r="K124" i="7"/>
  <c r="S124" i="7" s="1"/>
  <c r="I124" i="7"/>
  <c r="F124" i="7"/>
  <c r="G124" i="7" s="1"/>
  <c r="Z123" i="7"/>
  <c r="K123" i="7"/>
  <c r="I123" i="7"/>
  <c r="F123" i="7"/>
  <c r="AB122" i="7"/>
  <c r="AA122" i="7"/>
  <c r="T121" i="7"/>
  <c r="N121" i="7"/>
  <c r="J121" i="7"/>
  <c r="J132" i="7" s="1"/>
  <c r="H121" i="7"/>
  <c r="E121" i="7"/>
  <c r="Z120" i="7"/>
  <c r="K120" i="7"/>
  <c r="AE120" i="7" s="1"/>
  <c r="I120" i="7"/>
  <c r="G120" i="7"/>
  <c r="Z119" i="7"/>
  <c r="K119" i="7"/>
  <c r="AB119" i="7" s="1"/>
  <c r="I119" i="7"/>
  <c r="I121" i="7" s="1"/>
  <c r="F119" i="7"/>
  <c r="G119" i="7" s="1"/>
  <c r="G121" i="7" s="1"/>
  <c r="AB118" i="7"/>
  <c r="AA118" i="7"/>
  <c r="T117" i="7"/>
  <c r="N117" i="7"/>
  <c r="H117" i="7"/>
  <c r="E117" i="7"/>
  <c r="Z116" i="7"/>
  <c r="K116" i="7"/>
  <c r="AB116" i="7" s="1"/>
  <c r="I116" i="7"/>
  <c r="F116" i="7"/>
  <c r="G116" i="7" s="1"/>
  <c r="Z115" i="7"/>
  <c r="K115" i="7"/>
  <c r="O115" i="7" s="1"/>
  <c r="I115" i="7"/>
  <c r="F115" i="7"/>
  <c r="G115" i="7" s="1"/>
  <c r="Z114" i="7"/>
  <c r="K114" i="7"/>
  <c r="AE114" i="7" s="1"/>
  <c r="I114" i="7"/>
  <c r="F114" i="7"/>
  <c r="G114" i="7" s="1"/>
  <c r="Z113" i="7"/>
  <c r="K113" i="7"/>
  <c r="I113" i="7"/>
  <c r="F113" i="7"/>
  <c r="G113" i="7" s="1"/>
  <c r="Z112" i="7"/>
  <c r="K112" i="7"/>
  <c r="Q112" i="7" s="1"/>
  <c r="I112" i="7"/>
  <c r="G112" i="7"/>
  <c r="Z111" i="7"/>
  <c r="K111" i="7"/>
  <c r="AB111" i="7" s="1"/>
  <c r="I111" i="7"/>
  <c r="F111" i="7"/>
  <c r="G111" i="7" s="1"/>
  <c r="Z110" i="7"/>
  <c r="K110" i="7"/>
  <c r="O110" i="7" s="1"/>
  <c r="I110" i="7"/>
  <c r="F110" i="7"/>
  <c r="G110" i="7" s="1"/>
  <c r="Z109" i="7"/>
  <c r="K109" i="7"/>
  <c r="AE109" i="7" s="1"/>
  <c r="I109" i="7"/>
  <c r="F109" i="7"/>
  <c r="G109" i="7" s="1"/>
  <c r="Z108" i="7"/>
  <c r="K108" i="7"/>
  <c r="AG108" i="7" s="1"/>
  <c r="I108" i="7"/>
  <c r="F108" i="7"/>
  <c r="G108" i="7" s="1"/>
  <c r="Z107" i="7"/>
  <c r="K107" i="7"/>
  <c r="I107" i="7"/>
  <c r="F107" i="7"/>
  <c r="G107" i="7" s="1"/>
  <c r="AB106" i="7"/>
  <c r="AA106" i="7"/>
  <c r="T105" i="7"/>
  <c r="N105" i="7"/>
  <c r="H105" i="7"/>
  <c r="E105" i="7"/>
  <c r="Z104" i="7"/>
  <c r="K104" i="7"/>
  <c r="I104" i="7"/>
  <c r="F104" i="7"/>
  <c r="G104" i="7" s="1"/>
  <c r="Z103" i="7"/>
  <c r="K103" i="7"/>
  <c r="AE103" i="7" s="1"/>
  <c r="I103" i="7"/>
  <c r="F103" i="7"/>
  <c r="G103" i="7" s="1"/>
  <c r="Z102" i="7"/>
  <c r="K102" i="7"/>
  <c r="AE102" i="7" s="1"/>
  <c r="I102" i="7"/>
  <c r="F102" i="7"/>
  <c r="G102" i="7" s="1"/>
  <c r="Z101" i="7"/>
  <c r="K101" i="7"/>
  <c r="AG101" i="7" s="1"/>
  <c r="I101" i="7"/>
  <c r="F101" i="7"/>
  <c r="G101" i="7" s="1"/>
  <c r="AB100" i="7"/>
  <c r="Z100" i="7"/>
  <c r="I100" i="7"/>
  <c r="F100" i="7"/>
  <c r="G100" i="7" s="1"/>
  <c r="Z99" i="7"/>
  <c r="K99" i="7"/>
  <c r="I99" i="7"/>
  <c r="F99" i="7"/>
  <c r="G99" i="7" s="1"/>
  <c r="K98" i="7"/>
  <c r="S98" i="7" s="1"/>
  <c r="Z97" i="7"/>
  <c r="K97" i="7"/>
  <c r="AE97" i="7" s="1"/>
  <c r="I97" i="7"/>
  <c r="F97" i="7"/>
  <c r="G97" i="7" s="1"/>
  <c r="Z96" i="7"/>
  <c r="K96" i="7"/>
  <c r="I96" i="7"/>
  <c r="F96" i="7"/>
  <c r="G96" i="7" s="1"/>
  <c r="Z95" i="7"/>
  <c r="K95" i="7"/>
  <c r="I95" i="7"/>
  <c r="F95" i="7"/>
  <c r="AB94" i="7"/>
  <c r="AA94" i="7"/>
  <c r="N93" i="7"/>
  <c r="Z92" i="7"/>
  <c r="K92" i="7"/>
  <c r="AG92" i="7" s="1"/>
  <c r="Z91" i="7"/>
  <c r="K91" i="7"/>
  <c r="AB90" i="7"/>
  <c r="AA90" i="7"/>
  <c r="T88" i="7"/>
  <c r="N88" i="7"/>
  <c r="H88" i="7"/>
  <c r="E88" i="7"/>
  <c r="Z87" i="7"/>
  <c r="K87" i="7"/>
  <c r="AG87" i="7" s="1"/>
  <c r="I87" i="7"/>
  <c r="Z86" i="7"/>
  <c r="K86" i="7"/>
  <c r="AE86" i="7" s="1"/>
  <c r="I86" i="7"/>
  <c r="Z85" i="7"/>
  <c r="K85" i="7"/>
  <c r="O85" i="7" s="1"/>
  <c r="I85" i="7"/>
  <c r="K84" i="7"/>
  <c r="Q84" i="7" s="1"/>
  <c r="Z83" i="7"/>
  <c r="K83" i="7"/>
  <c r="AE83" i="7" s="1"/>
  <c r="I83" i="7"/>
  <c r="F83" i="7"/>
  <c r="G83" i="7" s="1"/>
  <c r="Z82" i="7"/>
  <c r="K82" i="7"/>
  <c r="AG82" i="7" s="1"/>
  <c r="I82" i="7"/>
  <c r="F82" i="7"/>
  <c r="G82" i="7" s="1"/>
  <c r="Z81" i="7"/>
  <c r="K81" i="7"/>
  <c r="Q81" i="7" s="1"/>
  <c r="I81" i="7"/>
  <c r="F81" i="7"/>
  <c r="G81" i="7" s="1"/>
  <c r="K80" i="7"/>
  <c r="I80" i="7"/>
  <c r="Z79" i="7"/>
  <c r="K79" i="7"/>
  <c r="I79" i="7"/>
  <c r="F79" i="7"/>
  <c r="G79" i="7" s="1"/>
  <c r="AB78" i="7"/>
  <c r="AA78" i="7"/>
  <c r="AH77" i="7"/>
  <c r="AF77" i="7"/>
  <c r="AD77" i="7"/>
  <c r="AC77" i="7"/>
  <c r="Y77" i="7"/>
  <c r="X77" i="7"/>
  <c r="T77" i="7"/>
  <c r="N77" i="7"/>
  <c r="J77" i="7"/>
  <c r="H77" i="7"/>
  <c r="H89" i="7" s="1"/>
  <c r="E77" i="7"/>
  <c r="K76" i="7"/>
  <c r="P76" i="7" s="1"/>
  <c r="K75" i="7"/>
  <c r="S75" i="7" s="1"/>
  <c r="K74" i="7"/>
  <c r="K73" i="7"/>
  <c r="S73" i="7" s="1"/>
  <c r="Z72" i="7"/>
  <c r="K72" i="7"/>
  <c r="AG72" i="7" s="1"/>
  <c r="I72" i="7"/>
  <c r="Z71" i="7"/>
  <c r="K71" i="7"/>
  <c r="AE71" i="7" s="1"/>
  <c r="Z70" i="7"/>
  <c r="K70" i="7"/>
  <c r="AB70" i="7" s="1"/>
  <c r="I70" i="7"/>
  <c r="Z69" i="7"/>
  <c r="K69" i="7"/>
  <c r="AG69" i="7" s="1"/>
  <c r="I69" i="7"/>
  <c r="K68" i="7"/>
  <c r="S68" i="7" s="1"/>
  <c r="Z67" i="7"/>
  <c r="K67" i="7"/>
  <c r="AG67" i="7" s="1"/>
  <c r="Z66" i="7"/>
  <c r="K66" i="7"/>
  <c r="AG66" i="7" s="1"/>
  <c r="Z65" i="7"/>
  <c r="K65" i="7"/>
  <c r="AG65" i="7" s="1"/>
  <c r="I65" i="7"/>
  <c r="Z64" i="7"/>
  <c r="K64" i="7"/>
  <c r="AE64" i="7" s="1"/>
  <c r="I64" i="7"/>
  <c r="F64" i="7"/>
  <c r="G64" i="7" s="1"/>
  <c r="Z63" i="7"/>
  <c r="K63" i="7"/>
  <c r="AG63" i="7" s="1"/>
  <c r="I63" i="7"/>
  <c r="F63" i="7"/>
  <c r="G63" i="7" s="1"/>
  <c r="Z62" i="7"/>
  <c r="K62" i="7"/>
  <c r="I62" i="7"/>
  <c r="F62" i="7"/>
  <c r="G62" i="7" s="1"/>
  <c r="Z61" i="7"/>
  <c r="K61" i="7"/>
  <c r="AE61" i="7" s="1"/>
  <c r="I61" i="7"/>
  <c r="Z60" i="7"/>
  <c r="K60" i="7"/>
  <c r="I60" i="7"/>
  <c r="G60" i="7"/>
  <c r="AB59" i="7"/>
  <c r="AA59" i="7"/>
  <c r="Z58" i="7"/>
  <c r="K58" i="7"/>
  <c r="Q58" i="7" s="1"/>
  <c r="I58" i="7"/>
  <c r="F58" i="7"/>
  <c r="G58" i="7" s="1"/>
  <c r="Z57" i="7"/>
  <c r="K57" i="7"/>
  <c r="AE57" i="7" s="1"/>
  <c r="I57" i="7"/>
  <c r="F57" i="7"/>
  <c r="G57" i="7" s="1"/>
  <c r="AB56" i="7"/>
  <c r="AA56" i="7"/>
  <c r="T55" i="7"/>
  <c r="N55" i="7"/>
  <c r="H55" i="7"/>
  <c r="E55" i="7"/>
  <c r="Z54" i="7"/>
  <c r="K54" i="7"/>
  <c r="AE54" i="7" s="1"/>
  <c r="I54" i="7"/>
  <c r="F54" i="7"/>
  <c r="G54" i="7" s="1"/>
  <c r="Z53" i="7"/>
  <c r="K53" i="7"/>
  <c r="AB53" i="7" s="1"/>
  <c r="I53" i="7"/>
  <c r="F53" i="7"/>
  <c r="G53" i="7" s="1"/>
  <c r="AB52" i="7"/>
  <c r="AA52" i="7"/>
  <c r="AF50" i="7"/>
  <c r="AD50" i="7"/>
  <c r="AC50" i="7"/>
  <c r="Y50" i="7"/>
  <c r="X50" i="7"/>
  <c r="T50" i="7"/>
  <c r="N50" i="7"/>
  <c r="H50" i="7"/>
  <c r="E50" i="7"/>
  <c r="Z49" i="7"/>
  <c r="K49" i="7"/>
  <c r="AB49" i="7" s="1"/>
  <c r="I49" i="7"/>
  <c r="F49" i="7"/>
  <c r="G49" i="7" s="1"/>
  <c r="Z48" i="7"/>
  <c r="K48" i="7"/>
  <c r="AE48" i="7" s="1"/>
  <c r="I48" i="7"/>
  <c r="F48" i="7"/>
  <c r="G48" i="7" s="1"/>
  <c r="Z47" i="7"/>
  <c r="K47" i="7"/>
  <c r="AE47" i="7" s="1"/>
  <c r="I47" i="7"/>
  <c r="F47" i="7"/>
  <c r="G47" i="7" s="1"/>
  <c r="Z46" i="7"/>
  <c r="K46" i="7"/>
  <c r="Q46" i="7" s="1"/>
  <c r="I46" i="7"/>
  <c r="F46" i="7"/>
  <c r="G46" i="7" s="1"/>
  <c r="Z45" i="7"/>
  <c r="K45" i="7"/>
  <c r="AB45" i="7" s="1"/>
  <c r="I45" i="7"/>
  <c r="F45" i="7"/>
  <c r="G45" i="7" s="1"/>
  <c r="K44" i="7"/>
  <c r="Q44" i="7" s="1"/>
  <c r="I44" i="7"/>
  <c r="F44" i="7"/>
  <c r="G44" i="7" s="1"/>
  <c r="Z43" i="7"/>
  <c r="K43" i="7"/>
  <c r="P43" i="7" s="1"/>
  <c r="I43" i="7"/>
  <c r="G43" i="7"/>
  <c r="F43" i="7"/>
  <c r="AB42" i="7"/>
  <c r="Z42" i="7"/>
  <c r="AA42" i="7" s="1"/>
  <c r="Z41" i="7"/>
  <c r="T41" i="7"/>
  <c r="T51" i="7" s="1"/>
  <c r="N41" i="7"/>
  <c r="H41" i="7"/>
  <c r="K40" i="7"/>
  <c r="Q40" i="7" s="1"/>
  <c r="K39" i="7"/>
  <c r="S39" i="7" s="1"/>
  <c r="I39" i="7"/>
  <c r="F39" i="7"/>
  <c r="G39" i="7" s="1"/>
  <c r="Z38" i="7"/>
  <c r="K38" i="7"/>
  <c r="AG38" i="7" s="1"/>
  <c r="I38" i="7"/>
  <c r="F38" i="7"/>
  <c r="G38" i="7" s="1"/>
  <c r="Z37" i="7"/>
  <c r="K37" i="7"/>
  <c r="AB37" i="7" s="1"/>
  <c r="I37" i="7"/>
  <c r="F37" i="7"/>
  <c r="G37" i="7" s="1"/>
  <c r="Z36" i="7"/>
  <c r="K36" i="7"/>
  <c r="AB36" i="7" s="1"/>
  <c r="I36" i="7"/>
  <c r="F36" i="7"/>
  <c r="G36" i="7" s="1"/>
  <c r="Z35" i="7"/>
  <c r="K35" i="7"/>
  <c r="AE35" i="7" s="1"/>
  <c r="I35" i="7"/>
  <c r="F35" i="7"/>
  <c r="G35" i="7" s="1"/>
  <c r="Z34" i="7"/>
  <c r="K34" i="7"/>
  <c r="AE34" i="7" s="1"/>
  <c r="I34" i="7"/>
  <c r="G34" i="7"/>
  <c r="Z33" i="7"/>
  <c r="K33" i="7"/>
  <c r="AE33" i="7" s="1"/>
  <c r="I33" i="7"/>
  <c r="F33" i="7"/>
  <c r="G33" i="7" s="1"/>
  <c r="Z32" i="7"/>
  <c r="K32" i="7"/>
  <c r="AB32" i="7" s="1"/>
  <c r="I32" i="7"/>
  <c r="F32" i="7"/>
  <c r="G32" i="7" s="1"/>
  <c r="Z31" i="7"/>
  <c r="K31" i="7"/>
  <c r="AB31" i="7" s="1"/>
  <c r="I31" i="7"/>
  <c r="F31" i="7"/>
  <c r="G31" i="7" s="1"/>
  <c r="K30" i="7"/>
  <c r="Q30" i="7" s="1"/>
  <c r="Z29" i="7"/>
  <c r="K29" i="7"/>
  <c r="I29" i="7"/>
  <c r="G29" i="7"/>
  <c r="F29" i="7"/>
  <c r="AB28" i="7"/>
  <c r="AA28" i="7"/>
  <c r="Z27" i="7"/>
  <c r="K27" i="7"/>
  <c r="S27" i="7" s="1"/>
  <c r="I27" i="7"/>
  <c r="G27" i="7"/>
  <c r="Z26" i="7"/>
  <c r="K26" i="7"/>
  <c r="P26" i="7" s="1"/>
  <c r="I26" i="7"/>
  <c r="G26" i="7"/>
  <c r="AB25" i="7"/>
  <c r="AA25" i="7"/>
  <c r="T24" i="7"/>
  <c r="N24" i="7"/>
  <c r="H24" i="7"/>
  <c r="E24" i="7"/>
  <c r="AG23" i="7"/>
  <c r="AE23" i="7"/>
  <c r="AB23" i="7"/>
  <c r="Z23" i="7"/>
  <c r="AA23" i="7" s="1"/>
  <c r="S23" i="7"/>
  <c r="Q23" i="7"/>
  <c r="P23" i="7"/>
  <c r="O23" i="7"/>
  <c r="I23" i="7"/>
  <c r="F23" i="7"/>
  <c r="G23" i="7" s="1"/>
  <c r="AG22" i="7"/>
  <c r="AE22" i="7"/>
  <c r="AB22" i="7"/>
  <c r="Z22" i="7"/>
  <c r="AA22" i="7" s="1"/>
  <c r="S22" i="7"/>
  <c r="Q22" i="7"/>
  <c r="P22" i="7"/>
  <c r="O22" i="7"/>
  <c r="I22" i="7"/>
  <c r="F22" i="7"/>
  <c r="G22" i="7" s="1"/>
  <c r="AG21" i="7"/>
  <c r="AE21" i="7"/>
  <c r="AB21" i="7"/>
  <c r="Z21" i="7"/>
  <c r="AA21" i="7" s="1"/>
  <c r="S21" i="7"/>
  <c r="Q21" i="7"/>
  <c r="P21" i="7"/>
  <c r="O21" i="7"/>
  <c r="I21" i="7"/>
  <c r="F21" i="7"/>
  <c r="G21" i="7" s="1"/>
  <c r="AG20" i="7"/>
  <c r="AE20" i="7"/>
  <c r="AB20" i="7"/>
  <c r="Z20" i="7"/>
  <c r="AA20" i="7" s="1"/>
  <c r="S20" i="7"/>
  <c r="Q20" i="7"/>
  <c r="P20" i="7"/>
  <c r="O20" i="7"/>
  <c r="I20" i="7"/>
  <c r="F20" i="7"/>
  <c r="G20" i="7" s="1"/>
  <c r="AG19" i="7"/>
  <c r="AE19" i="7"/>
  <c r="AB19" i="7"/>
  <c r="Z19" i="7"/>
  <c r="AA19" i="7" s="1"/>
  <c r="S19" i="7"/>
  <c r="Q19" i="7"/>
  <c r="P19" i="7"/>
  <c r="O19" i="7"/>
  <c r="I19" i="7"/>
  <c r="F19" i="7"/>
  <c r="G19" i="7" s="1"/>
  <c r="AG18" i="7"/>
  <c r="AE18" i="7"/>
  <c r="AB18" i="7"/>
  <c r="Z18" i="7"/>
  <c r="AA18" i="7" s="1"/>
  <c r="S18" i="7"/>
  <c r="Q18" i="7"/>
  <c r="P18" i="7"/>
  <c r="O18" i="7"/>
  <c r="I18" i="7"/>
  <c r="F18" i="7"/>
  <c r="AB17" i="7"/>
  <c r="AA17" i="7"/>
  <c r="AF16" i="7"/>
  <c r="AD16" i="7"/>
  <c r="AC16" i="7"/>
  <c r="Y16" i="7"/>
  <c r="X16" i="7"/>
  <c r="N16" i="7"/>
  <c r="H16" i="7"/>
  <c r="E16" i="7"/>
  <c r="AG15" i="7"/>
  <c r="AE15" i="7"/>
  <c r="AB15" i="7"/>
  <c r="Z15" i="7"/>
  <c r="AA15" i="7" s="1"/>
  <c r="S15" i="7"/>
  <c r="Q15" i="7"/>
  <c r="P15" i="7"/>
  <c r="O15" i="7"/>
  <c r="AG14" i="7"/>
  <c r="AE14" i="7"/>
  <c r="AB14" i="7"/>
  <c r="Z14" i="7"/>
  <c r="AA14" i="7" s="1"/>
  <c r="S14" i="7"/>
  <c r="Q14" i="7"/>
  <c r="P14" i="7"/>
  <c r="O14" i="7"/>
  <c r="I14" i="7"/>
  <c r="F14" i="7"/>
  <c r="G14" i="7" s="1"/>
  <c r="AG13" i="7"/>
  <c r="AE13" i="7"/>
  <c r="AB13" i="7"/>
  <c r="Z13" i="7"/>
  <c r="S13" i="7"/>
  <c r="Q13" i="7"/>
  <c r="P13" i="7"/>
  <c r="O13" i="7"/>
  <c r="I13" i="7"/>
  <c r="F13" i="7"/>
  <c r="G13" i="7" s="1"/>
  <c r="Q24" i="7" l="1"/>
  <c r="P65" i="7"/>
  <c r="AA113" i="7"/>
  <c r="Z16" i="7"/>
  <c r="AB97" i="7"/>
  <c r="AE167" i="7"/>
  <c r="AB46" i="7"/>
  <c r="P102" i="7"/>
  <c r="AA184" i="8"/>
  <c r="I136" i="9"/>
  <c r="O159" i="7"/>
  <c r="AG159" i="7"/>
  <c r="AB38" i="7"/>
  <c r="O83" i="7"/>
  <c r="O108" i="7"/>
  <c r="AE111" i="7"/>
  <c r="P159" i="7"/>
  <c r="P24" i="7"/>
  <c r="S83" i="7"/>
  <c r="Q97" i="7"/>
  <c r="AG137" i="7"/>
  <c r="AA178" i="7"/>
  <c r="AB108" i="7"/>
  <c r="I151" i="7"/>
  <c r="AB159" i="7"/>
  <c r="O39" i="7"/>
  <c r="O43" i="7"/>
  <c r="AA64" i="7"/>
  <c r="O103" i="7"/>
  <c r="Q146" i="7"/>
  <c r="AG43" i="7"/>
  <c r="P75" i="7"/>
  <c r="M197" i="7"/>
  <c r="M200" i="7" s="1"/>
  <c r="U114" i="8"/>
  <c r="W114" i="8" s="1"/>
  <c r="O34" i="7"/>
  <c r="S43" i="7"/>
  <c r="Q47" i="7"/>
  <c r="O57" i="7"/>
  <c r="O64" i="7"/>
  <c r="S127" i="7"/>
  <c r="P129" i="7"/>
  <c r="P137" i="7"/>
  <c r="P147" i="7"/>
  <c r="Q159" i="7"/>
  <c r="AA127" i="7"/>
  <c r="O114" i="7"/>
  <c r="O127" i="7"/>
  <c r="Q140" i="7"/>
  <c r="F176" i="7"/>
  <c r="V15" i="8"/>
  <c r="I16" i="7"/>
  <c r="S16" i="7"/>
  <c r="AG16" i="7"/>
  <c r="R18" i="7"/>
  <c r="R20" i="7"/>
  <c r="V20" i="7" s="1"/>
  <c r="U22" i="7"/>
  <c r="W22" i="7" s="1"/>
  <c r="P27" i="7"/>
  <c r="P38" i="7"/>
  <c r="P58" i="7"/>
  <c r="S64" i="7"/>
  <c r="Q82" i="7"/>
  <c r="AG83" i="7"/>
  <c r="S85" i="7"/>
  <c r="P101" i="7"/>
  <c r="AG114" i="7"/>
  <c r="AB129" i="7"/>
  <c r="AB140" i="7"/>
  <c r="P162" i="7"/>
  <c r="P182" i="7"/>
  <c r="G136" i="9"/>
  <c r="F24" i="7"/>
  <c r="R19" i="7"/>
  <c r="V19" i="7" s="1"/>
  <c r="U21" i="7"/>
  <c r="W21" i="7" s="1"/>
  <c r="R23" i="7"/>
  <c r="V23" i="7" s="1"/>
  <c r="AE29" i="7"/>
  <c r="K41" i="7"/>
  <c r="Q60" i="7"/>
  <c r="K77" i="7"/>
  <c r="AG79" i="7"/>
  <c r="K88" i="7"/>
  <c r="AB79" i="7"/>
  <c r="AG91" i="7"/>
  <c r="K93" i="7"/>
  <c r="AB92" i="7"/>
  <c r="AB113" i="7"/>
  <c r="G143" i="7"/>
  <c r="AA148" i="7"/>
  <c r="AE26" i="7"/>
  <c r="I41" i="7"/>
  <c r="O35" i="7"/>
  <c r="AG35" i="7"/>
  <c r="Q37" i="7"/>
  <c r="Q38" i="7"/>
  <c r="I55" i="7"/>
  <c r="S58" i="7"/>
  <c r="AB65" i="7"/>
  <c r="O73" i="7"/>
  <c r="Q75" i="7"/>
  <c r="P79" i="7"/>
  <c r="T89" i="7"/>
  <c r="T132" i="7" s="1"/>
  <c r="S91" i="7"/>
  <c r="P92" i="7"/>
  <c r="Q101" i="7"/>
  <c r="AG103" i="7"/>
  <c r="P108" i="7"/>
  <c r="S109" i="7"/>
  <c r="F190" i="7"/>
  <c r="P113" i="7"/>
  <c r="P114" i="7"/>
  <c r="AE116" i="7"/>
  <c r="AB147" i="7"/>
  <c r="O148" i="7"/>
  <c r="AG148" i="7"/>
  <c r="I160" i="7"/>
  <c r="Q155" i="7"/>
  <c r="P158" i="7"/>
  <c r="AA162" i="7"/>
  <c r="AE178" i="7"/>
  <c r="K185" i="7"/>
  <c r="Q182" i="7"/>
  <c r="O183" i="7"/>
  <c r="AG183" i="7"/>
  <c r="G121" i="8"/>
  <c r="AB82" i="7"/>
  <c r="AE137" i="7"/>
  <c r="K143" i="7"/>
  <c r="P35" i="7"/>
  <c r="AA47" i="7"/>
  <c r="AA53" i="7"/>
  <c r="K55" i="7"/>
  <c r="Q79" i="7"/>
  <c r="Q92" i="7"/>
  <c r="AG95" i="7"/>
  <c r="K105" i="7"/>
  <c r="I105" i="7"/>
  <c r="AG102" i="7"/>
  <c r="AE107" i="7"/>
  <c r="K117" i="7"/>
  <c r="G190" i="7"/>
  <c r="Q113" i="7"/>
  <c r="AE119" i="7"/>
  <c r="K121" i="7"/>
  <c r="P148" i="7"/>
  <c r="Q153" i="7"/>
  <c r="K160" i="7"/>
  <c r="Q158" i="7"/>
  <c r="AB162" i="7"/>
  <c r="K176" i="7"/>
  <c r="AA176" i="7" s="1"/>
  <c r="P183" i="7"/>
  <c r="R13" i="7"/>
  <c r="V13" i="7" s="1"/>
  <c r="AE16" i="7"/>
  <c r="S26" i="7"/>
  <c r="S35" i="7"/>
  <c r="AA38" i="7"/>
  <c r="AE43" i="7"/>
  <c r="K50" i="7"/>
  <c r="K51" i="7" s="1"/>
  <c r="P47" i="7"/>
  <c r="AB47" i="7"/>
  <c r="O58" i="7"/>
  <c r="AG58" i="7"/>
  <c r="P64" i="7"/>
  <c r="AG64" i="7"/>
  <c r="Q65" i="7"/>
  <c r="O68" i="7"/>
  <c r="S71" i="7"/>
  <c r="S76" i="7"/>
  <c r="N89" i="7"/>
  <c r="P82" i="7"/>
  <c r="P83" i="7"/>
  <c r="AE91" i="7"/>
  <c r="O95" i="7"/>
  <c r="AB101" i="7"/>
  <c r="O102" i="7"/>
  <c r="S103" i="7"/>
  <c r="Q107" i="7"/>
  <c r="AA108" i="7"/>
  <c r="I190" i="7"/>
  <c r="AA114" i="7"/>
  <c r="Q119" i="7"/>
  <c r="S123" i="7"/>
  <c r="K131" i="7"/>
  <c r="P127" i="7"/>
  <c r="AG127" i="7"/>
  <c r="Q129" i="7"/>
  <c r="F143" i="7"/>
  <c r="O137" i="7"/>
  <c r="AA137" i="7"/>
  <c r="AB139" i="7"/>
  <c r="O145" i="7"/>
  <c r="K151" i="7"/>
  <c r="Q147" i="7"/>
  <c r="AG155" i="7"/>
  <c r="O156" i="7"/>
  <c r="AA158" i="7"/>
  <c r="AA159" i="7"/>
  <c r="O162" i="7"/>
  <c r="AE163" i="7"/>
  <c r="P178" i="7"/>
  <c r="O182" i="7"/>
  <c r="AA182" i="7"/>
  <c r="S183" i="7"/>
  <c r="L197" i="7"/>
  <c r="R133" i="8"/>
  <c r="V133" i="8" s="1"/>
  <c r="H136" i="8"/>
  <c r="H195" i="8" s="1"/>
  <c r="H199" i="8" s="1"/>
  <c r="H200" i="8" s="1"/>
  <c r="E195" i="8"/>
  <c r="E199" i="8" s="1"/>
  <c r="E200" i="8" s="1"/>
  <c r="K155" i="9"/>
  <c r="K164" i="9"/>
  <c r="K198" i="9"/>
  <c r="T34" i="10" s="1"/>
  <c r="D199" i="8"/>
  <c r="D200" i="8" s="1"/>
  <c r="K121" i="9"/>
  <c r="K205" i="9"/>
  <c r="K135" i="9"/>
  <c r="R67" i="9"/>
  <c r="V67" i="9" s="1"/>
  <c r="K147" i="9"/>
  <c r="AB147" i="9" s="1"/>
  <c r="I195" i="9"/>
  <c r="I199" i="9" s="1"/>
  <c r="I200" i="9" s="1"/>
  <c r="R83" i="9"/>
  <c r="V83" i="9" s="1"/>
  <c r="AE166" i="9"/>
  <c r="K177" i="9"/>
  <c r="O166" i="9"/>
  <c r="U153" i="9"/>
  <c r="W153" i="9" s="1"/>
  <c r="AA166" i="9"/>
  <c r="AG166" i="9"/>
  <c r="Q166" i="9"/>
  <c r="U123" i="9"/>
  <c r="W123" i="9" s="1"/>
  <c r="I55" i="8"/>
  <c r="R72" i="8"/>
  <c r="V72" i="8" s="1"/>
  <c r="P166" i="9"/>
  <c r="AG125" i="8"/>
  <c r="R38" i="8"/>
  <c r="V38" i="8" s="1"/>
  <c r="R123" i="9"/>
  <c r="V123" i="9" s="1"/>
  <c r="U128" i="9"/>
  <c r="W128" i="9" s="1"/>
  <c r="R141" i="9"/>
  <c r="V141" i="9" s="1"/>
  <c r="S125" i="9"/>
  <c r="U120" i="9"/>
  <c r="W120" i="9" s="1"/>
  <c r="S166" i="9"/>
  <c r="R186" i="8"/>
  <c r="V186" i="8" s="1"/>
  <c r="U100" i="8"/>
  <c r="W100" i="8" s="1"/>
  <c r="R132" i="8"/>
  <c r="V132" i="8" s="1"/>
  <c r="R89" i="8"/>
  <c r="V89" i="8" s="1"/>
  <c r="R33" i="8"/>
  <c r="V33" i="8" s="1"/>
  <c r="R144" i="8"/>
  <c r="V144" i="8" s="1"/>
  <c r="R127" i="9"/>
  <c r="V127" i="9" s="1"/>
  <c r="U99" i="9"/>
  <c r="W99" i="9" s="1"/>
  <c r="R62" i="9"/>
  <c r="V62" i="9" s="1"/>
  <c r="U51" i="9"/>
  <c r="W51" i="9" s="1"/>
  <c r="R167" i="9"/>
  <c r="V167" i="9" s="1"/>
  <c r="U118" i="9"/>
  <c r="W118" i="9" s="1"/>
  <c r="AE155" i="8"/>
  <c r="R105" i="9"/>
  <c r="V105" i="9" s="1"/>
  <c r="R168" i="9"/>
  <c r="V168" i="9" s="1"/>
  <c r="R118" i="9"/>
  <c r="V118" i="9" s="1"/>
  <c r="R146" i="9"/>
  <c r="V146" i="9" s="1"/>
  <c r="U167" i="9"/>
  <c r="W167" i="9" s="1"/>
  <c r="V24" i="9"/>
  <c r="U161" i="9"/>
  <c r="W161" i="9" s="1"/>
  <c r="U141" i="9"/>
  <c r="W141" i="9" s="1"/>
  <c r="U113" i="9"/>
  <c r="W113" i="9" s="1"/>
  <c r="R26" i="9"/>
  <c r="V26" i="9" s="1"/>
  <c r="R80" i="9"/>
  <c r="V80" i="9" s="1"/>
  <c r="U67" i="9"/>
  <c r="W67" i="9" s="1"/>
  <c r="R99" i="9"/>
  <c r="V99" i="9" s="1"/>
  <c r="U146" i="9"/>
  <c r="W146" i="9" s="1"/>
  <c r="R130" i="9"/>
  <c r="V130" i="9" s="1"/>
  <c r="R114" i="8"/>
  <c r="V114" i="8" s="1"/>
  <c r="P97" i="8"/>
  <c r="V13" i="9"/>
  <c r="V16" i="9" s="1"/>
  <c r="R162" i="9"/>
  <c r="V162" i="9" s="1"/>
  <c r="U191" i="9"/>
  <c r="W191" i="9" s="1"/>
  <c r="R131" i="9"/>
  <c r="V131" i="9" s="1"/>
  <c r="R163" i="9"/>
  <c r="V163" i="9" s="1"/>
  <c r="U77" i="9"/>
  <c r="W77" i="9" s="1"/>
  <c r="U151" i="9"/>
  <c r="W151" i="9" s="1"/>
  <c r="R150" i="9"/>
  <c r="V150" i="9" s="1"/>
  <c r="U26" i="9"/>
  <c r="W26" i="9" s="1"/>
  <c r="R169" i="8"/>
  <c r="V169" i="8" s="1"/>
  <c r="R158" i="8"/>
  <c r="V158" i="8" s="1"/>
  <c r="R134" i="8"/>
  <c r="V134" i="8" s="1"/>
  <c r="R95" i="8"/>
  <c r="V95" i="8" s="1"/>
  <c r="R153" i="9"/>
  <c r="V153" i="9" s="1"/>
  <c r="R161" i="9"/>
  <c r="V161" i="9" s="1"/>
  <c r="U127" i="9"/>
  <c r="W127" i="9" s="1"/>
  <c r="R188" i="9"/>
  <c r="V188" i="9" s="1"/>
  <c r="R187" i="9"/>
  <c r="V187" i="9" s="1"/>
  <c r="U163" i="9"/>
  <c r="W163" i="9" s="1"/>
  <c r="U152" i="9"/>
  <c r="W152" i="9" s="1"/>
  <c r="R145" i="9"/>
  <c r="V145" i="9" s="1"/>
  <c r="R151" i="9"/>
  <c r="V151" i="9" s="1"/>
  <c r="U75" i="9"/>
  <c r="W75" i="9" s="1"/>
  <c r="AG29" i="7"/>
  <c r="AA48" i="7"/>
  <c r="AG54" i="7"/>
  <c r="AE70" i="7"/>
  <c r="S86" i="7"/>
  <c r="AG142" i="7"/>
  <c r="AA165" i="7"/>
  <c r="S166" i="7"/>
  <c r="AE175" i="7"/>
  <c r="Q175" i="7"/>
  <c r="AB175" i="7"/>
  <c r="P175" i="7"/>
  <c r="Q186" i="9"/>
  <c r="K193" i="9"/>
  <c r="AB186" i="9"/>
  <c r="AE186" i="9"/>
  <c r="S186" i="9"/>
  <c r="O186" i="9"/>
  <c r="AA186" i="9"/>
  <c r="AG186" i="9"/>
  <c r="P186" i="9"/>
  <c r="Q114" i="9"/>
  <c r="O114" i="9"/>
  <c r="AE114" i="9"/>
  <c r="AA114" i="9"/>
  <c r="AB114" i="9"/>
  <c r="AG114" i="9"/>
  <c r="S114" i="9"/>
  <c r="P114" i="9"/>
  <c r="U87" i="9"/>
  <c r="W87" i="9" s="1"/>
  <c r="R87" i="9"/>
  <c r="V87" i="9" s="1"/>
  <c r="AG85" i="9"/>
  <c r="Q85" i="9"/>
  <c r="AB85" i="9"/>
  <c r="P85" i="9"/>
  <c r="AA85" i="9"/>
  <c r="O85" i="9"/>
  <c r="AE85" i="9"/>
  <c r="S85" i="9"/>
  <c r="K92" i="9"/>
  <c r="Q190" i="9"/>
  <c r="AB190" i="9"/>
  <c r="AE190" i="9"/>
  <c r="O190" i="9"/>
  <c r="AA190" i="9"/>
  <c r="AG190" i="9"/>
  <c r="S190" i="9"/>
  <c r="P190" i="9"/>
  <c r="U188" i="9"/>
  <c r="W188" i="9" s="1"/>
  <c r="AG49" i="9"/>
  <c r="S49" i="9"/>
  <c r="O49" i="9"/>
  <c r="AB49" i="9"/>
  <c r="AA49" i="9"/>
  <c r="Q49" i="9"/>
  <c r="P49" i="9"/>
  <c r="AE49" i="9"/>
  <c r="Q134" i="9"/>
  <c r="AG134" i="9"/>
  <c r="AE134" i="9"/>
  <c r="AA134" i="9"/>
  <c r="S134" i="9"/>
  <c r="P134" i="9"/>
  <c r="O134" i="9"/>
  <c r="AB134" i="9"/>
  <c r="AB16" i="7"/>
  <c r="G18" i="7"/>
  <c r="G24" i="7" s="1"/>
  <c r="AA26" i="7"/>
  <c r="AA27" i="7"/>
  <c r="O29" i="7"/>
  <c r="P34" i="7"/>
  <c r="P39" i="7"/>
  <c r="S47" i="7"/>
  <c r="AG47" i="7"/>
  <c r="O48" i="7"/>
  <c r="O54" i="7"/>
  <c r="P57" i="7"/>
  <c r="AA57" i="7"/>
  <c r="O61" i="7"/>
  <c r="AG61" i="7"/>
  <c r="AA63" i="7"/>
  <c r="O66" i="7"/>
  <c r="P67" i="7"/>
  <c r="AB67" i="7"/>
  <c r="AA69" i="7"/>
  <c r="Q70" i="7"/>
  <c r="AA72" i="7"/>
  <c r="I88" i="7"/>
  <c r="O86" i="7"/>
  <c r="AA86" i="7"/>
  <c r="AA87" i="7"/>
  <c r="S97" i="7"/>
  <c r="AG97" i="7"/>
  <c r="F121" i="7"/>
  <c r="O123" i="7"/>
  <c r="AG123" i="7"/>
  <c r="O124" i="7"/>
  <c r="AG124" i="7"/>
  <c r="AA126" i="7"/>
  <c r="I143" i="7"/>
  <c r="AE139" i="7"/>
  <c r="S140" i="7"/>
  <c r="AG140" i="7"/>
  <c r="O141" i="7"/>
  <c r="AG141" i="7"/>
  <c r="S142" i="7"/>
  <c r="O149" i="7"/>
  <c r="AE153" i="7"/>
  <c r="AA154" i="7"/>
  <c r="S155" i="7"/>
  <c r="P165" i="7"/>
  <c r="AB165" i="7"/>
  <c r="O166" i="7"/>
  <c r="AA166" i="7"/>
  <c r="AG167" i="7"/>
  <c r="P171" i="7"/>
  <c r="AB171" i="7"/>
  <c r="AB172" i="7"/>
  <c r="AG172" i="7"/>
  <c r="AA173" i="7"/>
  <c r="O173" i="7"/>
  <c r="AB179" i="7"/>
  <c r="P179" i="7"/>
  <c r="AG179" i="7"/>
  <c r="O179" i="7"/>
  <c r="T197" i="7"/>
  <c r="R34" i="8"/>
  <c r="V34" i="8" s="1"/>
  <c r="U168" i="9"/>
  <c r="W168" i="9" s="1"/>
  <c r="AA27" i="9"/>
  <c r="AG27" i="9"/>
  <c r="AE27" i="9"/>
  <c r="S27" i="9"/>
  <c r="O27" i="9"/>
  <c r="Q27" i="9"/>
  <c r="AB27" i="9"/>
  <c r="P27" i="9"/>
  <c r="G50" i="7"/>
  <c r="AA123" i="7"/>
  <c r="AE124" i="7"/>
  <c r="AA141" i="7"/>
  <c r="AA171" i="7"/>
  <c r="AE171" i="9"/>
  <c r="Q171" i="9"/>
  <c r="AB171" i="9"/>
  <c r="O171" i="9"/>
  <c r="AA171" i="9"/>
  <c r="AG171" i="9"/>
  <c r="P171" i="9"/>
  <c r="S171" i="9"/>
  <c r="Q89" i="9"/>
  <c r="AE89" i="9"/>
  <c r="P89" i="9"/>
  <c r="AG89" i="9"/>
  <c r="AB89" i="9"/>
  <c r="S89" i="9"/>
  <c r="O89" i="9"/>
  <c r="AA89" i="9"/>
  <c r="AE76" i="9"/>
  <c r="Q76" i="9"/>
  <c r="O76" i="9"/>
  <c r="AB76" i="9"/>
  <c r="AA76" i="9"/>
  <c r="P76" i="9"/>
  <c r="S76" i="9"/>
  <c r="AG76" i="9"/>
  <c r="R71" i="9"/>
  <c r="V71" i="9" s="1"/>
  <c r="U71" i="9"/>
  <c r="W71" i="9" s="1"/>
  <c r="U74" i="9"/>
  <c r="W74" i="9" s="1"/>
  <c r="R74" i="9"/>
  <c r="V74" i="9" s="1"/>
  <c r="P61" i="9"/>
  <c r="AG61" i="9"/>
  <c r="O61" i="9"/>
  <c r="AB61" i="9"/>
  <c r="Q61" i="9"/>
  <c r="AE61" i="9"/>
  <c r="S61" i="9"/>
  <c r="AA61" i="9"/>
  <c r="AG144" i="9"/>
  <c r="AB144" i="9"/>
  <c r="S144" i="9"/>
  <c r="O144" i="9"/>
  <c r="P144" i="9"/>
  <c r="AA144" i="9"/>
  <c r="Q144" i="9"/>
  <c r="AE144" i="9"/>
  <c r="AE27" i="7"/>
  <c r="AA32" i="7"/>
  <c r="O33" i="7"/>
  <c r="AA34" i="7"/>
  <c r="S38" i="7"/>
  <c r="H51" i="7"/>
  <c r="H132" i="7" s="1"/>
  <c r="I50" i="7"/>
  <c r="AG48" i="7"/>
  <c r="Q16" i="7"/>
  <c r="U14" i="7"/>
  <c r="W14" i="7" s="1"/>
  <c r="R15" i="7"/>
  <c r="V15" i="7" s="1"/>
  <c r="U15" i="7"/>
  <c r="W15" i="7" s="1"/>
  <c r="O26" i="7"/>
  <c r="AG26" i="7"/>
  <c r="O27" i="7"/>
  <c r="AG27" i="7"/>
  <c r="G41" i="7"/>
  <c r="P29" i="7"/>
  <c r="AA29" i="7"/>
  <c r="Q32" i="7"/>
  <c r="P33" i="7"/>
  <c r="AA33" i="7"/>
  <c r="Q34" i="7"/>
  <c r="R34" i="7" s="1"/>
  <c r="V34" i="7" s="1"/>
  <c r="AB34" i="7"/>
  <c r="AA35" i="7"/>
  <c r="O38" i="7"/>
  <c r="N51" i="7"/>
  <c r="N132" i="7" s="1"/>
  <c r="N187" i="7" s="1"/>
  <c r="Z50" i="7"/>
  <c r="AA46" i="7"/>
  <c r="O47" i="7"/>
  <c r="P48" i="7"/>
  <c r="F55" i="7"/>
  <c r="Q53" i="7"/>
  <c r="P54" i="7"/>
  <c r="AA54" i="7"/>
  <c r="Q57" i="7"/>
  <c r="R57" i="7" s="1"/>
  <c r="V57" i="7" s="1"/>
  <c r="AB57" i="7"/>
  <c r="AE60" i="7"/>
  <c r="S61" i="7"/>
  <c r="P63" i="7"/>
  <c r="AB63" i="7"/>
  <c r="AA65" i="7"/>
  <c r="Z77" i="7"/>
  <c r="Q67" i="7"/>
  <c r="P69" i="7"/>
  <c r="AB69" i="7"/>
  <c r="O71" i="7"/>
  <c r="AA71" i="7"/>
  <c r="P72" i="7"/>
  <c r="AB72" i="7"/>
  <c r="O76" i="7"/>
  <c r="E89" i="7"/>
  <c r="E132" i="7" s="1"/>
  <c r="AA79" i="7"/>
  <c r="AE81" i="7"/>
  <c r="AA82" i="7"/>
  <c r="AA83" i="7"/>
  <c r="AG85" i="7"/>
  <c r="P86" i="7"/>
  <c r="AB86" i="7"/>
  <c r="P87" i="7"/>
  <c r="AB87" i="7"/>
  <c r="AE95" i="7"/>
  <c r="O97" i="7"/>
  <c r="S102" i="7"/>
  <c r="AB107" i="7"/>
  <c r="Q108" i="7"/>
  <c r="O109" i="7"/>
  <c r="AA109" i="7"/>
  <c r="S114" i="7"/>
  <c r="P123" i="7"/>
  <c r="P126" i="7"/>
  <c r="AB126" i="7"/>
  <c r="AE129" i="7"/>
  <c r="O140" i="7"/>
  <c r="P141" i="7"/>
  <c r="AB146" i="7"/>
  <c r="AA147" i="7"/>
  <c r="S148" i="7"/>
  <c r="P154" i="7"/>
  <c r="AB154" i="7"/>
  <c r="O155" i="7"/>
  <c r="AE156" i="7"/>
  <c r="AB158" i="7"/>
  <c r="S159" i="7"/>
  <c r="Q162" i="7"/>
  <c r="AG162" i="7"/>
  <c r="O163" i="7"/>
  <c r="I169" i="7"/>
  <c r="Q165" i="7"/>
  <c r="P166" i="7"/>
  <c r="AG166" i="7"/>
  <c r="G171" i="7"/>
  <c r="G176" i="7" s="1"/>
  <c r="Q171" i="7"/>
  <c r="O172" i="7"/>
  <c r="AA172" i="7"/>
  <c r="S173" i="7"/>
  <c r="AA175" i="7"/>
  <c r="S179" i="7"/>
  <c r="AA180" i="7"/>
  <c r="S180" i="7"/>
  <c r="O180" i="7"/>
  <c r="R116" i="8"/>
  <c r="V116" i="8" s="1"/>
  <c r="U79" i="8"/>
  <c r="W79" i="8" s="1"/>
  <c r="U145" i="9"/>
  <c r="W145" i="9" s="1"/>
  <c r="U162" i="9"/>
  <c r="W162" i="9" s="1"/>
  <c r="O125" i="9"/>
  <c r="R124" i="9"/>
  <c r="V124" i="9" s="1"/>
  <c r="U124" i="9"/>
  <c r="W124" i="9" s="1"/>
  <c r="S96" i="9"/>
  <c r="P96" i="9"/>
  <c r="AG96" i="9"/>
  <c r="O96" i="9"/>
  <c r="AE96" i="9"/>
  <c r="AA96" i="9"/>
  <c r="Q96" i="9"/>
  <c r="AB96" i="9"/>
  <c r="Q78" i="9"/>
  <c r="P78" i="9"/>
  <c r="O78" i="9"/>
  <c r="S78" i="9"/>
  <c r="U83" i="9"/>
  <c r="W83" i="9" s="1"/>
  <c r="Q70" i="9"/>
  <c r="AE70" i="9"/>
  <c r="P70" i="9"/>
  <c r="AB70" i="9"/>
  <c r="S70" i="9"/>
  <c r="O70" i="9"/>
  <c r="AG70" i="9"/>
  <c r="AA70" i="9"/>
  <c r="G16" i="7"/>
  <c r="S29" i="7"/>
  <c r="S33" i="7"/>
  <c r="AG33" i="7"/>
  <c r="S54" i="7"/>
  <c r="AA67" i="7"/>
  <c r="S24" i="7"/>
  <c r="U19" i="7"/>
  <c r="W19" i="7" s="1"/>
  <c r="U20" i="7"/>
  <c r="W20" i="7" s="1"/>
  <c r="R21" i="7"/>
  <c r="V21" i="7" s="1"/>
  <c r="U23" i="7"/>
  <c r="W23" i="7" s="1"/>
  <c r="Q29" i="7"/>
  <c r="AB29" i="7"/>
  <c r="Q33" i="7"/>
  <c r="AB33" i="7"/>
  <c r="S34" i="7"/>
  <c r="AG34" i="7"/>
  <c r="S48" i="7"/>
  <c r="G55" i="7"/>
  <c r="Q54" i="7"/>
  <c r="AB54" i="7"/>
  <c r="S57" i="7"/>
  <c r="AG57" i="7"/>
  <c r="U58" i="7"/>
  <c r="W58" i="7" s="1"/>
  <c r="I77" i="7"/>
  <c r="Q63" i="7"/>
  <c r="AE66" i="7"/>
  <c r="Q69" i="7"/>
  <c r="P71" i="7"/>
  <c r="AG71" i="7"/>
  <c r="Q72" i="7"/>
  <c r="Q86" i="7"/>
  <c r="AG86" i="7"/>
  <c r="Q87" i="7"/>
  <c r="AA92" i="7"/>
  <c r="P97" i="7"/>
  <c r="AA97" i="7"/>
  <c r="AA101" i="7"/>
  <c r="AA102" i="7"/>
  <c r="P109" i="7"/>
  <c r="AG109" i="7"/>
  <c r="I131" i="7"/>
  <c r="Q126" i="7"/>
  <c r="P140" i="7"/>
  <c r="AA140" i="7"/>
  <c r="S141" i="7"/>
  <c r="AE149" i="7"/>
  <c r="F160" i="7"/>
  <c r="Q154" i="7"/>
  <c r="P155" i="7"/>
  <c r="AA155" i="7"/>
  <c r="S162" i="7"/>
  <c r="Q166" i="7"/>
  <c r="I176" i="7"/>
  <c r="P172" i="7"/>
  <c r="AA179" i="7"/>
  <c r="AB154" i="9"/>
  <c r="P154" i="9"/>
  <c r="AA154" i="9"/>
  <c r="AE154" i="9"/>
  <c r="Q154" i="9"/>
  <c r="S154" i="9"/>
  <c r="AG154" i="9"/>
  <c r="O154" i="9"/>
  <c r="R128" i="9"/>
  <c r="V128" i="9" s="1"/>
  <c r="U47" i="9"/>
  <c r="W47" i="9" s="1"/>
  <c r="R47" i="9"/>
  <c r="O159" i="9"/>
  <c r="AE159" i="9"/>
  <c r="Q159" i="9"/>
  <c r="S159" i="9"/>
  <c r="AA159" i="9"/>
  <c r="AG159" i="9"/>
  <c r="P159" i="9"/>
  <c r="AB159" i="9"/>
  <c r="U157" i="9"/>
  <c r="W157" i="9" s="1"/>
  <c r="R157" i="9"/>
  <c r="V157" i="9" s="1"/>
  <c r="AE125" i="9"/>
  <c r="AA125" i="9"/>
  <c r="AB125" i="9"/>
  <c r="U119" i="9"/>
  <c r="W119" i="9" s="1"/>
  <c r="R119" i="9"/>
  <c r="V119" i="9" s="1"/>
  <c r="AE91" i="9"/>
  <c r="S91" i="9"/>
  <c r="P91" i="9"/>
  <c r="AG91" i="9"/>
  <c r="O91" i="9"/>
  <c r="AA91" i="9"/>
  <c r="Q91" i="9"/>
  <c r="AB91" i="9"/>
  <c r="U133" i="8"/>
  <c r="W133" i="8" s="1"/>
  <c r="R191" i="9"/>
  <c r="V191" i="9" s="1"/>
  <c r="AE132" i="9"/>
  <c r="Q132" i="9"/>
  <c r="AG132" i="9"/>
  <c r="S132" i="9"/>
  <c r="O132" i="9"/>
  <c r="AB132" i="9"/>
  <c r="AA132" i="9"/>
  <c r="P132" i="9"/>
  <c r="AA129" i="9"/>
  <c r="AB129" i="9"/>
  <c r="Q129" i="9"/>
  <c r="P129" i="9"/>
  <c r="AE129" i="9"/>
  <c r="S129" i="9"/>
  <c r="AG129" i="9"/>
  <c r="O129" i="9"/>
  <c r="S58" i="9"/>
  <c r="AE58" i="9"/>
  <c r="O58" i="9"/>
  <c r="AB58" i="9"/>
  <c r="AG58" i="9"/>
  <c r="AA58" i="9"/>
  <c r="Q58" i="9"/>
  <c r="P58" i="9"/>
  <c r="Q53" i="9"/>
  <c r="AB53" i="9"/>
  <c r="AE53" i="9"/>
  <c r="S53" i="9"/>
  <c r="AA53" i="9"/>
  <c r="P53" i="9"/>
  <c r="O53" i="9"/>
  <c r="AG53" i="9"/>
  <c r="O44" i="9"/>
  <c r="S44" i="9"/>
  <c r="Q44" i="9"/>
  <c r="P44" i="9"/>
  <c r="U187" i="9"/>
  <c r="W187" i="9" s="1"/>
  <c r="AA111" i="9"/>
  <c r="Q111" i="9"/>
  <c r="P111" i="9"/>
  <c r="AB111" i="9"/>
  <c r="AG111" i="9"/>
  <c r="AE111" i="9"/>
  <c r="O111" i="9"/>
  <c r="S111" i="9"/>
  <c r="AE106" i="9"/>
  <c r="P106" i="9"/>
  <c r="AG106" i="9"/>
  <c r="O106" i="9"/>
  <c r="S106" i="9"/>
  <c r="AA106" i="9"/>
  <c r="AB106" i="9"/>
  <c r="Q106" i="9"/>
  <c r="P100" i="9"/>
  <c r="AG100" i="9"/>
  <c r="O100" i="9"/>
  <c r="AE100" i="9"/>
  <c r="S100" i="9"/>
  <c r="Q100" i="9"/>
  <c r="AB100" i="9"/>
  <c r="AA100" i="9"/>
  <c r="U62" i="9"/>
  <c r="W62" i="9" s="1"/>
  <c r="Q43" i="9"/>
  <c r="P43" i="9"/>
  <c r="O43" i="9"/>
  <c r="S43" i="9"/>
  <c r="P30" i="9"/>
  <c r="S30" i="9"/>
  <c r="Q30" i="9"/>
  <c r="O30" i="9"/>
  <c r="S36" i="9"/>
  <c r="O36" i="9"/>
  <c r="AA36" i="9"/>
  <c r="AG36" i="9"/>
  <c r="AB36" i="9"/>
  <c r="Q36" i="9"/>
  <c r="P36" i="9"/>
  <c r="AE36" i="9"/>
  <c r="Q34" i="9"/>
  <c r="AB34" i="9"/>
  <c r="P34" i="9"/>
  <c r="AA34" i="9"/>
  <c r="AE34" i="9"/>
  <c r="S34" i="9"/>
  <c r="AG34" i="9"/>
  <c r="O34" i="9"/>
  <c r="AA32" i="9"/>
  <c r="AG32" i="9"/>
  <c r="P32" i="9"/>
  <c r="AE32" i="9"/>
  <c r="S32" i="9"/>
  <c r="AB32" i="9"/>
  <c r="O32" i="9"/>
  <c r="Q32" i="9"/>
  <c r="AA115" i="9"/>
  <c r="Q115" i="9"/>
  <c r="P115" i="9"/>
  <c r="AB115" i="9"/>
  <c r="AE115" i="9"/>
  <c r="AG115" i="9"/>
  <c r="O115" i="9"/>
  <c r="S115" i="9"/>
  <c r="Q84" i="9"/>
  <c r="P84" i="9"/>
  <c r="O84" i="9"/>
  <c r="S84" i="9"/>
  <c r="AG66" i="9"/>
  <c r="S66" i="9"/>
  <c r="AE66" i="9"/>
  <c r="AB66" i="9"/>
  <c r="Q66" i="9"/>
  <c r="AA66" i="9"/>
  <c r="P66" i="9"/>
  <c r="O66" i="9"/>
  <c r="O64" i="9"/>
  <c r="K81" i="9"/>
  <c r="S64" i="9"/>
  <c r="AE64" i="9"/>
  <c r="Q64" i="9"/>
  <c r="AB64" i="9"/>
  <c r="AG64" i="9"/>
  <c r="AA64" i="9"/>
  <c r="P64" i="9"/>
  <c r="Q178" i="7"/>
  <c r="R178" i="7" s="1"/>
  <c r="AB178" i="7"/>
  <c r="S182" i="7"/>
  <c r="AG182" i="7"/>
  <c r="Q59" i="8"/>
  <c r="R24" i="9"/>
  <c r="Q172" i="9"/>
  <c r="AB172" i="9"/>
  <c r="P172" i="9"/>
  <c r="AA172" i="9"/>
  <c r="AE172" i="9"/>
  <c r="AG172" i="9"/>
  <c r="O172" i="9"/>
  <c r="S172" i="9"/>
  <c r="S170" i="9"/>
  <c r="P170" i="9"/>
  <c r="O170" i="9"/>
  <c r="AB170" i="9"/>
  <c r="Q170" i="9"/>
  <c r="AA170" i="9"/>
  <c r="AE170" i="9"/>
  <c r="AG170" i="9"/>
  <c r="F195" i="9"/>
  <c r="F199" i="9" s="1"/>
  <c r="F200" i="9" s="1"/>
  <c r="AG192" i="9"/>
  <c r="O192" i="9"/>
  <c r="AB192" i="9"/>
  <c r="S192" i="9"/>
  <c r="P192" i="9"/>
  <c r="AA192" i="9"/>
  <c r="AE192" i="9"/>
  <c r="Q192" i="9"/>
  <c r="O160" i="9"/>
  <c r="Q160" i="9"/>
  <c r="AA160" i="9"/>
  <c r="AG160" i="9"/>
  <c r="P160" i="9"/>
  <c r="S160" i="9"/>
  <c r="AB160" i="9"/>
  <c r="AE160" i="9"/>
  <c r="U131" i="9"/>
  <c r="W131" i="9" s="1"/>
  <c r="U130" i="9"/>
  <c r="W130" i="9" s="1"/>
  <c r="AB108" i="9"/>
  <c r="AA108" i="9"/>
  <c r="AE108" i="9"/>
  <c r="Q108" i="9"/>
  <c r="P108" i="9"/>
  <c r="S108" i="9"/>
  <c r="AG108" i="9"/>
  <c r="O108" i="9"/>
  <c r="AE95" i="9"/>
  <c r="Q95" i="9"/>
  <c r="AA95" i="9"/>
  <c r="S95" i="9"/>
  <c r="P95" i="9"/>
  <c r="O95" i="9"/>
  <c r="K97" i="9"/>
  <c r="AB95" i="9"/>
  <c r="AG95" i="9"/>
  <c r="AG86" i="9"/>
  <c r="S86" i="9"/>
  <c r="AE86" i="9"/>
  <c r="P86" i="9"/>
  <c r="AA86" i="9"/>
  <c r="O86" i="9"/>
  <c r="Q86" i="9"/>
  <c r="AB86" i="9"/>
  <c r="Q79" i="9"/>
  <c r="O79" i="9"/>
  <c r="S79" i="9"/>
  <c r="P79" i="9"/>
  <c r="S73" i="9"/>
  <c r="Q73" i="9"/>
  <c r="P73" i="9"/>
  <c r="AA73" i="9"/>
  <c r="AE73" i="9"/>
  <c r="O73" i="9"/>
  <c r="AB73" i="9"/>
  <c r="AG73" i="9"/>
  <c r="S48" i="9"/>
  <c r="O48" i="9"/>
  <c r="Q48" i="9"/>
  <c r="P48" i="9"/>
  <c r="O189" i="9"/>
  <c r="P189" i="9"/>
  <c r="S189" i="9"/>
  <c r="AB189" i="9"/>
  <c r="AE189" i="9"/>
  <c r="Q189" i="9"/>
  <c r="AA189" i="9"/>
  <c r="AG189" i="9"/>
  <c r="AA90" i="9"/>
  <c r="S90" i="9"/>
  <c r="P90" i="9"/>
  <c r="AE90" i="9"/>
  <c r="AB90" i="9"/>
  <c r="O90" i="9"/>
  <c r="Q90" i="9"/>
  <c r="AG90" i="9"/>
  <c r="R51" i="9"/>
  <c r="V51" i="9" s="1"/>
  <c r="S50" i="9"/>
  <c r="AA50" i="9"/>
  <c r="AE50" i="9"/>
  <c r="AG50" i="9"/>
  <c r="AB50" i="9"/>
  <c r="P50" i="9"/>
  <c r="O50" i="9"/>
  <c r="Q50" i="9"/>
  <c r="AB158" i="9"/>
  <c r="P158" i="9"/>
  <c r="AG158" i="9"/>
  <c r="O158" i="9"/>
  <c r="AA158" i="9"/>
  <c r="S158" i="9"/>
  <c r="AE158" i="9"/>
  <c r="Q158" i="9"/>
  <c r="U150" i="9"/>
  <c r="W150" i="9" s="1"/>
  <c r="AE149" i="9"/>
  <c r="AB149" i="9"/>
  <c r="Q149" i="9"/>
  <c r="AG149" i="9"/>
  <c r="P149" i="9"/>
  <c r="S149" i="9"/>
  <c r="O149" i="9"/>
  <c r="AA149" i="9"/>
  <c r="AB143" i="9"/>
  <c r="P143" i="9"/>
  <c r="AA143" i="9"/>
  <c r="AE143" i="9"/>
  <c r="Q143" i="9"/>
  <c r="O143" i="9"/>
  <c r="S143" i="9"/>
  <c r="AG143" i="9"/>
  <c r="S133" i="9"/>
  <c r="P133" i="9"/>
  <c r="O133" i="9"/>
  <c r="AB133" i="9"/>
  <c r="AE133" i="9"/>
  <c r="AA133" i="9"/>
  <c r="AG133" i="9"/>
  <c r="Q133" i="9"/>
  <c r="Q125" i="9"/>
  <c r="R120" i="9"/>
  <c r="V120" i="9" s="1"/>
  <c r="O102" i="9"/>
  <c r="P102" i="9"/>
  <c r="Q102" i="9"/>
  <c r="S102" i="9"/>
  <c r="A101" i="9"/>
  <c r="S88" i="9"/>
  <c r="Q88" i="9"/>
  <c r="P88" i="9"/>
  <c r="AB88" i="9"/>
  <c r="O88" i="9"/>
  <c r="R77" i="9"/>
  <c r="V77" i="9" s="1"/>
  <c r="P72" i="9"/>
  <c r="Q72" i="9"/>
  <c r="S72" i="9"/>
  <c r="O72" i="9"/>
  <c r="AE68" i="9"/>
  <c r="O68" i="9"/>
  <c r="P68" i="9"/>
  <c r="Q68" i="9"/>
  <c r="S68" i="9"/>
  <c r="AG68" i="9"/>
  <c r="AA68" i="9"/>
  <c r="AB68" i="9"/>
  <c r="S178" i="7"/>
  <c r="AA183" i="7"/>
  <c r="AA184" i="7"/>
  <c r="N136" i="8"/>
  <c r="N195" i="8" s="1"/>
  <c r="R26" i="8"/>
  <c r="V26" i="8" s="1"/>
  <c r="V16" i="8"/>
  <c r="F93" i="8"/>
  <c r="F136" i="8" s="1"/>
  <c r="W24" i="9"/>
  <c r="AE142" i="9"/>
  <c r="AB142" i="9"/>
  <c r="Q142" i="9"/>
  <c r="O142" i="9"/>
  <c r="AA142" i="9"/>
  <c r="AG142" i="9"/>
  <c r="P142" i="9"/>
  <c r="S142" i="9"/>
  <c r="R113" i="9"/>
  <c r="V113" i="9" s="1"/>
  <c r="O69" i="9"/>
  <c r="AE69" i="9"/>
  <c r="AB69" i="9"/>
  <c r="S69" i="9"/>
  <c r="Q69" i="9"/>
  <c r="AA69" i="9"/>
  <c r="AG69" i="9"/>
  <c r="P69" i="9"/>
  <c r="AB57" i="9"/>
  <c r="K59" i="9"/>
  <c r="AE57" i="9"/>
  <c r="S57" i="9"/>
  <c r="O57" i="9"/>
  <c r="P57" i="9"/>
  <c r="Q57" i="9"/>
  <c r="AG57" i="9"/>
  <c r="AA57" i="9"/>
  <c r="AE52" i="9"/>
  <c r="O52" i="9"/>
  <c r="AA52" i="9"/>
  <c r="P52" i="9"/>
  <c r="S52" i="9"/>
  <c r="AB52" i="9"/>
  <c r="Q52" i="9"/>
  <c r="AG52" i="9"/>
  <c r="AA29" i="9"/>
  <c r="K45" i="9"/>
  <c r="Q29" i="9"/>
  <c r="O29" i="9"/>
  <c r="P29" i="9"/>
  <c r="S29" i="9"/>
  <c r="AB29" i="9"/>
  <c r="AE29" i="9"/>
  <c r="AG29" i="9"/>
  <c r="R152" i="9"/>
  <c r="V152" i="9" s="1"/>
  <c r="AB112" i="9"/>
  <c r="O112" i="9"/>
  <c r="AE112" i="9"/>
  <c r="AA112" i="9"/>
  <c r="S112" i="9"/>
  <c r="Q112" i="9"/>
  <c r="P112" i="9"/>
  <c r="AG112" i="9"/>
  <c r="AE107" i="9"/>
  <c r="AB107" i="9"/>
  <c r="Q107" i="9"/>
  <c r="O107" i="9"/>
  <c r="AA107" i="9"/>
  <c r="AG107" i="9"/>
  <c r="P107" i="9"/>
  <c r="S107" i="9"/>
  <c r="U105" i="9"/>
  <c r="W105" i="9" s="1"/>
  <c r="S101" i="9"/>
  <c r="AG101" i="9"/>
  <c r="AE101" i="9"/>
  <c r="O101" i="9"/>
  <c r="AA101" i="9"/>
  <c r="AB101" i="9"/>
  <c r="P101" i="9"/>
  <c r="Q101" i="9"/>
  <c r="K109" i="9"/>
  <c r="K54" i="9"/>
  <c r="AA38" i="9"/>
  <c r="AE38" i="9"/>
  <c r="Q38" i="9"/>
  <c r="AB38" i="9"/>
  <c r="P38" i="9"/>
  <c r="O38" i="9"/>
  <c r="S38" i="9"/>
  <c r="AG38" i="9"/>
  <c r="P169" i="9"/>
  <c r="AG169" i="9"/>
  <c r="O169" i="9"/>
  <c r="AB169" i="9"/>
  <c r="S169" i="9"/>
  <c r="AA169" i="9"/>
  <c r="AE169" i="9"/>
  <c r="Q169" i="9"/>
  <c r="P125" i="9"/>
  <c r="AG117" i="9"/>
  <c r="S117" i="9"/>
  <c r="AE117" i="9"/>
  <c r="AB117" i="9"/>
  <c r="Q117" i="9"/>
  <c r="AA117" i="9"/>
  <c r="P117" i="9"/>
  <c r="O117" i="9"/>
  <c r="AG37" i="9"/>
  <c r="AA37" i="9"/>
  <c r="S37" i="9"/>
  <c r="P37" i="9"/>
  <c r="AE37" i="9"/>
  <c r="O37" i="9"/>
  <c r="AB37" i="9"/>
  <c r="Q37" i="9"/>
  <c r="O35" i="9"/>
  <c r="AG35" i="9"/>
  <c r="S35" i="9"/>
  <c r="AE35" i="9"/>
  <c r="AB35" i="9"/>
  <c r="Q35" i="9"/>
  <c r="AA35" i="9"/>
  <c r="P35" i="9"/>
  <c r="AB33" i="9"/>
  <c r="Q33" i="9"/>
  <c r="AE33" i="9"/>
  <c r="O33" i="9"/>
  <c r="AA33" i="9"/>
  <c r="P33" i="9"/>
  <c r="S33" i="9"/>
  <c r="AG33" i="9"/>
  <c r="O31" i="9"/>
  <c r="AG31" i="9"/>
  <c r="AA31" i="9"/>
  <c r="AE31" i="9"/>
  <c r="P31" i="9"/>
  <c r="AB31" i="9"/>
  <c r="S31" i="9"/>
  <c r="Q31" i="9"/>
  <c r="AA116" i="9"/>
  <c r="AE116" i="9"/>
  <c r="P116" i="9"/>
  <c r="Q116" i="9"/>
  <c r="AB116" i="9"/>
  <c r="O116" i="9"/>
  <c r="S116" i="9"/>
  <c r="AG116" i="9"/>
  <c r="AG103" i="9"/>
  <c r="S103" i="9"/>
  <c r="AB103" i="9"/>
  <c r="Q103" i="9"/>
  <c r="AE103" i="9"/>
  <c r="AA103" i="9"/>
  <c r="P103" i="9"/>
  <c r="O103" i="9"/>
  <c r="U80" i="9"/>
  <c r="W80" i="9" s="1"/>
  <c r="R75" i="9"/>
  <c r="V75" i="9" s="1"/>
  <c r="AB65" i="9"/>
  <c r="Q65" i="9"/>
  <c r="AE65" i="9"/>
  <c r="P65" i="9"/>
  <c r="O65" i="9"/>
  <c r="AG65" i="9"/>
  <c r="S65" i="9"/>
  <c r="AA65" i="9"/>
  <c r="U24" i="9"/>
  <c r="W13" i="9"/>
  <c r="W16" i="9" s="1"/>
  <c r="U16" i="9"/>
  <c r="G195" i="9"/>
  <c r="G199" i="9" s="1"/>
  <c r="G200" i="9" s="1"/>
  <c r="R112" i="8"/>
  <c r="V112" i="8" s="1"/>
  <c r="U134" i="8"/>
  <c r="W134" i="8" s="1"/>
  <c r="U84" i="8"/>
  <c r="W84" i="8" s="1"/>
  <c r="O177" i="8"/>
  <c r="R153" i="8"/>
  <c r="V153" i="8" s="1"/>
  <c r="R106" i="8"/>
  <c r="V106" i="8" s="1"/>
  <c r="U113" i="8"/>
  <c r="W113" i="8" s="1"/>
  <c r="U48" i="8"/>
  <c r="W48" i="8" s="1"/>
  <c r="K55" i="8"/>
  <c r="AA55" i="8" s="1"/>
  <c r="R190" i="8"/>
  <c r="V190" i="8" s="1"/>
  <c r="U108" i="8"/>
  <c r="W108" i="8" s="1"/>
  <c r="R102" i="8"/>
  <c r="V102" i="8" s="1"/>
  <c r="U34" i="8"/>
  <c r="W34" i="8" s="1"/>
  <c r="S125" i="8"/>
  <c r="R100" i="8"/>
  <c r="V100" i="8" s="1"/>
  <c r="R142" i="8"/>
  <c r="V142" i="8" s="1"/>
  <c r="R44" i="8"/>
  <c r="V44" i="8" s="1"/>
  <c r="R107" i="8"/>
  <c r="V107" i="8" s="1"/>
  <c r="AA135" i="8"/>
  <c r="R30" i="8"/>
  <c r="V30" i="8" s="1"/>
  <c r="R145" i="8"/>
  <c r="V145" i="8" s="1"/>
  <c r="U47" i="8"/>
  <c r="W47" i="8" s="1"/>
  <c r="R85" i="8"/>
  <c r="V85" i="8" s="1"/>
  <c r="R160" i="8"/>
  <c r="V160" i="8" s="1"/>
  <c r="U72" i="8"/>
  <c r="W72" i="8" s="1"/>
  <c r="R35" i="8"/>
  <c r="V35" i="8" s="1"/>
  <c r="AE81" i="8"/>
  <c r="P177" i="8"/>
  <c r="R58" i="8"/>
  <c r="V58" i="8" s="1"/>
  <c r="AE184" i="8"/>
  <c r="R180" i="8"/>
  <c r="V180" i="8" s="1"/>
  <c r="AB184" i="8"/>
  <c r="R150" i="8"/>
  <c r="V150" i="8" s="1"/>
  <c r="R47" i="8"/>
  <c r="V47" i="8" s="1"/>
  <c r="R16" i="8"/>
  <c r="U61" i="8"/>
  <c r="W61" i="8" s="1"/>
  <c r="R172" i="8"/>
  <c r="V172" i="8" s="1"/>
  <c r="R189" i="8"/>
  <c r="V189" i="8" s="1"/>
  <c r="S177" i="8"/>
  <c r="R154" i="8"/>
  <c r="V154" i="8" s="1"/>
  <c r="U52" i="8"/>
  <c r="W52" i="8" s="1"/>
  <c r="R48" i="8"/>
  <c r="V48" i="8" s="1"/>
  <c r="U153" i="8"/>
  <c r="W153" i="8" s="1"/>
  <c r="O125" i="8"/>
  <c r="AE54" i="8"/>
  <c r="U158" i="8"/>
  <c r="W158" i="8" s="1"/>
  <c r="U186" i="8"/>
  <c r="W186" i="8" s="1"/>
  <c r="R181" i="8"/>
  <c r="V181" i="8" s="1"/>
  <c r="Q177" i="8"/>
  <c r="U149" i="8"/>
  <c r="W149" i="8" s="1"/>
  <c r="R128" i="8"/>
  <c r="V128" i="8" s="1"/>
  <c r="S155" i="8"/>
  <c r="R99" i="8"/>
  <c r="V99" i="8" s="1"/>
  <c r="U66" i="8"/>
  <c r="W66" i="8" s="1"/>
  <c r="U76" i="8"/>
  <c r="W76" i="8" s="1"/>
  <c r="S54" i="8"/>
  <c r="R87" i="8"/>
  <c r="V87" i="8" s="1"/>
  <c r="U16" i="8"/>
  <c r="R171" i="8"/>
  <c r="V171" i="8" s="1"/>
  <c r="U146" i="8"/>
  <c r="W146" i="8" s="1"/>
  <c r="U142" i="8"/>
  <c r="W142" i="8" s="1"/>
  <c r="U128" i="8"/>
  <c r="W128" i="8" s="1"/>
  <c r="U171" i="8"/>
  <c r="W171" i="8" s="1"/>
  <c r="R43" i="8"/>
  <c r="V43" i="8" s="1"/>
  <c r="U169" i="8"/>
  <c r="W169" i="8" s="1"/>
  <c r="R143" i="8"/>
  <c r="V143" i="8" s="1"/>
  <c r="R129" i="8"/>
  <c r="V129" i="8" s="1"/>
  <c r="U124" i="8"/>
  <c r="W124" i="8" s="1"/>
  <c r="U120" i="8"/>
  <c r="W120" i="8" s="1"/>
  <c r="R152" i="8"/>
  <c r="V152" i="8" s="1"/>
  <c r="R64" i="8"/>
  <c r="V64" i="8" s="1"/>
  <c r="R84" i="8"/>
  <c r="V84" i="8" s="1"/>
  <c r="U71" i="8"/>
  <c r="W71" i="8" s="1"/>
  <c r="R69" i="8"/>
  <c r="V69" i="8" s="1"/>
  <c r="S59" i="8"/>
  <c r="R50" i="8"/>
  <c r="V50" i="8" s="1"/>
  <c r="AA92" i="8"/>
  <c r="U80" i="8"/>
  <c r="W80" i="8" s="1"/>
  <c r="U190" i="8"/>
  <c r="W190" i="8" s="1"/>
  <c r="R149" i="8"/>
  <c r="U180" i="8"/>
  <c r="W180" i="8" s="1"/>
  <c r="U160" i="8"/>
  <c r="W160" i="8" s="1"/>
  <c r="R124" i="8"/>
  <c r="V124" i="8" s="1"/>
  <c r="U51" i="8"/>
  <c r="W51" i="8" s="1"/>
  <c r="P54" i="8"/>
  <c r="R182" i="8"/>
  <c r="V182" i="8" s="1"/>
  <c r="R130" i="8"/>
  <c r="V130" i="8" s="1"/>
  <c r="R167" i="8"/>
  <c r="V167" i="8" s="1"/>
  <c r="R163" i="8"/>
  <c r="V163" i="8" s="1"/>
  <c r="R131" i="8"/>
  <c r="V131" i="8" s="1"/>
  <c r="U74" i="8"/>
  <c r="W74" i="8" s="1"/>
  <c r="R74" i="8"/>
  <c r="V74" i="8" s="1"/>
  <c r="U183" i="8"/>
  <c r="W183" i="8" s="1"/>
  <c r="R108" i="8"/>
  <c r="V108" i="8" s="1"/>
  <c r="U78" i="8"/>
  <c r="W78" i="8" s="1"/>
  <c r="U91" i="8"/>
  <c r="W91" i="8" s="1"/>
  <c r="R86" i="8"/>
  <c r="V86" i="8" s="1"/>
  <c r="U62" i="8"/>
  <c r="W62" i="8" s="1"/>
  <c r="P59" i="8"/>
  <c r="R37" i="8"/>
  <c r="V37" i="8" s="1"/>
  <c r="U32" i="8"/>
  <c r="W32" i="8" s="1"/>
  <c r="P184" i="8"/>
  <c r="U162" i="8"/>
  <c r="W162" i="8" s="1"/>
  <c r="U144" i="8"/>
  <c r="W144" i="8" s="1"/>
  <c r="U88" i="8"/>
  <c r="W88" i="8" s="1"/>
  <c r="R151" i="8"/>
  <c r="V151" i="8" s="1"/>
  <c r="U103" i="8"/>
  <c r="W103" i="8" s="1"/>
  <c r="R119" i="8"/>
  <c r="V119" i="8" s="1"/>
  <c r="U172" i="8"/>
  <c r="W172" i="8" s="1"/>
  <c r="R188" i="8"/>
  <c r="V188" i="8" s="1"/>
  <c r="AE193" i="8"/>
  <c r="U152" i="8"/>
  <c r="W152" i="8" s="1"/>
  <c r="U118" i="8"/>
  <c r="W118" i="8" s="1"/>
  <c r="O45" i="8"/>
  <c r="R187" i="8"/>
  <c r="V187" i="8" s="1"/>
  <c r="I194" i="8"/>
  <c r="R61" i="8"/>
  <c r="V61" i="8" s="1"/>
  <c r="R51" i="8"/>
  <c r="V51" i="8" s="1"/>
  <c r="U37" i="8"/>
  <c r="W37" i="8" s="1"/>
  <c r="U130" i="8"/>
  <c r="W130" i="8" s="1"/>
  <c r="U119" i="8"/>
  <c r="W119" i="8" s="1"/>
  <c r="AG193" i="8"/>
  <c r="U151" i="8"/>
  <c r="W151" i="8" s="1"/>
  <c r="S193" i="8"/>
  <c r="Q193" i="8"/>
  <c r="S184" i="8"/>
  <c r="F194" i="8"/>
  <c r="U77" i="8"/>
  <c r="W77" i="8" s="1"/>
  <c r="S81" i="8"/>
  <c r="R77" i="8"/>
  <c r="V77" i="8" s="1"/>
  <c r="Q109" i="8"/>
  <c r="P109" i="8"/>
  <c r="R79" i="8"/>
  <c r="V79" i="8" s="1"/>
  <c r="R90" i="8"/>
  <c r="V90" i="8" s="1"/>
  <c r="AE135" i="8"/>
  <c r="U43" i="8"/>
  <c r="W43" i="8" s="1"/>
  <c r="U106" i="8"/>
  <c r="W106" i="8" s="1"/>
  <c r="U49" i="8"/>
  <c r="W49" i="8" s="1"/>
  <c r="AB92" i="8"/>
  <c r="R49" i="8"/>
  <c r="V49" i="8" s="1"/>
  <c r="R113" i="8"/>
  <c r="V113" i="8" s="1"/>
  <c r="R75" i="8"/>
  <c r="V75" i="8" s="1"/>
  <c r="P81" i="8"/>
  <c r="AB155" i="8"/>
  <c r="S45" i="8"/>
  <c r="U58" i="8"/>
  <c r="W58" i="8" s="1"/>
  <c r="U38" i="8"/>
  <c r="W38" i="8" s="1"/>
  <c r="AB125" i="8"/>
  <c r="AE125" i="8"/>
  <c r="U167" i="8"/>
  <c r="W167" i="8" s="1"/>
  <c r="U96" i="8"/>
  <c r="W96" i="8" s="1"/>
  <c r="U181" i="8"/>
  <c r="W181" i="8" s="1"/>
  <c r="R162" i="8"/>
  <c r="V162" i="8" s="1"/>
  <c r="U179" i="8"/>
  <c r="W179" i="8" s="1"/>
  <c r="U131" i="8"/>
  <c r="W131" i="8" s="1"/>
  <c r="AG81" i="8"/>
  <c r="R78" i="8"/>
  <c r="V78" i="8" s="1"/>
  <c r="AB135" i="8"/>
  <c r="R76" i="8"/>
  <c r="V76" i="8" s="1"/>
  <c r="G55" i="8"/>
  <c r="P45" i="8"/>
  <c r="R118" i="8"/>
  <c r="V118" i="8" s="1"/>
  <c r="K93" i="8"/>
  <c r="AG93" i="8" s="1"/>
  <c r="U29" i="8"/>
  <c r="W29" i="8" s="1"/>
  <c r="U30" i="8"/>
  <c r="W30" i="8" s="1"/>
  <c r="AA155" i="8"/>
  <c r="P125" i="8"/>
  <c r="R192" i="8"/>
  <c r="V192" i="8" s="1"/>
  <c r="U188" i="8"/>
  <c r="W188" i="8" s="1"/>
  <c r="O184" i="8"/>
  <c r="U192" i="8"/>
  <c r="W192" i="8" s="1"/>
  <c r="R183" i="8"/>
  <c r="V183" i="8" s="1"/>
  <c r="U170" i="8"/>
  <c r="W170" i="8" s="1"/>
  <c r="U159" i="8"/>
  <c r="W159" i="8" s="1"/>
  <c r="U132" i="8"/>
  <c r="W132" i="8" s="1"/>
  <c r="U168" i="8"/>
  <c r="W168" i="8" s="1"/>
  <c r="R123" i="8"/>
  <c r="V123" i="8" s="1"/>
  <c r="U112" i="8"/>
  <c r="W112" i="8" s="1"/>
  <c r="R103" i="8"/>
  <c r="V103" i="8" s="1"/>
  <c r="P121" i="8"/>
  <c r="R73" i="8"/>
  <c r="V73" i="8" s="1"/>
  <c r="R52" i="8"/>
  <c r="V52" i="8" s="1"/>
  <c r="I93" i="8"/>
  <c r="R32" i="8"/>
  <c r="V32" i="8" s="1"/>
  <c r="Q45" i="8"/>
  <c r="U36" i="8"/>
  <c r="W36" i="8" s="1"/>
  <c r="AG92" i="8"/>
  <c r="AA54" i="8"/>
  <c r="U35" i="8"/>
  <c r="W35" i="8" s="1"/>
  <c r="U115" i="8"/>
  <c r="W115" i="8" s="1"/>
  <c r="U87" i="8"/>
  <c r="W87" i="8" s="1"/>
  <c r="U67" i="8"/>
  <c r="W67" i="8" s="1"/>
  <c r="AA81" i="8"/>
  <c r="U53" i="8"/>
  <c r="W53" i="8" s="1"/>
  <c r="O54" i="8"/>
  <c r="U145" i="8"/>
  <c r="W145" i="8" s="1"/>
  <c r="O198" i="8"/>
  <c r="U64" i="8"/>
  <c r="W64" i="8" s="1"/>
  <c r="R88" i="8"/>
  <c r="V88" i="8" s="1"/>
  <c r="U102" i="8"/>
  <c r="W102" i="8" s="1"/>
  <c r="U85" i="8"/>
  <c r="W85" i="8" s="1"/>
  <c r="U33" i="8"/>
  <c r="W33" i="8" s="1"/>
  <c r="AB93" i="8"/>
  <c r="N199" i="8"/>
  <c r="R170" i="8"/>
  <c r="V170" i="8" s="1"/>
  <c r="AB177" i="8"/>
  <c r="AA177" i="8"/>
  <c r="AG177" i="8"/>
  <c r="AE177" i="8"/>
  <c r="S135" i="8"/>
  <c r="AB121" i="8"/>
  <c r="AA121" i="8"/>
  <c r="AG121" i="8"/>
  <c r="AE121" i="8"/>
  <c r="K194" i="8"/>
  <c r="AG147" i="8"/>
  <c r="AE147" i="8"/>
  <c r="AB147" i="8"/>
  <c r="AA147" i="8"/>
  <c r="P164" i="8"/>
  <c r="U116" i="8"/>
  <c r="W116" i="8" s="1"/>
  <c r="Q92" i="8"/>
  <c r="G93" i="8"/>
  <c r="U166" i="8"/>
  <c r="U65" i="8"/>
  <c r="W65" i="8" s="1"/>
  <c r="S121" i="8"/>
  <c r="R62" i="8"/>
  <c r="V62" i="8" s="1"/>
  <c r="O147" i="8"/>
  <c r="R141" i="8"/>
  <c r="AA109" i="8"/>
  <c r="AE109" i="8"/>
  <c r="AB109" i="8"/>
  <c r="AG109" i="8"/>
  <c r="O164" i="8"/>
  <c r="Q164" i="8"/>
  <c r="AE59" i="8"/>
  <c r="AB59" i="8"/>
  <c r="AA59" i="8"/>
  <c r="AG59" i="8"/>
  <c r="R115" i="8"/>
  <c r="V115" i="8" s="1"/>
  <c r="P92" i="8"/>
  <c r="R117" i="8"/>
  <c r="AE97" i="8"/>
  <c r="AB97" i="8"/>
  <c r="AA97" i="8"/>
  <c r="AG97" i="8"/>
  <c r="O81" i="8"/>
  <c r="R91" i="8"/>
  <c r="V91" i="8" s="1"/>
  <c r="Q184" i="8"/>
  <c r="R166" i="8"/>
  <c r="R159" i="8"/>
  <c r="V159" i="8" s="1"/>
  <c r="P155" i="8"/>
  <c r="R168" i="8"/>
  <c r="V168" i="8" s="1"/>
  <c r="R120" i="8"/>
  <c r="V120" i="8" s="1"/>
  <c r="R146" i="8"/>
  <c r="V146" i="8" s="1"/>
  <c r="U111" i="8"/>
  <c r="S97" i="8"/>
  <c r="U70" i="8"/>
  <c r="W70" i="8" s="1"/>
  <c r="P135" i="8"/>
  <c r="Q121" i="8"/>
  <c r="R105" i="8"/>
  <c r="V105" i="8" s="1"/>
  <c r="U86" i="8"/>
  <c r="W86" i="8" s="1"/>
  <c r="U73" i="8"/>
  <c r="W73" i="8" s="1"/>
  <c r="R68" i="8"/>
  <c r="V68" i="8" s="1"/>
  <c r="U68" i="8"/>
  <c r="W68" i="8" s="1"/>
  <c r="S147" i="8"/>
  <c r="U141" i="8"/>
  <c r="AB54" i="8"/>
  <c r="S164" i="8"/>
  <c r="U69" i="8"/>
  <c r="W69" i="8" s="1"/>
  <c r="O59" i="8"/>
  <c r="R57" i="8"/>
  <c r="AG54" i="8"/>
  <c r="U24" i="8"/>
  <c r="W18" i="8"/>
  <c r="W24" i="8" s="1"/>
  <c r="U44" i="8"/>
  <c r="W44" i="8" s="1"/>
  <c r="R96" i="8"/>
  <c r="V96" i="8" s="1"/>
  <c r="O92" i="8"/>
  <c r="U83" i="8"/>
  <c r="U75" i="8"/>
  <c r="W75" i="8" s="1"/>
  <c r="R36" i="8"/>
  <c r="V36" i="8" s="1"/>
  <c r="AE45" i="8"/>
  <c r="AB45" i="8"/>
  <c r="AA45" i="8"/>
  <c r="AG45" i="8"/>
  <c r="U26" i="8"/>
  <c r="Q198" i="8"/>
  <c r="U187" i="8"/>
  <c r="W187" i="8" s="1"/>
  <c r="O109" i="8"/>
  <c r="U99" i="8"/>
  <c r="AB81" i="8"/>
  <c r="Q147" i="8"/>
  <c r="U90" i="8"/>
  <c r="W90" i="8" s="1"/>
  <c r="AE164" i="8"/>
  <c r="AB164" i="8"/>
  <c r="AA164" i="8"/>
  <c r="AG164" i="8"/>
  <c r="U50" i="8"/>
  <c r="W50" i="8" s="1"/>
  <c r="R71" i="8"/>
  <c r="V71" i="8" s="1"/>
  <c r="R31" i="8"/>
  <c r="V31" i="8" s="1"/>
  <c r="R27" i="8"/>
  <c r="V27" i="8" s="1"/>
  <c r="V18" i="8"/>
  <c r="V24" i="8" s="1"/>
  <c r="R24" i="8"/>
  <c r="U117" i="8"/>
  <c r="U182" i="8"/>
  <c r="W182" i="8" s="1"/>
  <c r="O193" i="8"/>
  <c r="R161" i="8"/>
  <c r="V161" i="8" s="1"/>
  <c r="U161" i="8"/>
  <c r="W161" i="8" s="1"/>
  <c r="U129" i="8"/>
  <c r="W129" i="8" s="1"/>
  <c r="U154" i="8"/>
  <c r="W154" i="8" s="1"/>
  <c r="U89" i="8"/>
  <c r="W89" i="8" s="1"/>
  <c r="Q135" i="8"/>
  <c r="Q81" i="8"/>
  <c r="P147" i="8"/>
  <c r="R157" i="8"/>
  <c r="S92" i="8"/>
  <c r="U31" i="8"/>
  <c r="W31" i="8" s="1"/>
  <c r="U189" i="8"/>
  <c r="W189" i="8" s="1"/>
  <c r="R179" i="8"/>
  <c r="R191" i="8"/>
  <c r="V191" i="8" s="1"/>
  <c r="U191" i="8"/>
  <c r="W191" i="8" s="1"/>
  <c r="U163" i="8"/>
  <c r="W163" i="8" s="1"/>
  <c r="P193" i="8"/>
  <c r="U143" i="8"/>
  <c r="W143" i="8" s="1"/>
  <c r="Q155" i="8"/>
  <c r="U150" i="8"/>
  <c r="W150" i="8" s="1"/>
  <c r="Q125" i="8"/>
  <c r="R127" i="8"/>
  <c r="O121" i="8"/>
  <c r="R111" i="8"/>
  <c r="U107" i="8"/>
  <c r="W107" i="8" s="1"/>
  <c r="S109" i="8"/>
  <c r="O97" i="8"/>
  <c r="U95" i="8"/>
  <c r="R66" i="8"/>
  <c r="V66" i="8" s="1"/>
  <c r="G194" i="8"/>
  <c r="O135" i="8"/>
  <c r="U127" i="8"/>
  <c r="R70" i="8"/>
  <c r="V70" i="8" s="1"/>
  <c r="R65" i="8"/>
  <c r="V65" i="8" s="1"/>
  <c r="U105" i="8"/>
  <c r="W105" i="8" s="1"/>
  <c r="U123" i="8"/>
  <c r="R101" i="8"/>
  <c r="V101" i="8" s="1"/>
  <c r="U101" i="8"/>
  <c r="W101" i="8" s="1"/>
  <c r="Q54" i="8"/>
  <c r="V29" i="8"/>
  <c r="U157" i="8"/>
  <c r="O155" i="8"/>
  <c r="U57" i="8"/>
  <c r="R53" i="8"/>
  <c r="V53" i="8" s="1"/>
  <c r="R83" i="8"/>
  <c r="R67" i="8"/>
  <c r="V67" i="8" s="1"/>
  <c r="U27" i="8"/>
  <c r="W27" i="8" s="1"/>
  <c r="S198" i="8"/>
  <c r="P198" i="8"/>
  <c r="R80" i="8"/>
  <c r="V80" i="8" s="1"/>
  <c r="AH16" i="8"/>
  <c r="W16" i="8"/>
  <c r="N186" i="7"/>
  <c r="F185" i="7"/>
  <c r="F117" i="7"/>
  <c r="R22" i="7"/>
  <c r="V22" i="7" s="1"/>
  <c r="O24" i="7"/>
  <c r="O16" i="7"/>
  <c r="F16" i="7"/>
  <c r="P16" i="7"/>
  <c r="R14" i="7"/>
  <c r="V14" i="7" s="1"/>
  <c r="AA37" i="7"/>
  <c r="AE100" i="7"/>
  <c r="AA24" i="7"/>
  <c r="AB24" i="7"/>
  <c r="AG24" i="7"/>
  <c r="AE24" i="7"/>
  <c r="I24" i="7"/>
  <c r="V18" i="7"/>
  <c r="AE31" i="7"/>
  <c r="AE36" i="7"/>
  <c r="AE45" i="7"/>
  <c r="AE49" i="7"/>
  <c r="F50" i="7"/>
  <c r="AA62" i="7"/>
  <c r="P62" i="7"/>
  <c r="AG62" i="7"/>
  <c r="S62" i="7"/>
  <c r="O62" i="7"/>
  <c r="P74" i="7"/>
  <c r="S74" i="7"/>
  <c r="O74" i="7"/>
  <c r="AA104" i="7"/>
  <c r="P104" i="7"/>
  <c r="AG104" i="7"/>
  <c r="S104" i="7"/>
  <c r="O104" i="7"/>
  <c r="AB104" i="7"/>
  <c r="Q104" i="7"/>
  <c r="AA157" i="7"/>
  <c r="P157" i="7"/>
  <c r="AG157" i="7"/>
  <c r="S157" i="7"/>
  <c r="O157" i="7"/>
  <c r="AB157" i="7"/>
  <c r="Q157" i="7"/>
  <c r="O30" i="7"/>
  <c r="S30" i="7"/>
  <c r="O36" i="7"/>
  <c r="S36" i="7"/>
  <c r="AG36" i="7"/>
  <c r="AE37" i="7"/>
  <c r="AA43" i="7"/>
  <c r="O49" i="7"/>
  <c r="Q62" i="7"/>
  <c r="Q74" i="7"/>
  <c r="AB99" i="7"/>
  <c r="Q99" i="7"/>
  <c r="AA99" i="7"/>
  <c r="P99" i="7"/>
  <c r="AE99" i="7"/>
  <c r="O99" i="7"/>
  <c r="AG99" i="7"/>
  <c r="AG181" i="7"/>
  <c r="S181" i="7"/>
  <c r="O181" i="7"/>
  <c r="AB181" i="7"/>
  <c r="Q181" i="7"/>
  <c r="AA181" i="7"/>
  <c r="P181" i="7"/>
  <c r="AE181" i="7"/>
  <c r="U13" i="7"/>
  <c r="AA13" i="7"/>
  <c r="U18" i="7"/>
  <c r="Q26" i="7"/>
  <c r="AB26" i="7"/>
  <c r="Q27" i="7"/>
  <c r="AB27" i="7"/>
  <c r="P30" i="7"/>
  <c r="P31" i="7"/>
  <c r="AA31" i="7"/>
  <c r="O32" i="7"/>
  <c r="S32" i="7"/>
  <c r="AG32" i="7"/>
  <c r="Q35" i="7"/>
  <c r="AB35" i="7"/>
  <c r="P36" i="7"/>
  <c r="AA36" i="7"/>
  <c r="O37" i="7"/>
  <c r="S37" i="7"/>
  <c r="AG37" i="7"/>
  <c r="AE38" i="7"/>
  <c r="Q39" i="7"/>
  <c r="P40" i="7"/>
  <c r="Q43" i="7"/>
  <c r="AB43" i="7"/>
  <c r="P44" i="7"/>
  <c r="P45" i="7"/>
  <c r="AA45" i="7"/>
  <c r="O46" i="7"/>
  <c r="S46" i="7"/>
  <c r="AG46" i="7"/>
  <c r="Q48" i="7"/>
  <c r="AB48" i="7"/>
  <c r="P49" i="7"/>
  <c r="AA49" i="7"/>
  <c r="O53" i="7"/>
  <c r="S53" i="7"/>
  <c r="S55" i="7" s="1"/>
  <c r="AG53" i="7"/>
  <c r="AB61" i="7"/>
  <c r="Q61" i="7"/>
  <c r="AA61" i="7"/>
  <c r="P61" i="7"/>
  <c r="AB62" i="7"/>
  <c r="S66" i="7"/>
  <c r="AA70" i="7"/>
  <c r="P70" i="7"/>
  <c r="AG70" i="7"/>
  <c r="S70" i="7"/>
  <c r="O70" i="7"/>
  <c r="F88" i="7"/>
  <c r="P80" i="7"/>
  <c r="S80" i="7"/>
  <c r="O80" i="7"/>
  <c r="AB91" i="7"/>
  <c r="Q91" i="7"/>
  <c r="AA91" i="7"/>
  <c r="P91" i="7"/>
  <c r="P93" i="7" s="1"/>
  <c r="S95" i="7"/>
  <c r="S99" i="7"/>
  <c r="G117" i="7"/>
  <c r="AA112" i="7"/>
  <c r="P112" i="7"/>
  <c r="AG112" i="7"/>
  <c r="S112" i="7"/>
  <c r="O112" i="7"/>
  <c r="AE112" i="7"/>
  <c r="AB112" i="7"/>
  <c r="AE104" i="7"/>
  <c r="AB110" i="7"/>
  <c r="Q110" i="7"/>
  <c r="AA110" i="7"/>
  <c r="P110" i="7"/>
  <c r="AG110" i="7"/>
  <c r="S110" i="7"/>
  <c r="AE110" i="7"/>
  <c r="AA120" i="7"/>
  <c r="P120" i="7"/>
  <c r="AG120" i="7"/>
  <c r="S120" i="7"/>
  <c r="O120" i="7"/>
  <c r="AB120" i="7"/>
  <c r="Q120" i="7"/>
  <c r="Q121" i="7" s="1"/>
  <c r="AA125" i="7"/>
  <c r="P125" i="7"/>
  <c r="AG125" i="7"/>
  <c r="S125" i="7"/>
  <c r="O125" i="7"/>
  <c r="AB125" i="7"/>
  <c r="Q125" i="7"/>
  <c r="AB145" i="7"/>
  <c r="Q145" i="7"/>
  <c r="AA145" i="7"/>
  <c r="AE145" i="7"/>
  <c r="P145" i="7"/>
  <c r="S145" i="7"/>
  <c r="F169" i="7"/>
  <c r="G162" i="7"/>
  <c r="G169" i="7" s="1"/>
  <c r="O31" i="7"/>
  <c r="S31" i="7"/>
  <c r="AG31" i="7"/>
  <c r="AE32" i="7"/>
  <c r="O40" i="7"/>
  <c r="S40" i="7"/>
  <c r="O44" i="7"/>
  <c r="S44" i="7"/>
  <c r="O45" i="7"/>
  <c r="S45" i="7"/>
  <c r="AG45" i="7"/>
  <c r="AE46" i="7"/>
  <c r="S49" i="7"/>
  <c r="AG49" i="7"/>
  <c r="AE53" i="7"/>
  <c r="AA60" i="7"/>
  <c r="P60" i="7"/>
  <c r="AG60" i="7"/>
  <c r="S60" i="7"/>
  <c r="O60" i="7"/>
  <c r="AA81" i="7"/>
  <c r="P81" i="7"/>
  <c r="AG81" i="7"/>
  <c r="S81" i="7"/>
  <c r="O81" i="7"/>
  <c r="AB85" i="7"/>
  <c r="Q85" i="7"/>
  <c r="AA85" i="7"/>
  <c r="P85" i="7"/>
  <c r="F105" i="7"/>
  <c r="G95" i="7"/>
  <c r="G105" i="7" s="1"/>
  <c r="AA96" i="7"/>
  <c r="P96" i="7"/>
  <c r="AG96" i="7"/>
  <c r="Q96" i="7"/>
  <c r="AE96" i="7"/>
  <c r="O96" i="7"/>
  <c r="AB96" i="7"/>
  <c r="Q31" i="7"/>
  <c r="P32" i="7"/>
  <c r="Q36" i="7"/>
  <c r="P37" i="7"/>
  <c r="Q45" i="7"/>
  <c r="P46" i="7"/>
  <c r="Q49" i="7"/>
  <c r="P53" i="7"/>
  <c r="P55" i="7" s="1"/>
  <c r="AE58" i="7"/>
  <c r="AB58" i="7"/>
  <c r="R58" i="7"/>
  <c r="V58" i="7" s="1"/>
  <c r="AA58" i="7"/>
  <c r="G77" i="7"/>
  <c r="AB60" i="7"/>
  <c r="AE62" i="7"/>
  <c r="AB66" i="7"/>
  <c r="Q66" i="7"/>
  <c r="AA66" i="7"/>
  <c r="P66" i="7"/>
  <c r="Q68" i="7"/>
  <c r="P68" i="7"/>
  <c r="Q73" i="7"/>
  <c r="P73" i="7"/>
  <c r="G88" i="7"/>
  <c r="Q80" i="7"/>
  <c r="AB81" i="7"/>
  <c r="P84" i="7"/>
  <c r="AB84" i="7"/>
  <c r="S84" i="7"/>
  <c r="O84" i="7"/>
  <c r="AE85" i="7"/>
  <c r="O91" i="7"/>
  <c r="AB95" i="7"/>
  <c r="Q95" i="7"/>
  <c r="AA95" i="7"/>
  <c r="P95" i="7"/>
  <c r="S96" i="7"/>
  <c r="I117" i="7"/>
  <c r="AB115" i="7"/>
  <c r="Q115" i="7"/>
  <c r="AA115" i="7"/>
  <c r="P115" i="7"/>
  <c r="AG115" i="7"/>
  <c r="S115" i="7"/>
  <c r="AE115" i="7"/>
  <c r="AE128" i="7"/>
  <c r="Q128" i="7"/>
  <c r="AB128" i="7"/>
  <c r="P128" i="7"/>
  <c r="AG128" i="7"/>
  <c r="AA128" i="7"/>
  <c r="O128" i="7"/>
  <c r="AE130" i="7"/>
  <c r="Q130" i="7"/>
  <c r="AB130" i="7"/>
  <c r="P130" i="7"/>
  <c r="AG130" i="7"/>
  <c r="AA130" i="7"/>
  <c r="O130" i="7"/>
  <c r="AB138" i="7"/>
  <c r="Q138" i="7"/>
  <c r="AA138" i="7"/>
  <c r="P138" i="7"/>
  <c r="AG138" i="7"/>
  <c r="S138" i="7"/>
  <c r="AE138" i="7"/>
  <c r="N188" i="7"/>
  <c r="AG145" i="7"/>
  <c r="AE157" i="7"/>
  <c r="AE63" i="7"/>
  <c r="Q64" i="7"/>
  <c r="AB64" i="7"/>
  <c r="AE65" i="7"/>
  <c r="AE67" i="7"/>
  <c r="AE69" i="7"/>
  <c r="Q71" i="7"/>
  <c r="AB71" i="7"/>
  <c r="AE72" i="7"/>
  <c r="Q76" i="7"/>
  <c r="F77" i="7"/>
  <c r="AE79" i="7"/>
  <c r="AE82" i="7"/>
  <c r="Q83" i="7"/>
  <c r="AB83" i="7"/>
  <c r="AE87" i="7"/>
  <c r="AE92" i="7"/>
  <c r="Q98" i="7"/>
  <c r="P98" i="7"/>
  <c r="A97" i="7"/>
  <c r="AA111" i="7"/>
  <c r="P111" i="7"/>
  <c r="AG111" i="7"/>
  <c r="S111" i="7"/>
  <c r="O111" i="7"/>
  <c r="AA116" i="7"/>
  <c r="P116" i="7"/>
  <c r="AG116" i="7"/>
  <c r="S116" i="7"/>
  <c r="O116" i="7"/>
  <c r="F131" i="7"/>
  <c r="AB142" i="7"/>
  <c r="Q142" i="7"/>
  <c r="AA142" i="7"/>
  <c r="P142" i="7"/>
  <c r="F151" i="7"/>
  <c r="G145" i="7"/>
  <c r="G151" i="7" s="1"/>
  <c r="AA164" i="7"/>
  <c r="P164" i="7"/>
  <c r="AG164" i="7"/>
  <c r="S164" i="7"/>
  <c r="O164" i="7"/>
  <c r="AB164" i="7"/>
  <c r="Q164" i="7"/>
  <c r="AE164" i="7"/>
  <c r="AA168" i="7"/>
  <c r="P168" i="7"/>
  <c r="AG168" i="7"/>
  <c r="S168" i="7"/>
  <c r="O168" i="7"/>
  <c r="AE168" i="7"/>
  <c r="AB168" i="7"/>
  <c r="K169" i="7"/>
  <c r="G185" i="7"/>
  <c r="O63" i="7"/>
  <c r="S63" i="7"/>
  <c r="O65" i="7"/>
  <c r="R65" i="7" s="1"/>
  <c r="V65" i="7" s="1"/>
  <c r="S65" i="7"/>
  <c r="O67" i="7"/>
  <c r="S67" i="7"/>
  <c r="O69" i="7"/>
  <c r="S69" i="7"/>
  <c r="O72" i="7"/>
  <c r="S72" i="7"/>
  <c r="O75" i="7"/>
  <c r="U75" i="7" s="1"/>
  <c r="W75" i="7" s="1"/>
  <c r="O79" i="7"/>
  <c r="R79" i="7" s="1"/>
  <c r="S79" i="7"/>
  <c r="O82" i="7"/>
  <c r="S82" i="7"/>
  <c r="O87" i="7"/>
  <c r="S87" i="7"/>
  <c r="O92" i="7"/>
  <c r="S92" i="7"/>
  <c r="O98" i="7"/>
  <c r="AA100" i="7"/>
  <c r="P100" i="7"/>
  <c r="AG100" i="7"/>
  <c r="S100" i="7"/>
  <c r="O100" i="7"/>
  <c r="AB103" i="7"/>
  <c r="Q103" i="7"/>
  <c r="AA103" i="7"/>
  <c r="P103" i="7"/>
  <c r="AA107" i="7"/>
  <c r="P107" i="7"/>
  <c r="AG107" i="7"/>
  <c r="S107" i="7"/>
  <c r="O107" i="7"/>
  <c r="Q111" i="7"/>
  <c r="Q116" i="7"/>
  <c r="AA119" i="7"/>
  <c r="P119" i="7"/>
  <c r="AG119" i="7"/>
  <c r="S119" i="7"/>
  <c r="O119" i="7"/>
  <c r="G123" i="7"/>
  <c r="G131" i="7" s="1"/>
  <c r="AB124" i="7"/>
  <c r="Q124" i="7"/>
  <c r="AA124" i="7"/>
  <c r="P124" i="7"/>
  <c r="AA139" i="7"/>
  <c r="P139" i="7"/>
  <c r="AG139" i="7"/>
  <c r="S139" i="7"/>
  <c r="O139" i="7"/>
  <c r="O142" i="7"/>
  <c r="AA150" i="7"/>
  <c r="P150" i="7"/>
  <c r="AG150" i="7"/>
  <c r="S150" i="7"/>
  <c r="O150" i="7"/>
  <c r="AB150" i="7"/>
  <c r="Q150" i="7"/>
  <c r="AE150" i="7"/>
  <c r="Q168" i="7"/>
  <c r="AB176" i="7"/>
  <c r="AE101" i="7"/>
  <c r="Q102" i="7"/>
  <c r="AB102" i="7"/>
  <c r="AE108" i="7"/>
  <c r="Q109" i="7"/>
  <c r="AB109" i="7"/>
  <c r="K190" i="7"/>
  <c r="R34" i="10" s="1"/>
  <c r="AE113" i="7"/>
  <c r="Q114" i="7"/>
  <c r="AB114" i="7"/>
  <c r="Q123" i="7"/>
  <c r="AB123" i="7"/>
  <c r="AE126" i="7"/>
  <c r="Q127" i="7"/>
  <c r="AB127" i="7"/>
  <c r="AG129" i="7"/>
  <c r="Q137" i="7"/>
  <c r="AB137" i="7"/>
  <c r="Q141" i="7"/>
  <c r="AB141" i="7"/>
  <c r="H186" i="7"/>
  <c r="S149" i="7"/>
  <c r="AA153" i="7"/>
  <c r="P153" i="7"/>
  <c r="AG153" i="7"/>
  <c r="S153" i="7"/>
  <c r="O153" i="7"/>
  <c r="S156" i="7"/>
  <c r="S163" i="7"/>
  <c r="AB167" i="7"/>
  <c r="Q167" i="7"/>
  <c r="AA167" i="7"/>
  <c r="P167" i="7"/>
  <c r="O101" i="7"/>
  <c r="S101" i="7"/>
  <c r="S108" i="7"/>
  <c r="O113" i="7"/>
  <c r="R113" i="7" s="1"/>
  <c r="S113" i="7"/>
  <c r="AG113" i="7"/>
  <c r="AE123" i="7"/>
  <c r="O126" i="7"/>
  <c r="S126" i="7"/>
  <c r="O129" i="7"/>
  <c r="S129" i="7"/>
  <c r="E186" i="7"/>
  <c r="T186" i="7"/>
  <c r="AA146" i="7"/>
  <c r="P146" i="7"/>
  <c r="AG146" i="7"/>
  <c r="S146" i="7"/>
  <c r="O146" i="7"/>
  <c r="AB149" i="7"/>
  <c r="Q149" i="7"/>
  <c r="AA149" i="7"/>
  <c r="P149" i="7"/>
  <c r="AB156" i="7"/>
  <c r="Q156" i="7"/>
  <c r="AA156" i="7"/>
  <c r="P156" i="7"/>
  <c r="AB163" i="7"/>
  <c r="Q163" i="7"/>
  <c r="AA163" i="7"/>
  <c r="P163" i="7"/>
  <c r="O167" i="7"/>
  <c r="AE147" i="7"/>
  <c r="Q148" i="7"/>
  <c r="AB148" i="7"/>
  <c r="AE154" i="7"/>
  <c r="AB155" i="7"/>
  <c r="AE158" i="7"/>
  <c r="AE165" i="7"/>
  <c r="AB166" i="7"/>
  <c r="I185" i="7"/>
  <c r="O147" i="7"/>
  <c r="S147" i="7"/>
  <c r="G153" i="7"/>
  <c r="G160" i="7" s="1"/>
  <c r="O154" i="7"/>
  <c r="S154" i="7"/>
  <c r="O158" i="7"/>
  <c r="S158" i="7"/>
  <c r="O165" i="7"/>
  <c r="S165" i="7"/>
  <c r="AG174" i="7"/>
  <c r="S174" i="7"/>
  <c r="O174" i="7"/>
  <c r="AB174" i="7"/>
  <c r="Q174" i="7"/>
  <c r="AA174" i="7"/>
  <c r="P174" i="7"/>
  <c r="AE174" i="7"/>
  <c r="L200" i="7"/>
  <c r="O171" i="7"/>
  <c r="S171" i="7"/>
  <c r="AG171" i="7"/>
  <c r="AE172" i="7"/>
  <c r="Q173" i="7"/>
  <c r="AB173" i="7"/>
  <c r="O175" i="7"/>
  <c r="S175" i="7"/>
  <c r="AG175" i="7"/>
  <c r="AG178" i="7"/>
  <c r="AE179" i="7"/>
  <c r="Q180" i="7"/>
  <c r="AB180" i="7"/>
  <c r="AE183" i="7"/>
  <c r="Q184" i="7"/>
  <c r="AB184" i="7"/>
  <c r="AE173" i="7"/>
  <c r="AE180" i="7"/>
  <c r="AE184" i="7"/>
  <c r="O184" i="7"/>
  <c r="S184" i="7"/>
  <c r="AG184" i="7"/>
  <c r="AE171" i="7"/>
  <c r="Q172" i="7"/>
  <c r="P173" i="7"/>
  <c r="Q179" i="7"/>
  <c r="P180" i="7"/>
  <c r="Q183" i="7"/>
  <c r="U183" i="7" s="1"/>
  <c r="W183" i="7" s="1"/>
  <c r="P184" i="7"/>
  <c r="K101" i="6"/>
  <c r="R63" i="7" l="1"/>
  <c r="V63" i="7" s="1"/>
  <c r="Q93" i="7"/>
  <c r="R101" i="7"/>
  <c r="V101" i="7" s="1"/>
  <c r="U127" i="7"/>
  <c r="W127" i="7" s="1"/>
  <c r="U159" i="7"/>
  <c r="W159" i="7" s="1"/>
  <c r="R166" i="7"/>
  <c r="V166" i="7" s="1"/>
  <c r="R108" i="7"/>
  <c r="V108" i="7" s="1"/>
  <c r="R38" i="7"/>
  <c r="V38" i="7" s="1"/>
  <c r="U182" i="7"/>
  <c r="W182" i="7" s="1"/>
  <c r="R159" i="7"/>
  <c r="V159" i="7" s="1"/>
  <c r="R138" i="7"/>
  <c r="V138" i="7" s="1"/>
  <c r="R96" i="7"/>
  <c r="V96" i="7" s="1"/>
  <c r="U85" i="7"/>
  <c r="W85" i="7" s="1"/>
  <c r="I186" i="7"/>
  <c r="U114" i="7"/>
  <c r="W114" i="7" s="1"/>
  <c r="U98" i="7"/>
  <c r="W98" i="7" s="1"/>
  <c r="U83" i="7"/>
  <c r="W83" i="7" s="1"/>
  <c r="U64" i="7"/>
  <c r="W64" i="7" s="1"/>
  <c r="R145" i="7"/>
  <c r="I51" i="7"/>
  <c r="U108" i="7"/>
  <c r="W108" i="7" s="1"/>
  <c r="S93" i="7"/>
  <c r="U35" i="7"/>
  <c r="W35" i="7" s="1"/>
  <c r="U179" i="7"/>
  <c r="W179" i="7" s="1"/>
  <c r="P121" i="7"/>
  <c r="U110" i="7"/>
  <c r="W110" i="7" s="1"/>
  <c r="R86" i="7"/>
  <c r="V86" i="7" s="1"/>
  <c r="G51" i="7"/>
  <c r="R155" i="7"/>
  <c r="V155" i="7" s="1"/>
  <c r="U38" i="7"/>
  <c r="W38" i="7" s="1"/>
  <c r="P185" i="7"/>
  <c r="U126" i="7"/>
  <c r="W126" i="7" s="1"/>
  <c r="V24" i="7"/>
  <c r="R182" i="7"/>
  <c r="V182" i="7" s="1"/>
  <c r="R62" i="7"/>
  <c r="V62" i="7" s="1"/>
  <c r="R97" i="7"/>
  <c r="V97" i="7" s="1"/>
  <c r="R162" i="7"/>
  <c r="V162" i="7" s="1"/>
  <c r="K89" i="7"/>
  <c r="R64" i="7"/>
  <c r="V64" i="7" s="1"/>
  <c r="U172" i="7"/>
  <c r="W172" i="7" s="1"/>
  <c r="R165" i="7"/>
  <c r="V165" i="7" s="1"/>
  <c r="G89" i="7"/>
  <c r="S131" i="7"/>
  <c r="R104" i="7"/>
  <c r="V104" i="7" s="1"/>
  <c r="S121" i="7"/>
  <c r="R95" i="7"/>
  <c r="R71" i="7"/>
  <c r="V71" i="7" s="1"/>
  <c r="R48" i="7"/>
  <c r="V48" i="7" s="1"/>
  <c r="R27" i="7"/>
  <c r="V27" i="7" s="1"/>
  <c r="R33" i="7"/>
  <c r="V33" i="7" s="1"/>
  <c r="R171" i="7"/>
  <c r="I89" i="7"/>
  <c r="I132" i="7" s="1"/>
  <c r="I187" i="7" s="1"/>
  <c r="I191" i="7" s="1"/>
  <c r="I192" i="7" s="1"/>
  <c r="U39" i="7"/>
  <c r="W39" i="7" s="1"/>
  <c r="U34" i="10"/>
  <c r="V34" i="10" s="1"/>
  <c r="AE176" i="7"/>
  <c r="U148" i="7"/>
  <c r="W148" i="7" s="1"/>
  <c r="T187" i="7"/>
  <c r="T199" i="7" s="1"/>
  <c r="T200" i="7" s="1"/>
  <c r="AG176" i="7"/>
  <c r="U130" i="7"/>
  <c r="W130" i="7" s="1"/>
  <c r="R73" i="7"/>
  <c r="V73" i="7" s="1"/>
  <c r="U66" i="7"/>
  <c r="W66" i="7" s="1"/>
  <c r="U162" i="7"/>
  <c r="W162" i="7" s="1"/>
  <c r="U140" i="7"/>
  <c r="W140" i="7" s="1"/>
  <c r="U47" i="7"/>
  <c r="W47" i="7" s="1"/>
  <c r="R47" i="7"/>
  <c r="V47" i="7" s="1"/>
  <c r="R141" i="7"/>
  <c r="V141" i="7" s="1"/>
  <c r="R54" i="7"/>
  <c r="V54" i="7" s="1"/>
  <c r="U178" i="7"/>
  <c r="W178" i="7" s="1"/>
  <c r="U86" i="7"/>
  <c r="W86" i="7" s="1"/>
  <c r="K132" i="7"/>
  <c r="U175" i="7"/>
  <c r="W175" i="7" s="1"/>
  <c r="R148" i="7"/>
  <c r="V148" i="7" s="1"/>
  <c r="U167" i="7"/>
  <c r="W167" i="7" s="1"/>
  <c r="Q143" i="7"/>
  <c r="R150" i="7"/>
  <c r="V150" i="7" s="1"/>
  <c r="O143" i="7"/>
  <c r="P117" i="7"/>
  <c r="R164" i="7"/>
  <c r="V164" i="7" s="1"/>
  <c r="AE77" i="7"/>
  <c r="R110" i="7"/>
  <c r="V110" i="7" s="1"/>
  <c r="U95" i="7"/>
  <c r="R39" i="7"/>
  <c r="V39" i="7" s="1"/>
  <c r="I136" i="8"/>
  <c r="G132" i="7"/>
  <c r="R163" i="7"/>
  <c r="V163" i="7" s="1"/>
  <c r="R149" i="7"/>
  <c r="V149" i="7" s="1"/>
  <c r="U71" i="7"/>
  <c r="W71" i="7" s="1"/>
  <c r="S143" i="7"/>
  <c r="R46" i="7"/>
  <c r="V46" i="7" s="1"/>
  <c r="R35" i="7"/>
  <c r="V35" i="7" s="1"/>
  <c r="R81" i="7"/>
  <c r="V81" i="7" s="1"/>
  <c r="R157" i="7"/>
  <c r="V157" i="7" s="1"/>
  <c r="R74" i="7"/>
  <c r="V74" i="7" s="1"/>
  <c r="AH15" i="7"/>
  <c r="V16" i="7"/>
  <c r="R29" i="7"/>
  <c r="K186" i="7"/>
  <c r="R140" i="7"/>
  <c r="V140" i="7" s="1"/>
  <c r="U76" i="7"/>
  <c r="W76" i="7" s="1"/>
  <c r="U68" i="7"/>
  <c r="W68" i="7" s="1"/>
  <c r="U45" i="7"/>
  <c r="W45" i="7" s="1"/>
  <c r="R31" i="7"/>
  <c r="V31" i="7" s="1"/>
  <c r="R24" i="7"/>
  <c r="S185" i="7"/>
  <c r="K194" i="9"/>
  <c r="AE147" i="9"/>
  <c r="W125" i="9"/>
  <c r="Q164" i="9"/>
  <c r="R172" i="9"/>
  <c r="V172" i="9" s="1"/>
  <c r="U166" i="9"/>
  <c r="W166" i="9" s="1"/>
  <c r="O198" i="9"/>
  <c r="R166" i="9"/>
  <c r="V166" i="9" s="1"/>
  <c r="U125" i="9"/>
  <c r="R108" i="9"/>
  <c r="V108" i="9" s="1"/>
  <c r="U171" i="9"/>
  <c r="W171" i="9" s="1"/>
  <c r="P164" i="9"/>
  <c r="U154" i="9"/>
  <c r="W154" i="9" s="1"/>
  <c r="R61" i="9"/>
  <c r="V61" i="9" s="1"/>
  <c r="R190" i="9"/>
  <c r="V190" i="9" s="1"/>
  <c r="AE55" i="8"/>
  <c r="U65" i="9"/>
  <c r="W65" i="9" s="1"/>
  <c r="R116" i="9"/>
  <c r="V116" i="9" s="1"/>
  <c r="U88" i="9"/>
  <c r="W88" i="9" s="1"/>
  <c r="Q155" i="9"/>
  <c r="R53" i="9"/>
  <c r="V53" i="9" s="1"/>
  <c r="U159" i="9"/>
  <c r="W159" i="9" s="1"/>
  <c r="R134" i="9"/>
  <c r="V134" i="9" s="1"/>
  <c r="AG147" i="9"/>
  <c r="R43" i="9"/>
  <c r="V43" i="9" s="1"/>
  <c r="Q147" i="9"/>
  <c r="P97" i="9"/>
  <c r="R34" i="9"/>
  <c r="V34" i="9" s="1"/>
  <c r="U33" i="9"/>
  <c r="W33" i="9" s="1"/>
  <c r="Q198" i="9"/>
  <c r="U101" i="9"/>
  <c r="W101" i="9" s="1"/>
  <c r="S97" i="9"/>
  <c r="R115" i="9"/>
  <c r="V115" i="9" s="1"/>
  <c r="U43" i="9"/>
  <c r="W43" i="9" s="1"/>
  <c r="R154" i="9"/>
  <c r="V154" i="9" s="1"/>
  <c r="U190" i="9"/>
  <c r="W190" i="9" s="1"/>
  <c r="U114" i="9"/>
  <c r="W114" i="9" s="1"/>
  <c r="AA147" i="9"/>
  <c r="P177" i="9"/>
  <c r="R64" i="9"/>
  <c r="V64" i="9" s="1"/>
  <c r="R78" i="9"/>
  <c r="V78" i="9" s="1"/>
  <c r="U96" i="9"/>
  <c r="W96" i="9" s="1"/>
  <c r="U61" i="9"/>
  <c r="W61" i="9" s="1"/>
  <c r="U134" i="9"/>
  <c r="W134" i="9" s="1"/>
  <c r="R49" i="9"/>
  <c r="V49" i="9" s="1"/>
  <c r="R35" i="9"/>
  <c r="V35" i="9" s="1"/>
  <c r="P198" i="9"/>
  <c r="U68" i="9"/>
  <c r="W68" i="9" s="1"/>
  <c r="R88" i="9"/>
  <c r="V88" i="9" s="1"/>
  <c r="P155" i="9"/>
  <c r="S164" i="9"/>
  <c r="AA54" i="9"/>
  <c r="Q54" i="9"/>
  <c r="U78" i="9"/>
  <c r="W78" i="9" s="1"/>
  <c r="R89" i="9"/>
  <c r="V89" i="9" s="1"/>
  <c r="U85" i="9"/>
  <c r="W85" i="9" s="1"/>
  <c r="R186" i="9"/>
  <c r="V186" i="9" s="1"/>
  <c r="R112" i="9"/>
  <c r="V112" i="9" s="1"/>
  <c r="V125" i="9"/>
  <c r="S177" i="9"/>
  <c r="S155" i="9"/>
  <c r="R50" i="9"/>
  <c r="V50" i="9" s="1"/>
  <c r="R79" i="9"/>
  <c r="V79" i="9" s="1"/>
  <c r="U66" i="9"/>
  <c r="W66" i="9" s="1"/>
  <c r="S92" i="9"/>
  <c r="R96" i="9"/>
  <c r="V96" i="9" s="1"/>
  <c r="R103" i="9"/>
  <c r="V103" i="9" s="1"/>
  <c r="R33" i="9"/>
  <c r="V33" i="9" s="1"/>
  <c r="O177" i="9"/>
  <c r="U112" i="9"/>
  <c r="W112" i="9" s="1"/>
  <c r="U102" i="9"/>
  <c r="W102" i="9" s="1"/>
  <c r="R133" i="9"/>
  <c r="V133" i="9" s="1"/>
  <c r="U100" i="9"/>
  <c r="W100" i="9" s="1"/>
  <c r="P121" i="9"/>
  <c r="U44" i="9"/>
  <c r="W44" i="9" s="1"/>
  <c r="AG54" i="9"/>
  <c r="U53" i="9"/>
  <c r="W53" i="9" s="1"/>
  <c r="U129" i="9"/>
  <c r="W129" i="9" s="1"/>
  <c r="R144" i="9"/>
  <c r="V144" i="9" s="1"/>
  <c r="U76" i="9"/>
  <c r="W76" i="9" s="1"/>
  <c r="AB55" i="8"/>
  <c r="U52" i="9"/>
  <c r="W52" i="9" s="1"/>
  <c r="R52" i="9"/>
  <c r="V52" i="9" s="1"/>
  <c r="AB135" i="9"/>
  <c r="AG135" i="9"/>
  <c r="AA135" i="9"/>
  <c r="AE135" i="9"/>
  <c r="U48" i="9"/>
  <c r="P54" i="9"/>
  <c r="O97" i="9"/>
  <c r="U95" i="9"/>
  <c r="AB81" i="9"/>
  <c r="U132" i="9"/>
  <c r="W132" i="9" s="1"/>
  <c r="R132" i="9"/>
  <c r="V132" i="9" s="1"/>
  <c r="R85" i="9"/>
  <c r="V85" i="9" s="1"/>
  <c r="AG193" i="9"/>
  <c r="AE193" i="9"/>
  <c r="R180" i="7"/>
  <c r="V180" i="7" s="1"/>
  <c r="Q176" i="7"/>
  <c r="U129" i="7"/>
  <c r="W129" i="7" s="1"/>
  <c r="U102" i="7"/>
  <c r="W102" i="7" s="1"/>
  <c r="F186" i="7"/>
  <c r="R128" i="7"/>
  <c r="V128" i="7" s="1"/>
  <c r="U29" i="7"/>
  <c r="W29" i="7" s="1"/>
  <c r="U141" i="7"/>
  <c r="W141" i="7" s="1"/>
  <c r="F195" i="8"/>
  <c r="F199" i="8" s="1"/>
  <c r="F200" i="8" s="1"/>
  <c r="R125" i="9"/>
  <c r="U35" i="9"/>
  <c r="W35" i="9" s="1"/>
  <c r="U38" i="9"/>
  <c r="W38" i="9" s="1"/>
  <c r="P45" i="9"/>
  <c r="R57" i="9"/>
  <c r="P59" i="9"/>
  <c r="AB59" i="9"/>
  <c r="AE59" i="9"/>
  <c r="AA59" i="9"/>
  <c r="AG59" i="9"/>
  <c r="S147" i="9"/>
  <c r="R142" i="9"/>
  <c r="U142" i="9"/>
  <c r="O147" i="9"/>
  <c r="U143" i="9"/>
  <c r="W143" i="9" s="1"/>
  <c r="AG155" i="9"/>
  <c r="AB155" i="9"/>
  <c r="AE155" i="9"/>
  <c r="AA155" i="9"/>
  <c r="U50" i="9"/>
  <c r="W50" i="9" s="1"/>
  <c r="R90" i="9"/>
  <c r="V90" i="9" s="1"/>
  <c r="U64" i="9"/>
  <c r="P81" i="9"/>
  <c r="Q81" i="9"/>
  <c r="O81" i="9"/>
  <c r="R84" i="9"/>
  <c r="O92" i="9"/>
  <c r="Q109" i="9"/>
  <c r="S109" i="9"/>
  <c r="P109" i="9"/>
  <c r="AG121" i="9"/>
  <c r="AB121" i="9"/>
  <c r="AE121" i="9"/>
  <c r="AA121" i="9"/>
  <c r="Q121" i="9"/>
  <c r="Q59" i="9"/>
  <c r="O59" i="9"/>
  <c r="R58" i="9"/>
  <c r="V58" i="9" s="1"/>
  <c r="U58" i="9"/>
  <c r="W58" i="9" s="1"/>
  <c r="R129" i="9"/>
  <c r="P135" i="9"/>
  <c r="AG164" i="9"/>
  <c r="AA164" i="9"/>
  <c r="AB164" i="9"/>
  <c r="AE164" i="9"/>
  <c r="V47" i="9"/>
  <c r="U97" i="7"/>
  <c r="W97" i="7" s="1"/>
  <c r="U27" i="9"/>
  <c r="W27" i="9" s="1"/>
  <c r="U34" i="7"/>
  <c r="W34" i="7" s="1"/>
  <c r="U49" i="9"/>
  <c r="W49" i="9" s="1"/>
  <c r="U27" i="7"/>
  <c r="W27" i="7" s="1"/>
  <c r="AE185" i="7"/>
  <c r="R111" i="7"/>
  <c r="V111" i="7" s="1"/>
  <c r="R37" i="9"/>
  <c r="V37" i="9" s="1"/>
  <c r="U37" i="9"/>
  <c r="W37" i="9" s="1"/>
  <c r="S45" i="9"/>
  <c r="U192" i="9"/>
  <c r="W192" i="9" s="1"/>
  <c r="U36" i="9"/>
  <c r="W36" i="9" s="1"/>
  <c r="R36" i="9"/>
  <c r="V36" i="9" s="1"/>
  <c r="Q97" i="9"/>
  <c r="AB54" i="9"/>
  <c r="R184" i="7"/>
  <c r="V184" i="7" s="1"/>
  <c r="AG185" i="7"/>
  <c r="S176" i="7"/>
  <c r="R75" i="7"/>
  <c r="V75" i="7" s="1"/>
  <c r="R32" i="7"/>
  <c r="V32" i="7" s="1"/>
  <c r="P77" i="7"/>
  <c r="S50" i="7"/>
  <c r="U112" i="7"/>
  <c r="W112" i="7" s="1"/>
  <c r="R70" i="7"/>
  <c r="V70" i="7" s="1"/>
  <c r="O185" i="7"/>
  <c r="Q160" i="7"/>
  <c r="R102" i="7"/>
  <c r="V102" i="7" s="1"/>
  <c r="S169" i="7"/>
  <c r="U103" i="7"/>
  <c r="W103" i="7" s="1"/>
  <c r="U82" i="7"/>
  <c r="W82" i="7" s="1"/>
  <c r="U69" i="7"/>
  <c r="W69" i="7" s="1"/>
  <c r="U65" i="7"/>
  <c r="W65" i="7" s="1"/>
  <c r="P143" i="7"/>
  <c r="R69" i="7"/>
  <c r="V69" i="7" s="1"/>
  <c r="U138" i="7"/>
  <c r="W138" i="7" s="1"/>
  <c r="R130" i="7"/>
  <c r="V130" i="7" s="1"/>
  <c r="Q88" i="7"/>
  <c r="Q41" i="7"/>
  <c r="AG50" i="7"/>
  <c r="R44" i="7"/>
  <c r="V44" i="7" s="1"/>
  <c r="R120" i="7"/>
  <c r="V120" i="7" s="1"/>
  <c r="R112" i="7"/>
  <c r="V112" i="7" s="1"/>
  <c r="O55" i="7"/>
  <c r="U48" i="7"/>
  <c r="W48" i="7" s="1"/>
  <c r="U46" i="7"/>
  <c r="W46" i="7" s="1"/>
  <c r="U104" i="7"/>
  <c r="W104" i="7" s="1"/>
  <c r="U62" i="7"/>
  <c r="W62" i="7" s="1"/>
  <c r="AE50" i="7"/>
  <c r="R125" i="8"/>
  <c r="S55" i="8"/>
  <c r="U116" i="9"/>
  <c r="W116" i="9" s="1"/>
  <c r="U117" i="9"/>
  <c r="R169" i="9"/>
  <c r="R38" i="9"/>
  <c r="V38" i="9" s="1"/>
  <c r="R101" i="9"/>
  <c r="V101" i="9" s="1"/>
  <c r="U29" i="9"/>
  <c r="O45" i="9"/>
  <c r="U57" i="9"/>
  <c r="R69" i="9"/>
  <c r="V69" i="9" s="1"/>
  <c r="U69" i="9"/>
  <c r="W69" i="9" s="1"/>
  <c r="P147" i="9"/>
  <c r="R72" i="9"/>
  <c r="V72" i="9" s="1"/>
  <c r="U72" i="9"/>
  <c r="W72" i="9" s="1"/>
  <c r="R102" i="9"/>
  <c r="V102" i="9" s="1"/>
  <c r="R143" i="9"/>
  <c r="V143" i="9" s="1"/>
  <c r="O155" i="9"/>
  <c r="R149" i="9"/>
  <c r="U149" i="9"/>
  <c r="U90" i="9"/>
  <c r="W90" i="9" s="1"/>
  <c r="R189" i="9"/>
  <c r="V189" i="9" s="1"/>
  <c r="R48" i="9"/>
  <c r="V48" i="9" s="1"/>
  <c r="U73" i="9"/>
  <c r="W73" i="9" s="1"/>
  <c r="R73" i="9"/>
  <c r="V73" i="9" s="1"/>
  <c r="U79" i="9"/>
  <c r="W79" i="9" s="1"/>
  <c r="U86" i="9"/>
  <c r="W86" i="9" s="1"/>
  <c r="R86" i="9"/>
  <c r="V86" i="9" s="1"/>
  <c r="R95" i="9"/>
  <c r="U108" i="9"/>
  <c r="W108" i="9" s="1"/>
  <c r="R192" i="9"/>
  <c r="V192" i="9" s="1"/>
  <c r="R170" i="9"/>
  <c r="V170" i="9" s="1"/>
  <c r="U170" i="9"/>
  <c r="W170" i="9" s="1"/>
  <c r="AA81" i="9"/>
  <c r="R66" i="9"/>
  <c r="V66" i="9" s="1"/>
  <c r="P92" i="9"/>
  <c r="U115" i="9"/>
  <c r="W115" i="9" s="1"/>
  <c r="U32" i="9"/>
  <c r="W32" i="9" s="1"/>
  <c r="R32" i="9"/>
  <c r="V32" i="9" s="1"/>
  <c r="U34" i="9"/>
  <c r="W34" i="9" s="1"/>
  <c r="R30" i="9"/>
  <c r="V30" i="9" s="1"/>
  <c r="U30" i="9"/>
  <c r="W30" i="9" s="1"/>
  <c r="R106" i="9"/>
  <c r="V106" i="9" s="1"/>
  <c r="U106" i="9"/>
  <c r="W106" i="9" s="1"/>
  <c r="S121" i="9"/>
  <c r="Q135" i="9"/>
  <c r="R91" i="9"/>
  <c r="V91" i="9" s="1"/>
  <c r="U91" i="9"/>
  <c r="W91" i="9" s="1"/>
  <c r="R159" i="9"/>
  <c r="V159" i="9" s="1"/>
  <c r="O54" i="9"/>
  <c r="R70" i="9"/>
  <c r="V70" i="9" s="1"/>
  <c r="U70" i="9"/>
  <c r="W70" i="9" s="1"/>
  <c r="U54" i="7"/>
  <c r="W54" i="7" s="1"/>
  <c r="U144" i="9"/>
  <c r="W144" i="9" s="1"/>
  <c r="U89" i="9"/>
  <c r="W89" i="9" s="1"/>
  <c r="Q177" i="9"/>
  <c r="R114" i="9"/>
  <c r="V114" i="9" s="1"/>
  <c r="U186" i="9"/>
  <c r="O193" i="9"/>
  <c r="R171" i="9"/>
  <c r="V171" i="9" s="1"/>
  <c r="P50" i="7"/>
  <c r="R49" i="7"/>
  <c r="V49" i="7" s="1"/>
  <c r="AE109" i="9"/>
  <c r="AA109" i="9"/>
  <c r="AG109" i="9"/>
  <c r="AB109" i="9"/>
  <c r="AE45" i="9"/>
  <c r="AG45" i="9"/>
  <c r="AA45" i="9"/>
  <c r="AB45" i="9"/>
  <c r="K55" i="9"/>
  <c r="O135" i="9"/>
  <c r="AE54" i="9"/>
  <c r="R114" i="7"/>
  <c r="V114" i="7" s="1"/>
  <c r="Q117" i="7"/>
  <c r="U73" i="7"/>
  <c r="W73" i="7" s="1"/>
  <c r="U96" i="7"/>
  <c r="W96" i="7" s="1"/>
  <c r="U81" i="7"/>
  <c r="W81" i="7" s="1"/>
  <c r="R53" i="7"/>
  <c r="R40" i="7"/>
  <c r="V40" i="7" s="1"/>
  <c r="U173" i="7"/>
  <c r="W173" i="7" s="1"/>
  <c r="U174" i="7"/>
  <c r="W174" i="7" s="1"/>
  <c r="R167" i="7"/>
  <c r="V167" i="7" s="1"/>
  <c r="S190" i="7"/>
  <c r="S195" i="7" s="1"/>
  <c r="P160" i="7"/>
  <c r="H187" i="7"/>
  <c r="H191" i="7" s="1"/>
  <c r="H192" i="7" s="1"/>
  <c r="U150" i="7"/>
  <c r="W150" i="7" s="1"/>
  <c r="R124" i="7"/>
  <c r="V124" i="7" s="1"/>
  <c r="U87" i="7"/>
  <c r="W87" i="7" s="1"/>
  <c r="S88" i="7"/>
  <c r="U72" i="7"/>
  <c r="W72" i="7" s="1"/>
  <c r="R168" i="7"/>
  <c r="V168" i="7" s="1"/>
  <c r="F89" i="7"/>
  <c r="F132" i="7" s="1"/>
  <c r="P190" i="7"/>
  <c r="P195" i="7" s="1"/>
  <c r="R85" i="7"/>
  <c r="V85" i="7" s="1"/>
  <c r="R68" i="7"/>
  <c r="V68" i="7" s="1"/>
  <c r="R60" i="7"/>
  <c r="V60" i="7" s="1"/>
  <c r="U36" i="7"/>
  <c r="W36" i="7" s="1"/>
  <c r="O131" i="7"/>
  <c r="P88" i="7"/>
  <c r="Q77" i="7"/>
  <c r="R99" i="7"/>
  <c r="V99" i="7" s="1"/>
  <c r="U157" i="7"/>
  <c r="W157" i="7" s="1"/>
  <c r="R65" i="9"/>
  <c r="V65" i="9" s="1"/>
  <c r="U103" i="9"/>
  <c r="W103" i="9" s="1"/>
  <c r="U31" i="9"/>
  <c r="W31" i="9" s="1"/>
  <c r="R31" i="9"/>
  <c r="V31" i="9" s="1"/>
  <c r="R117" i="9"/>
  <c r="S198" i="9"/>
  <c r="U169" i="9"/>
  <c r="U107" i="9"/>
  <c r="W107" i="9" s="1"/>
  <c r="R107" i="9"/>
  <c r="V107" i="9" s="1"/>
  <c r="R29" i="9"/>
  <c r="Q45" i="9"/>
  <c r="R68" i="9"/>
  <c r="V68" i="9" s="1"/>
  <c r="U133" i="9"/>
  <c r="W133" i="9" s="1"/>
  <c r="R158" i="9"/>
  <c r="O164" i="9"/>
  <c r="U158" i="9"/>
  <c r="U189" i="9"/>
  <c r="W189" i="9" s="1"/>
  <c r="S54" i="9"/>
  <c r="AE81" i="9"/>
  <c r="AA97" i="9"/>
  <c r="AB97" i="9"/>
  <c r="AG97" i="9"/>
  <c r="AE97" i="9"/>
  <c r="U160" i="9"/>
  <c r="W160" i="9" s="1"/>
  <c r="R160" i="9"/>
  <c r="V160" i="9" s="1"/>
  <c r="U172" i="9"/>
  <c r="W172" i="9" s="1"/>
  <c r="AG81" i="9"/>
  <c r="S81" i="9"/>
  <c r="U84" i="9"/>
  <c r="Q92" i="9"/>
  <c r="R100" i="9"/>
  <c r="O109" i="9"/>
  <c r="R111" i="9"/>
  <c r="O121" i="9"/>
  <c r="U111" i="9"/>
  <c r="R44" i="9"/>
  <c r="V44" i="9" s="1"/>
  <c r="S59" i="9"/>
  <c r="S135" i="9"/>
  <c r="AA177" i="9"/>
  <c r="AB177" i="9"/>
  <c r="AE177" i="9"/>
  <c r="AG177" i="9"/>
  <c r="U155" i="7"/>
  <c r="W155" i="7" s="1"/>
  <c r="Q55" i="7"/>
  <c r="U33" i="7"/>
  <c r="W33" i="7" s="1"/>
  <c r="R76" i="9"/>
  <c r="V76" i="9" s="1"/>
  <c r="R27" i="9"/>
  <c r="V27" i="9" s="1"/>
  <c r="U166" i="7"/>
  <c r="W166" i="7" s="1"/>
  <c r="U57" i="7"/>
  <c r="W57" i="7" s="1"/>
  <c r="K93" i="9"/>
  <c r="AE92" i="9"/>
  <c r="AB92" i="9"/>
  <c r="AA92" i="9"/>
  <c r="AG92" i="9"/>
  <c r="P193" i="9"/>
  <c r="S193" i="9"/>
  <c r="Q193" i="9"/>
  <c r="AG55" i="8"/>
  <c r="AG136" i="8" s="1"/>
  <c r="R155" i="8"/>
  <c r="S93" i="8"/>
  <c r="U177" i="8"/>
  <c r="R177" i="8"/>
  <c r="V149" i="8"/>
  <c r="V155" i="8" s="1"/>
  <c r="V125" i="8"/>
  <c r="AA93" i="8"/>
  <c r="G136" i="8"/>
  <c r="G195" i="8" s="1"/>
  <c r="G199" i="8" s="1"/>
  <c r="G200" i="8" s="1"/>
  <c r="K136" i="8"/>
  <c r="AA136" i="8" s="1"/>
  <c r="Q55" i="8"/>
  <c r="AE93" i="8"/>
  <c r="AE136" i="8" s="1"/>
  <c r="P55" i="8"/>
  <c r="U54" i="8"/>
  <c r="O93" i="8"/>
  <c r="R193" i="8"/>
  <c r="O55" i="8"/>
  <c r="W155" i="8"/>
  <c r="P93" i="8"/>
  <c r="W54" i="8"/>
  <c r="I195" i="8"/>
  <c r="I199" i="8" s="1"/>
  <c r="I200" i="8" s="1"/>
  <c r="AG194" i="8"/>
  <c r="Q194" i="8"/>
  <c r="U81" i="8"/>
  <c r="V83" i="8"/>
  <c r="V92" i="8" s="1"/>
  <c r="R92" i="8"/>
  <c r="V127" i="8"/>
  <c r="V135" i="8" s="1"/>
  <c r="R135" i="8"/>
  <c r="V97" i="8"/>
  <c r="W81" i="8"/>
  <c r="V45" i="8"/>
  <c r="V179" i="8"/>
  <c r="V184" i="8" s="1"/>
  <c r="R184" i="8"/>
  <c r="W45" i="8"/>
  <c r="R54" i="8"/>
  <c r="U198" i="8"/>
  <c r="W117" i="8"/>
  <c r="W198" i="8" s="1"/>
  <c r="U109" i="8"/>
  <c r="W99" i="8"/>
  <c r="W109" i="8" s="1"/>
  <c r="W26" i="8"/>
  <c r="U92" i="8"/>
  <c r="W83" i="8"/>
  <c r="W92" i="8" s="1"/>
  <c r="U147" i="8"/>
  <c r="W141" i="8"/>
  <c r="W147" i="8" s="1"/>
  <c r="R97" i="8"/>
  <c r="O194" i="8"/>
  <c r="W184" i="8"/>
  <c r="V81" i="8"/>
  <c r="R164" i="8"/>
  <c r="V157" i="8"/>
  <c r="V164" i="8" s="1"/>
  <c r="R198" i="8"/>
  <c r="V117" i="8"/>
  <c r="V198" i="8" s="1"/>
  <c r="W166" i="8"/>
  <c r="W177" i="8" s="1"/>
  <c r="Q93" i="8"/>
  <c r="W193" i="8"/>
  <c r="V109" i="8"/>
  <c r="U164" i="8"/>
  <c r="W157" i="8"/>
  <c r="W164" i="8" s="1"/>
  <c r="U45" i="8"/>
  <c r="P194" i="8"/>
  <c r="R59" i="8"/>
  <c r="V57" i="8"/>
  <c r="V59" i="8" s="1"/>
  <c r="V166" i="8"/>
  <c r="V177" i="8" s="1"/>
  <c r="V141" i="8"/>
  <c r="V147" i="8" s="1"/>
  <c r="R147" i="8"/>
  <c r="R109" i="8"/>
  <c r="U59" i="8"/>
  <c r="W57" i="8"/>
  <c r="W59" i="8" s="1"/>
  <c r="R45" i="8"/>
  <c r="U125" i="8"/>
  <c r="W123" i="8"/>
  <c r="W125" i="8" s="1"/>
  <c r="U135" i="8"/>
  <c r="W127" i="8"/>
  <c r="W135" i="8" s="1"/>
  <c r="U97" i="8"/>
  <c r="W95" i="8"/>
  <c r="W97" i="8" s="1"/>
  <c r="V111" i="8"/>
  <c r="R121" i="8"/>
  <c r="V54" i="8"/>
  <c r="U155" i="8"/>
  <c r="S194" i="8"/>
  <c r="U121" i="8"/>
  <c r="W111" i="8"/>
  <c r="V193" i="8"/>
  <c r="U184" i="8"/>
  <c r="AE194" i="8"/>
  <c r="U193" i="8"/>
  <c r="N200" i="8"/>
  <c r="R81" i="8"/>
  <c r="O169" i="7"/>
  <c r="G186" i="7"/>
  <c r="U115" i="7"/>
  <c r="W115" i="7" s="1"/>
  <c r="R16" i="7"/>
  <c r="AH14" i="7"/>
  <c r="R37" i="7"/>
  <c r="V37" i="7" s="1"/>
  <c r="P41" i="7"/>
  <c r="S41" i="7"/>
  <c r="O41" i="7"/>
  <c r="V113" i="7"/>
  <c r="R119" i="7"/>
  <c r="O121" i="7"/>
  <c r="U111" i="7"/>
  <c r="W111" i="7" s="1"/>
  <c r="V79" i="7"/>
  <c r="AG151" i="7"/>
  <c r="AE151" i="7"/>
  <c r="AA151" i="7"/>
  <c r="AB151" i="7"/>
  <c r="U125" i="7"/>
  <c r="W125" i="7" s="1"/>
  <c r="U80" i="7"/>
  <c r="W80" i="7" s="1"/>
  <c r="U70" i="7"/>
  <c r="W70" i="7" s="1"/>
  <c r="O50" i="7"/>
  <c r="Q50" i="7"/>
  <c r="U181" i="7"/>
  <c r="W181" i="7" s="1"/>
  <c r="AB160" i="7"/>
  <c r="AA160" i="7"/>
  <c r="AG160" i="7"/>
  <c r="AE160" i="7"/>
  <c r="Q131" i="7"/>
  <c r="U123" i="7"/>
  <c r="P176" i="7"/>
  <c r="AE88" i="7"/>
  <c r="AB88" i="7"/>
  <c r="AA88" i="7"/>
  <c r="AG88" i="7"/>
  <c r="W95" i="7"/>
  <c r="U31" i="7"/>
  <c r="W31" i="7" s="1"/>
  <c r="U16" i="7"/>
  <c r="W13" i="7"/>
  <c r="W16" i="7" s="1"/>
  <c r="U99" i="7"/>
  <c r="W99" i="7" s="1"/>
  <c r="R30" i="7"/>
  <c r="V30" i="7" s="1"/>
  <c r="R103" i="7"/>
  <c r="V103" i="7" s="1"/>
  <c r="V178" i="7"/>
  <c r="U154" i="7"/>
  <c r="W154" i="7" s="1"/>
  <c r="U147" i="7"/>
  <c r="W147" i="7" s="1"/>
  <c r="R154" i="7"/>
  <c r="V154" i="7" s="1"/>
  <c r="R147" i="7"/>
  <c r="V147" i="7" s="1"/>
  <c r="U163" i="7"/>
  <c r="W163" i="7" s="1"/>
  <c r="U149" i="7"/>
  <c r="W149" i="7" s="1"/>
  <c r="R146" i="7"/>
  <c r="V146" i="7" s="1"/>
  <c r="U146" i="7"/>
  <c r="W146" i="7" s="1"/>
  <c r="R127" i="7"/>
  <c r="V127" i="7" s="1"/>
  <c r="R123" i="7"/>
  <c r="K195" i="7"/>
  <c r="R142" i="7"/>
  <c r="V142" i="7" s="1"/>
  <c r="U119" i="7"/>
  <c r="R100" i="7"/>
  <c r="V100" i="7" s="1"/>
  <c r="U100" i="7"/>
  <c r="W100" i="7" s="1"/>
  <c r="U92" i="7"/>
  <c r="W92" i="7" s="1"/>
  <c r="R83" i="7"/>
  <c r="V83" i="7" s="1"/>
  <c r="O88" i="7"/>
  <c r="U79" i="7"/>
  <c r="U67" i="7"/>
  <c r="W67" i="7" s="1"/>
  <c r="AB169" i="7"/>
  <c r="AE169" i="7"/>
  <c r="AG169" i="7"/>
  <c r="AA169" i="7"/>
  <c r="U168" i="7"/>
  <c r="W168" i="7" s="1"/>
  <c r="P169" i="7"/>
  <c r="U142" i="7"/>
  <c r="W142" i="7" s="1"/>
  <c r="R72" i="7"/>
  <c r="V72" i="7" s="1"/>
  <c r="R156" i="7"/>
  <c r="V156" i="7" s="1"/>
  <c r="AA143" i="7"/>
  <c r="AG143" i="7"/>
  <c r="AE143" i="7"/>
  <c r="AB143" i="7"/>
  <c r="U128" i="7"/>
  <c r="W128" i="7" s="1"/>
  <c r="AA93" i="7"/>
  <c r="AG93" i="7"/>
  <c r="AE93" i="7"/>
  <c r="AB93" i="7"/>
  <c r="R84" i="7"/>
  <c r="V84" i="7" s="1"/>
  <c r="O77" i="7"/>
  <c r="U60" i="7"/>
  <c r="Q151" i="7"/>
  <c r="U120" i="7"/>
  <c r="W120" i="7" s="1"/>
  <c r="U91" i="7"/>
  <c r="R61" i="7"/>
  <c r="V61" i="7" s="1"/>
  <c r="U44" i="7"/>
  <c r="W44" i="7" s="1"/>
  <c r="U40" i="7"/>
  <c r="W40" i="7" s="1"/>
  <c r="U24" i="7"/>
  <c r="W18" i="7"/>
  <c r="W24" i="7" s="1"/>
  <c r="AA50" i="7"/>
  <c r="U26" i="7"/>
  <c r="O105" i="7"/>
  <c r="R45" i="7"/>
  <c r="V45" i="7" s="1"/>
  <c r="R36" i="7"/>
  <c r="V36" i="7" s="1"/>
  <c r="R66" i="7"/>
  <c r="V66" i="7" s="1"/>
  <c r="U184" i="7"/>
  <c r="W184" i="7" s="1"/>
  <c r="U180" i="7"/>
  <c r="W180" i="7" s="1"/>
  <c r="R175" i="7"/>
  <c r="V175" i="7" s="1"/>
  <c r="R173" i="7"/>
  <c r="V173" i="7" s="1"/>
  <c r="O176" i="7"/>
  <c r="U171" i="7"/>
  <c r="U165" i="7"/>
  <c r="W165" i="7" s="1"/>
  <c r="U158" i="7"/>
  <c r="W158" i="7" s="1"/>
  <c r="Q185" i="7"/>
  <c r="R158" i="7"/>
  <c r="V158" i="7" s="1"/>
  <c r="R137" i="7"/>
  <c r="R109" i="7"/>
  <c r="V109" i="7" s="1"/>
  <c r="U101" i="7"/>
  <c r="W101" i="7" s="1"/>
  <c r="O160" i="7"/>
  <c r="R153" i="7"/>
  <c r="U153" i="7"/>
  <c r="R129" i="7"/>
  <c r="V129" i="7" s="1"/>
  <c r="R126" i="7"/>
  <c r="V126" i="7" s="1"/>
  <c r="R139" i="7"/>
  <c r="V139" i="7" s="1"/>
  <c r="U139" i="7"/>
  <c r="W139" i="7" s="1"/>
  <c r="U124" i="7"/>
  <c r="W124" i="7" s="1"/>
  <c r="P131" i="7"/>
  <c r="O117" i="7"/>
  <c r="R107" i="7"/>
  <c r="U107" i="7"/>
  <c r="U63" i="7"/>
  <c r="W63" i="7" s="1"/>
  <c r="R116" i="7"/>
  <c r="V116" i="7" s="1"/>
  <c r="U116" i="7"/>
  <c r="W116" i="7" s="1"/>
  <c r="R87" i="7"/>
  <c r="V87" i="7" s="1"/>
  <c r="R82" i="7"/>
  <c r="V82" i="7" s="1"/>
  <c r="R115" i="7"/>
  <c r="V115" i="7" s="1"/>
  <c r="AG105" i="7"/>
  <c r="AE105" i="7"/>
  <c r="AA105" i="7"/>
  <c r="AB105" i="7"/>
  <c r="O93" i="7"/>
  <c r="R91" i="7"/>
  <c r="U53" i="7"/>
  <c r="U37" i="7"/>
  <c r="W37" i="7" s="1"/>
  <c r="U32" i="7"/>
  <c r="W32" i="7" s="1"/>
  <c r="R26" i="7"/>
  <c r="S77" i="7"/>
  <c r="AA77" i="7"/>
  <c r="S151" i="7"/>
  <c r="R125" i="7"/>
  <c r="V125" i="7" s="1"/>
  <c r="AB131" i="7"/>
  <c r="AA131" i="7"/>
  <c r="AE131" i="7"/>
  <c r="AG131" i="7"/>
  <c r="R76" i="7"/>
  <c r="V76" i="7" s="1"/>
  <c r="U61" i="7"/>
  <c r="W61" i="7" s="1"/>
  <c r="U49" i="7"/>
  <c r="W49" i="7" s="1"/>
  <c r="U30" i="7"/>
  <c r="W30" i="7" s="1"/>
  <c r="R181" i="7"/>
  <c r="V181" i="7" s="1"/>
  <c r="U109" i="7"/>
  <c r="W109" i="7" s="1"/>
  <c r="E188" i="7"/>
  <c r="E187" i="7"/>
  <c r="E191" i="7" s="1"/>
  <c r="E192" i="7" s="1"/>
  <c r="N199" i="7"/>
  <c r="N191" i="7"/>
  <c r="V29" i="7"/>
  <c r="V95" i="7"/>
  <c r="R174" i="7"/>
  <c r="V174" i="7" s="1"/>
  <c r="O190" i="7"/>
  <c r="U113" i="7"/>
  <c r="U84" i="7"/>
  <c r="W84" i="7" s="1"/>
  <c r="R43" i="7"/>
  <c r="R55" i="7"/>
  <c r="V53" i="7"/>
  <c r="V55" i="7" s="1"/>
  <c r="V145" i="7"/>
  <c r="R80" i="7"/>
  <c r="V80" i="7" s="1"/>
  <c r="U74" i="7"/>
  <c r="W74" i="7" s="1"/>
  <c r="V171" i="7"/>
  <c r="R183" i="7"/>
  <c r="V183" i="7" s="1"/>
  <c r="R179" i="7"/>
  <c r="V179" i="7" s="1"/>
  <c r="R172" i="7"/>
  <c r="V172" i="7" s="1"/>
  <c r="Q169" i="7"/>
  <c r="U156" i="7"/>
  <c r="W156" i="7" s="1"/>
  <c r="S160" i="7"/>
  <c r="AE121" i="7"/>
  <c r="AB121" i="7"/>
  <c r="AG121" i="7"/>
  <c r="AA121" i="7"/>
  <c r="AG117" i="7"/>
  <c r="AE117" i="7"/>
  <c r="AB117" i="7"/>
  <c r="AA117" i="7"/>
  <c r="S117" i="7"/>
  <c r="R98" i="7"/>
  <c r="V98" i="7" s="1"/>
  <c r="U164" i="7"/>
  <c r="W164" i="7" s="1"/>
  <c r="R92" i="7"/>
  <c r="V92" i="7" s="1"/>
  <c r="R67" i="7"/>
  <c r="V67" i="7" s="1"/>
  <c r="Q190" i="7"/>
  <c r="P105" i="7"/>
  <c r="Q105" i="7"/>
  <c r="AB77" i="7"/>
  <c r="AG77" i="7"/>
  <c r="AE41" i="7"/>
  <c r="AB41" i="7"/>
  <c r="AA41" i="7"/>
  <c r="AG41" i="7"/>
  <c r="P151" i="7"/>
  <c r="U145" i="7"/>
  <c r="U137" i="7"/>
  <c r="S105" i="7"/>
  <c r="AE55" i="7"/>
  <c r="AA55" i="7"/>
  <c r="AB55" i="7"/>
  <c r="AG55" i="7"/>
  <c r="AB50" i="7"/>
  <c r="AA16" i="7"/>
  <c r="O151" i="7"/>
  <c r="U43" i="7"/>
  <c r="K24" i="6"/>
  <c r="G187" i="7" l="1"/>
  <c r="G191" i="7" s="1"/>
  <c r="G192" i="7" s="1"/>
  <c r="P51" i="7"/>
  <c r="S89" i="7"/>
  <c r="S51" i="7"/>
  <c r="S132" i="7" s="1"/>
  <c r="S187" i="7" s="1"/>
  <c r="Q89" i="7"/>
  <c r="K187" i="7"/>
  <c r="R43" i="10" s="1"/>
  <c r="R169" i="7"/>
  <c r="W185" i="7"/>
  <c r="P89" i="7"/>
  <c r="P132" i="7" s="1"/>
  <c r="P186" i="7"/>
  <c r="AH16" i="7"/>
  <c r="R41" i="7"/>
  <c r="F187" i="7"/>
  <c r="F191" i="7" s="1"/>
  <c r="F192" i="7" s="1"/>
  <c r="Q93" i="9"/>
  <c r="K136" i="9"/>
  <c r="K195" i="9" s="1"/>
  <c r="W135" i="9"/>
  <c r="S136" i="8"/>
  <c r="Q55" i="9"/>
  <c r="Q136" i="9" s="1"/>
  <c r="O93" i="9"/>
  <c r="P55" i="9"/>
  <c r="R54" i="9"/>
  <c r="O194" i="9"/>
  <c r="P194" i="9"/>
  <c r="O55" i="9"/>
  <c r="W109" i="9"/>
  <c r="U55" i="8"/>
  <c r="S93" i="9"/>
  <c r="AE194" i="9"/>
  <c r="AB93" i="9"/>
  <c r="AE93" i="9"/>
  <c r="AA93" i="9"/>
  <c r="AG93" i="9"/>
  <c r="W64" i="9"/>
  <c r="W81" i="9" s="1"/>
  <c r="U81" i="9"/>
  <c r="Q51" i="7"/>
  <c r="V111" i="9"/>
  <c r="R121" i="9"/>
  <c r="W84" i="9"/>
  <c r="W92" i="9" s="1"/>
  <c r="U92" i="9"/>
  <c r="V117" i="9"/>
  <c r="V198" i="9" s="1"/>
  <c r="R198" i="9"/>
  <c r="V81" i="9"/>
  <c r="AE55" i="9"/>
  <c r="AB55" i="9"/>
  <c r="AA55" i="9"/>
  <c r="AG55" i="9"/>
  <c r="Q194" i="9"/>
  <c r="W149" i="9"/>
  <c r="W155" i="9" s="1"/>
  <c r="U155" i="9"/>
  <c r="W29" i="9"/>
  <c r="W45" i="9" s="1"/>
  <c r="U45" i="9"/>
  <c r="W117" i="9"/>
  <c r="W198" i="9" s="1"/>
  <c r="U198" i="9"/>
  <c r="R81" i="9"/>
  <c r="W142" i="9"/>
  <c r="W147" i="9" s="1"/>
  <c r="U147" i="9"/>
  <c r="V57" i="9"/>
  <c r="V59" i="9" s="1"/>
  <c r="R59" i="9"/>
  <c r="R193" i="9"/>
  <c r="V158" i="9"/>
  <c r="V164" i="9" s="1"/>
  <c r="R164" i="9"/>
  <c r="V29" i="9"/>
  <c r="V45" i="9" s="1"/>
  <c r="R45" i="9"/>
  <c r="R97" i="9"/>
  <c r="V95" i="9"/>
  <c r="V97" i="9" s="1"/>
  <c r="W121" i="8"/>
  <c r="W158" i="9"/>
  <c r="W164" i="9" s="1"/>
  <c r="U164" i="9"/>
  <c r="V149" i="9"/>
  <c r="V155" i="9" s="1"/>
  <c r="R155" i="9"/>
  <c r="V129" i="9"/>
  <c r="V135" i="9" s="1"/>
  <c r="R135" i="9"/>
  <c r="AG194" i="9"/>
  <c r="V142" i="9"/>
  <c r="V147" i="9" s="1"/>
  <c r="R147" i="9"/>
  <c r="U135" i="9"/>
  <c r="U109" i="9"/>
  <c r="W48" i="9"/>
  <c r="W54" i="9" s="1"/>
  <c r="U54" i="9"/>
  <c r="V193" i="9"/>
  <c r="V169" i="9"/>
  <c r="V177" i="9" s="1"/>
  <c r="R177" i="9"/>
  <c r="S55" i="9"/>
  <c r="V84" i="9"/>
  <c r="V92" i="9" s="1"/>
  <c r="R92" i="9"/>
  <c r="R93" i="9" s="1"/>
  <c r="V41" i="7"/>
  <c r="V169" i="7"/>
  <c r="V151" i="7"/>
  <c r="U121" i="9"/>
  <c r="W111" i="9"/>
  <c r="V100" i="9"/>
  <c r="V109" i="9" s="1"/>
  <c r="R109" i="9"/>
  <c r="W169" i="9"/>
  <c r="W177" i="9" s="1"/>
  <c r="U177" i="9"/>
  <c r="U193" i="9"/>
  <c r="W186" i="9"/>
  <c r="W193" i="9" s="1"/>
  <c r="W57" i="9"/>
  <c r="W59" i="9" s="1"/>
  <c r="U59" i="9"/>
  <c r="V54" i="9"/>
  <c r="P93" i="9"/>
  <c r="S194" i="9"/>
  <c r="W95" i="9"/>
  <c r="W97" i="9" s="1"/>
  <c r="U97" i="9"/>
  <c r="AA193" i="8"/>
  <c r="V121" i="8"/>
  <c r="R55" i="8"/>
  <c r="P136" i="8"/>
  <c r="P195" i="8" s="1"/>
  <c r="AB136" i="8"/>
  <c r="AB193" i="8" s="1"/>
  <c r="K195" i="8"/>
  <c r="O136" i="8"/>
  <c r="O195" i="8" s="1"/>
  <c r="O196" i="8" s="1"/>
  <c r="Q136" i="8"/>
  <c r="Q195" i="8" s="1"/>
  <c r="AG195" i="8"/>
  <c r="V55" i="8"/>
  <c r="V194" i="8"/>
  <c r="AE195" i="8"/>
  <c r="S195" i="8"/>
  <c r="S199" i="8" s="1"/>
  <c r="U93" i="8"/>
  <c r="U136" i="8" s="1"/>
  <c r="W194" i="8"/>
  <c r="W55" i="8"/>
  <c r="R93" i="8"/>
  <c r="U194" i="8"/>
  <c r="V93" i="8"/>
  <c r="R194" i="8"/>
  <c r="W93" i="8"/>
  <c r="Q186" i="7"/>
  <c r="S186" i="7"/>
  <c r="O186" i="7"/>
  <c r="AE186" i="7"/>
  <c r="O51" i="7"/>
  <c r="R185" i="7"/>
  <c r="V105" i="7"/>
  <c r="Q132" i="7"/>
  <c r="V77" i="7"/>
  <c r="N196" i="7"/>
  <c r="N197" i="7" s="1"/>
  <c r="N200" i="7" s="1"/>
  <c r="N192" i="7"/>
  <c r="V26" i="7"/>
  <c r="R160" i="7"/>
  <c r="V153" i="7"/>
  <c r="V160" i="7" s="1"/>
  <c r="U93" i="7"/>
  <c r="W91" i="7"/>
  <c r="W93" i="7" s="1"/>
  <c r="U190" i="7"/>
  <c r="W113" i="7"/>
  <c r="W190" i="7" s="1"/>
  <c r="R105" i="7"/>
  <c r="U176" i="7"/>
  <c r="W171" i="7"/>
  <c r="W176" i="7" s="1"/>
  <c r="U41" i="7"/>
  <c r="W26" i="7"/>
  <c r="AG186" i="7"/>
  <c r="U121" i="7"/>
  <c r="W119" i="7"/>
  <c r="W121" i="7" s="1"/>
  <c r="V123" i="7"/>
  <c r="V131" i="7" s="1"/>
  <c r="R131" i="7"/>
  <c r="R77" i="7"/>
  <c r="V88" i="7"/>
  <c r="R121" i="7"/>
  <c r="V119" i="7"/>
  <c r="V121" i="7" s="1"/>
  <c r="R176" i="7"/>
  <c r="V91" i="7"/>
  <c r="V93" i="7" s="1"/>
  <c r="R93" i="7"/>
  <c r="U169" i="7"/>
  <c r="V137" i="7"/>
  <c r="V143" i="7" s="1"/>
  <c r="R143" i="7"/>
  <c r="W41" i="7"/>
  <c r="O89" i="7"/>
  <c r="O132" i="7" s="1"/>
  <c r="U131" i="7"/>
  <c r="W123" i="7"/>
  <c r="W131" i="7" s="1"/>
  <c r="U151" i="7"/>
  <c r="W145" i="7"/>
  <c r="W151" i="7" s="1"/>
  <c r="O195" i="7"/>
  <c r="W107" i="7"/>
  <c r="W117" i="7" s="1"/>
  <c r="U117" i="7"/>
  <c r="W105" i="7"/>
  <c r="R88" i="7"/>
  <c r="V190" i="7"/>
  <c r="U185" i="7"/>
  <c r="AB89" i="7"/>
  <c r="AA89" i="7"/>
  <c r="AG89" i="7"/>
  <c r="AE89" i="7"/>
  <c r="W137" i="7"/>
  <c r="W143" i="7" s="1"/>
  <c r="U143" i="7"/>
  <c r="Q195" i="7"/>
  <c r="W43" i="7"/>
  <c r="W50" i="7" s="1"/>
  <c r="U50" i="7"/>
  <c r="AG51" i="7"/>
  <c r="AB51" i="7"/>
  <c r="AE51" i="7"/>
  <c r="AA51" i="7"/>
  <c r="V176" i="7"/>
  <c r="R151" i="7"/>
  <c r="V43" i="7"/>
  <c r="V50" i="7" s="1"/>
  <c r="R50" i="7"/>
  <c r="U55" i="7"/>
  <c r="W53" i="7"/>
  <c r="W55" i="7" s="1"/>
  <c r="W169" i="7"/>
  <c r="R117" i="7"/>
  <c r="V107" i="7"/>
  <c r="V117" i="7" s="1"/>
  <c r="U160" i="7"/>
  <c r="W153" i="7"/>
  <c r="W160" i="7" s="1"/>
  <c r="U77" i="7"/>
  <c r="W60" i="7"/>
  <c r="W77" i="7" s="1"/>
  <c r="U88" i="7"/>
  <c r="W79" i="7"/>
  <c r="W88" i="7" s="1"/>
  <c r="V185" i="7"/>
  <c r="U105" i="7"/>
  <c r="R190" i="7"/>
  <c r="K184" i="6"/>
  <c r="AB184" i="6" s="1"/>
  <c r="K183" i="6"/>
  <c r="K182" i="6"/>
  <c r="AB182" i="6" s="1"/>
  <c r="K181" i="6"/>
  <c r="AB181" i="6" s="1"/>
  <c r="K180" i="6"/>
  <c r="O180" i="6" s="1"/>
  <c r="K179" i="6"/>
  <c r="AG179" i="6" s="1"/>
  <c r="K178" i="6"/>
  <c r="K175" i="6"/>
  <c r="O175" i="6" s="1"/>
  <c r="K174" i="6"/>
  <c r="AE174" i="6" s="1"/>
  <c r="K173" i="6"/>
  <c r="O173" i="6" s="1"/>
  <c r="K172" i="6"/>
  <c r="K171" i="6"/>
  <c r="O171" i="6" s="1"/>
  <c r="K168" i="6"/>
  <c r="O168" i="6" s="1"/>
  <c r="K167" i="6"/>
  <c r="O167" i="6" s="1"/>
  <c r="K166" i="6"/>
  <c r="S166" i="6" s="1"/>
  <c r="K165" i="6"/>
  <c r="O165" i="6" s="1"/>
  <c r="K164" i="6"/>
  <c r="AE164" i="6" s="1"/>
  <c r="K163" i="6"/>
  <c r="O163" i="6" s="1"/>
  <c r="K162" i="6"/>
  <c r="K159" i="6"/>
  <c r="AE159" i="6" s="1"/>
  <c r="K158" i="6"/>
  <c r="O158" i="6" s="1"/>
  <c r="K157" i="6"/>
  <c r="AB157" i="6" s="1"/>
  <c r="K156" i="6"/>
  <c r="Q156" i="6" s="1"/>
  <c r="K155" i="6"/>
  <c r="AG155" i="6" s="1"/>
  <c r="K154" i="6"/>
  <c r="AB154" i="6" s="1"/>
  <c r="K153" i="6"/>
  <c r="AB153" i="6" s="1"/>
  <c r="K150" i="6"/>
  <c r="S150" i="6" s="1"/>
  <c r="K149" i="6"/>
  <c r="O149" i="6" s="1"/>
  <c r="K148" i="6"/>
  <c r="AB148" i="6" s="1"/>
  <c r="K147" i="6"/>
  <c r="O147" i="6" s="1"/>
  <c r="K146" i="6"/>
  <c r="K145" i="6"/>
  <c r="O145" i="6" s="1"/>
  <c r="K142" i="6"/>
  <c r="AG142" i="6" s="1"/>
  <c r="K141" i="6"/>
  <c r="K140" i="6"/>
  <c r="AB140" i="6" s="1"/>
  <c r="K139" i="6"/>
  <c r="Q139" i="6" s="1"/>
  <c r="K138" i="6"/>
  <c r="AG138" i="6" s="1"/>
  <c r="K137" i="6"/>
  <c r="K130" i="6"/>
  <c r="S130" i="6" s="1"/>
  <c r="K129" i="6"/>
  <c r="P129" i="6" s="1"/>
  <c r="K128" i="6"/>
  <c r="AA128" i="6" s="1"/>
  <c r="K127" i="6"/>
  <c r="K126" i="6"/>
  <c r="K125" i="6"/>
  <c r="Q125" i="6" s="1"/>
  <c r="K124" i="6"/>
  <c r="AE124" i="6" s="1"/>
  <c r="K123" i="6"/>
  <c r="K120" i="6"/>
  <c r="P120" i="6" s="1"/>
  <c r="K119" i="6"/>
  <c r="P119" i="6" s="1"/>
  <c r="K116" i="6"/>
  <c r="O116" i="6" s="1"/>
  <c r="K115" i="6"/>
  <c r="K114" i="6"/>
  <c r="AG114" i="6" s="1"/>
  <c r="K113" i="6"/>
  <c r="AB113" i="6" s="1"/>
  <c r="K112" i="6"/>
  <c r="AB112" i="6" s="1"/>
  <c r="K111" i="6"/>
  <c r="K110" i="6"/>
  <c r="O110" i="6" s="1"/>
  <c r="K109" i="6"/>
  <c r="S109" i="6" s="1"/>
  <c r="K108" i="6"/>
  <c r="O108" i="6" s="1"/>
  <c r="K107" i="6"/>
  <c r="K104" i="6"/>
  <c r="Q104" i="6" s="1"/>
  <c r="K103" i="6"/>
  <c r="O103" i="6" s="1"/>
  <c r="K102" i="6"/>
  <c r="AG102" i="6" s="1"/>
  <c r="AB101" i="6"/>
  <c r="K99" i="6"/>
  <c r="O99" i="6" s="1"/>
  <c r="K98" i="6"/>
  <c r="P98" i="6" s="1"/>
  <c r="K97" i="6"/>
  <c r="AB97" i="6" s="1"/>
  <c r="K96" i="6"/>
  <c r="K95" i="6"/>
  <c r="P95" i="6" s="1"/>
  <c r="K92" i="6"/>
  <c r="K91" i="6"/>
  <c r="AB91" i="6" s="1"/>
  <c r="K87" i="6"/>
  <c r="K86" i="6"/>
  <c r="P86" i="6" s="1"/>
  <c r="K85" i="6"/>
  <c r="AE85" i="6" s="1"/>
  <c r="K84" i="6"/>
  <c r="Q84" i="6" s="1"/>
  <c r="K83" i="6"/>
  <c r="K82" i="6"/>
  <c r="Q82" i="6" s="1"/>
  <c r="K81" i="6"/>
  <c r="K80" i="6"/>
  <c r="P80" i="6" s="1"/>
  <c r="K79" i="6"/>
  <c r="K76" i="6"/>
  <c r="P76" i="6" s="1"/>
  <c r="K75" i="6"/>
  <c r="O75" i="6" s="1"/>
  <c r="K74" i="6"/>
  <c r="P74" i="6" s="1"/>
  <c r="K73" i="6"/>
  <c r="P73" i="6" s="1"/>
  <c r="K72" i="6"/>
  <c r="S72" i="6" s="1"/>
  <c r="K71" i="6"/>
  <c r="AG71" i="6" s="1"/>
  <c r="K70" i="6"/>
  <c r="AG70" i="6" s="1"/>
  <c r="K69" i="6"/>
  <c r="K68" i="6"/>
  <c r="S68" i="6" s="1"/>
  <c r="K67" i="6"/>
  <c r="AG67" i="6" s="1"/>
  <c r="K66" i="6"/>
  <c r="AE66" i="6" s="1"/>
  <c r="K65" i="6"/>
  <c r="K64" i="6"/>
  <c r="S64" i="6" s="1"/>
  <c r="K63" i="6"/>
  <c r="K62" i="6"/>
  <c r="AG62" i="6" s="1"/>
  <c r="K61" i="6"/>
  <c r="K60" i="6"/>
  <c r="AE60" i="6" s="1"/>
  <c r="K58" i="6"/>
  <c r="O58" i="6" s="1"/>
  <c r="K57" i="6"/>
  <c r="P57" i="6" s="1"/>
  <c r="K54" i="6"/>
  <c r="K53" i="6"/>
  <c r="O53" i="6" s="1"/>
  <c r="K49" i="6"/>
  <c r="AG49" i="6" s="1"/>
  <c r="K48" i="6"/>
  <c r="O48" i="6" s="1"/>
  <c r="K47" i="6"/>
  <c r="AB47" i="6" s="1"/>
  <c r="K46" i="6"/>
  <c r="O46" i="6" s="1"/>
  <c r="K45" i="6"/>
  <c r="AB45" i="6" s="1"/>
  <c r="K44" i="6"/>
  <c r="P44" i="6" s="1"/>
  <c r="K43" i="6"/>
  <c r="K40" i="6"/>
  <c r="P40" i="6" s="1"/>
  <c r="K39" i="6"/>
  <c r="S39" i="6" s="1"/>
  <c r="K38" i="6"/>
  <c r="AB38" i="6" s="1"/>
  <c r="K37" i="6"/>
  <c r="K36" i="6"/>
  <c r="AG36" i="6" s="1"/>
  <c r="K35" i="6"/>
  <c r="AE35" i="6" s="1"/>
  <c r="K34" i="6"/>
  <c r="AB34" i="6" s="1"/>
  <c r="K33" i="6"/>
  <c r="O33" i="6" s="1"/>
  <c r="K32" i="6"/>
  <c r="AE32" i="6" s="1"/>
  <c r="K31" i="6"/>
  <c r="AB31" i="6" s="1"/>
  <c r="K30" i="6"/>
  <c r="Q30" i="6" s="1"/>
  <c r="K29" i="6"/>
  <c r="K27" i="6"/>
  <c r="AE27" i="6" s="1"/>
  <c r="K26" i="6"/>
  <c r="AG26" i="6" s="1"/>
  <c r="AA24" i="6"/>
  <c r="M199" i="6"/>
  <c r="L199" i="6"/>
  <c r="T196" i="6"/>
  <c r="M196" i="6"/>
  <c r="L196" i="6"/>
  <c r="T195" i="6"/>
  <c r="M195" i="6"/>
  <c r="L195" i="6"/>
  <c r="T192" i="6"/>
  <c r="M192" i="6"/>
  <c r="L192" i="6"/>
  <c r="N190" i="6"/>
  <c r="N195" i="6" s="1"/>
  <c r="J186" i="6"/>
  <c r="T185" i="6"/>
  <c r="N185" i="6"/>
  <c r="H185" i="6"/>
  <c r="E185" i="6"/>
  <c r="D185" i="6"/>
  <c r="Z184" i="6"/>
  <c r="I184" i="6"/>
  <c r="F184" i="6"/>
  <c r="G184" i="6" s="1"/>
  <c r="AG183" i="6"/>
  <c r="AE183" i="6"/>
  <c r="AB183" i="6"/>
  <c r="Z183" i="6"/>
  <c r="S183" i="6"/>
  <c r="Q183" i="6"/>
  <c r="O183" i="6"/>
  <c r="I183" i="6"/>
  <c r="F183" i="6"/>
  <c r="G183" i="6" s="1"/>
  <c r="Z182" i="6"/>
  <c r="I182" i="6"/>
  <c r="F182" i="6"/>
  <c r="G182" i="6" s="1"/>
  <c r="AE181" i="6"/>
  <c r="Z181" i="6"/>
  <c r="Q181" i="6"/>
  <c r="I181" i="6"/>
  <c r="F181" i="6"/>
  <c r="G181" i="6" s="1"/>
  <c r="Z180" i="6"/>
  <c r="I180" i="6"/>
  <c r="F180" i="6"/>
  <c r="G180" i="6" s="1"/>
  <c r="AE179" i="6"/>
  <c r="AB179" i="6"/>
  <c r="Z179" i="6"/>
  <c r="AA179" i="6" s="1"/>
  <c r="S179" i="6"/>
  <c r="Q179" i="6"/>
  <c r="P179" i="6"/>
  <c r="I179" i="6"/>
  <c r="F179" i="6"/>
  <c r="G179" i="6" s="1"/>
  <c r="Z178" i="6"/>
  <c r="AA178" i="6" s="1"/>
  <c r="I178" i="6"/>
  <c r="F178" i="6"/>
  <c r="AB177" i="6"/>
  <c r="AA177" i="6"/>
  <c r="T176" i="6"/>
  <c r="N176" i="6"/>
  <c r="H176" i="6"/>
  <c r="E176" i="6"/>
  <c r="D176" i="6"/>
  <c r="AE175" i="6"/>
  <c r="Z175" i="6"/>
  <c r="Q175" i="6"/>
  <c r="I175" i="6"/>
  <c r="F175" i="6"/>
  <c r="G175" i="6" s="1"/>
  <c r="Z174" i="6"/>
  <c r="I174" i="6"/>
  <c r="F174" i="6"/>
  <c r="G174" i="6" s="1"/>
  <c r="AG173" i="6"/>
  <c r="AE173" i="6"/>
  <c r="AB173" i="6"/>
  <c r="Z173" i="6"/>
  <c r="S173" i="6"/>
  <c r="Q173" i="6"/>
  <c r="P173" i="6"/>
  <c r="I173" i="6"/>
  <c r="F173" i="6"/>
  <c r="G173" i="6" s="1"/>
  <c r="Z172" i="6"/>
  <c r="I172" i="6"/>
  <c r="F172" i="6"/>
  <c r="G172" i="6" s="1"/>
  <c r="AB171" i="6"/>
  <c r="Z171" i="6"/>
  <c r="P171" i="6"/>
  <c r="I171" i="6"/>
  <c r="F171" i="6"/>
  <c r="AB170" i="6"/>
  <c r="AA170" i="6"/>
  <c r="T169" i="6"/>
  <c r="N169" i="6"/>
  <c r="H169" i="6"/>
  <c r="E169" i="6"/>
  <c r="D169" i="6"/>
  <c r="Z168" i="6"/>
  <c r="P168" i="6"/>
  <c r="I168" i="6"/>
  <c r="F168" i="6"/>
  <c r="G168" i="6" s="1"/>
  <c r="AG167" i="6"/>
  <c r="AE167" i="6"/>
  <c r="AB167" i="6"/>
  <c r="Z167" i="6"/>
  <c r="S167" i="6"/>
  <c r="Q167" i="6"/>
  <c r="P167" i="6"/>
  <c r="I167" i="6"/>
  <c r="F167" i="6"/>
  <c r="G167" i="6" s="1"/>
  <c r="Z166" i="6"/>
  <c r="I166" i="6"/>
  <c r="F166" i="6"/>
  <c r="G166" i="6" s="1"/>
  <c r="AB165" i="6"/>
  <c r="Z165" i="6"/>
  <c r="I165" i="6"/>
  <c r="F165" i="6"/>
  <c r="G165" i="6" s="1"/>
  <c r="Z164" i="6"/>
  <c r="I164" i="6"/>
  <c r="F164" i="6"/>
  <c r="G164" i="6" s="1"/>
  <c r="AG163" i="6"/>
  <c r="AE163" i="6"/>
  <c r="AB163" i="6"/>
  <c r="Z163" i="6"/>
  <c r="S163" i="6"/>
  <c r="Q163" i="6"/>
  <c r="P163" i="6"/>
  <c r="I163" i="6"/>
  <c r="F163" i="6"/>
  <c r="G163" i="6" s="1"/>
  <c r="Z162" i="6"/>
  <c r="I162" i="6"/>
  <c r="F162" i="6"/>
  <c r="G162" i="6" s="1"/>
  <c r="AB161" i="6"/>
  <c r="AA161" i="6"/>
  <c r="T160" i="6"/>
  <c r="N160" i="6"/>
  <c r="H160" i="6"/>
  <c r="E160" i="6"/>
  <c r="D160" i="6"/>
  <c r="AG159" i="6"/>
  <c r="Z159" i="6"/>
  <c r="O159" i="6"/>
  <c r="I159" i="6"/>
  <c r="F159" i="6"/>
  <c r="G159" i="6" s="1"/>
  <c r="AB158" i="6"/>
  <c r="Z158" i="6"/>
  <c r="I158" i="6"/>
  <c r="F158" i="6"/>
  <c r="G158" i="6" s="1"/>
  <c r="AG157" i="6"/>
  <c r="AE157" i="6"/>
  <c r="Z157" i="6"/>
  <c r="AA157" i="6" s="1"/>
  <c r="S157" i="6"/>
  <c r="Q157" i="6"/>
  <c r="O157" i="6"/>
  <c r="I157" i="6"/>
  <c r="F157" i="6"/>
  <c r="G157" i="6" s="1"/>
  <c r="Z156" i="6"/>
  <c r="I156" i="6"/>
  <c r="F156" i="6"/>
  <c r="G156" i="6" s="1"/>
  <c r="Z155" i="6"/>
  <c r="Q155" i="6"/>
  <c r="I155" i="6"/>
  <c r="F155" i="6"/>
  <c r="G155" i="6" s="1"/>
  <c r="AE154" i="6"/>
  <c r="Z154" i="6"/>
  <c r="I154" i="6"/>
  <c r="F154" i="6"/>
  <c r="G154" i="6" s="1"/>
  <c r="AG153" i="6"/>
  <c r="AE153" i="6"/>
  <c r="Z153" i="6"/>
  <c r="AA153" i="6" s="1"/>
  <c r="S153" i="6"/>
  <c r="Q153" i="6"/>
  <c r="O153" i="6"/>
  <c r="I153" i="6"/>
  <c r="F153" i="6"/>
  <c r="G153" i="6" s="1"/>
  <c r="AB152" i="6"/>
  <c r="AA152" i="6"/>
  <c r="T151" i="6"/>
  <c r="N151" i="6"/>
  <c r="H151" i="6"/>
  <c r="E151" i="6"/>
  <c r="D151" i="6"/>
  <c r="Z150" i="6"/>
  <c r="I150" i="6"/>
  <c r="F150" i="6"/>
  <c r="G150" i="6" s="1"/>
  <c r="AB149" i="6"/>
  <c r="Z149" i="6"/>
  <c r="I149" i="6"/>
  <c r="F149" i="6"/>
  <c r="G149" i="6" s="1"/>
  <c r="Z148" i="6"/>
  <c r="I148" i="6"/>
  <c r="F148" i="6"/>
  <c r="G148" i="6" s="1"/>
  <c r="AG147" i="6"/>
  <c r="AE147" i="6"/>
  <c r="AB147" i="6"/>
  <c r="Z147" i="6"/>
  <c r="S147" i="6"/>
  <c r="Q147" i="6"/>
  <c r="P147" i="6"/>
  <c r="I147" i="6"/>
  <c r="F147" i="6"/>
  <c r="G147" i="6" s="1"/>
  <c r="Z146" i="6"/>
  <c r="I146" i="6"/>
  <c r="F146" i="6"/>
  <c r="G146" i="6" s="1"/>
  <c r="AE145" i="6"/>
  <c r="Z145" i="6"/>
  <c r="P145" i="6"/>
  <c r="I145" i="6"/>
  <c r="F145" i="6"/>
  <c r="G145" i="6" s="1"/>
  <c r="AB144" i="6"/>
  <c r="AA144" i="6"/>
  <c r="T143" i="6"/>
  <c r="N143" i="6"/>
  <c r="H143" i="6"/>
  <c r="E143" i="6"/>
  <c r="D143" i="6"/>
  <c r="Z142" i="6"/>
  <c r="AA142" i="6" s="1"/>
  <c r="I142" i="6"/>
  <c r="F142" i="6"/>
  <c r="G142" i="6" s="1"/>
  <c r="AE141" i="6"/>
  <c r="Z141" i="6"/>
  <c r="AA141" i="6" s="1"/>
  <c r="S141" i="6"/>
  <c r="O141" i="6"/>
  <c r="I141" i="6"/>
  <c r="F141" i="6"/>
  <c r="G141" i="6" s="1"/>
  <c r="AE140" i="6"/>
  <c r="Z140" i="6"/>
  <c r="I140" i="6"/>
  <c r="F140" i="6"/>
  <c r="G140" i="6" s="1"/>
  <c r="Z139" i="6"/>
  <c r="S139" i="6"/>
  <c r="I139" i="6"/>
  <c r="F139" i="6"/>
  <c r="G139" i="6" s="1"/>
  <c r="Z138" i="6"/>
  <c r="I138" i="6"/>
  <c r="F138" i="6"/>
  <c r="G138" i="6" s="1"/>
  <c r="AE137" i="6"/>
  <c r="Z137" i="6"/>
  <c r="AA137" i="6" s="1"/>
  <c r="S137" i="6"/>
  <c r="O137" i="6"/>
  <c r="I137" i="6"/>
  <c r="F137" i="6"/>
  <c r="AB136" i="6"/>
  <c r="AA136" i="6"/>
  <c r="AB135" i="6"/>
  <c r="AA135" i="6"/>
  <c r="AB134" i="6"/>
  <c r="AA134" i="6"/>
  <c r="AB133" i="6"/>
  <c r="AA133" i="6"/>
  <c r="T131" i="6"/>
  <c r="N131" i="6"/>
  <c r="H131" i="6"/>
  <c r="E131" i="6"/>
  <c r="D131" i="6"/>
  <c r="P130" i="6"/>
  <c r="I130" i="6"/>
  <c r="AB129" i="6"/>
  <c r="I129" i="6"/>
  <c r="I128" i="6"/>
  <c r="F128" i="6"/>
  <c r="G128" i="6" s="1"/>
  <c r="AG127" i="6"/>
  <c r="Z127" i="6"/>
  <c r="AA127" i="6" s="1"/>
  <c r="Q127" i="6"/>
  <c r="O127" i="6"/>
  <c r="I127" i="6"/>
  <c r="F127" i="6"/>
  <c r="G127" i="6" s="1"/>
  <c r="Z126" i="6"/>
  <c r="AA126" i="6" s="1"/>
  <c r="I126" i="6"/>
  <c r="F126" i="6"/>
  <c r="G126" i="6" s="1"/>
  <c r="Z125" i="6"/>
  <c r="I125" i="6"/>
  <c r="F125" i="6"/>
  <c r="G125" i="6" s="1"/>
  <c r="Z124" i="6"/>
  <c r="I124" i="6"/>
  <c r="F124" i="6"/>
  <c r="G124" i="6" s="1"/>
  <c r="AG123" i="6"/>
  <c r="AB123" i="6"/>
  <c r="Z123" i="6"/>
  <c r="AA123" i="6" s="1"/>
  <c r="Q123" i="6"/>
  <c r="P123" i="6"/>
  <c r="O123" i="6"/>
  <c r="I123" i="6"/>
  <c r="F123" i="6"/>
  <c r="AB122" i="6"/>
  <c r="AA122" i="6"/>
  <c r="Q122" i="6"/>
  <c r="T121" i="6"/>
  <c r="N121" i="6"/>
  <c r="J121" i="6"/>
  <c r="J132" i="6" s="1"/>
  <c r="H121" i="6"/>
  <c r="E121" i="6"/>
  <c r="D121" i="6"/>
  <c r="Z120" i="6"/>
  <c r="Q120" i="6"/>
  <c r="I120" i="6"/>
  <c r="G120" i="6"/>
  <c r="AB119" i="6"/>
  <c r="Z119" i="6"/>
  <c r="I119" i="6"/>
  <c r="F119" i="6"/>
  <c r="AB118" i="6"/>
  <c r="AA118" i="6"/>
  <c r="T117" i="6"/>
  <c r="N117" i="6"/>
  <c r="H117" i="6"/>
  <c r="E117" i="6"/>
  <c r="D117" i="6"/>
  <c r="Z116" i="6"/>
  <c r="P116" i="6"/>
  <c r="I116" i="6"/>
  <c r="F116" i="6"/>
  <c r="G116" i="6" s="1"/>
  <c r="AG115" i="6"/>
  <c r="AB115" i="6"/>
  <c r="Z115" i="6"/>
  <c r="AA115" i="6" s="1"/>
  <c r="Q115" i="6"/>
  <c r="P115" i="6"/>
  <c r="O115" i="6"/>
  <c r="I115" i="6"/>
  <c r="F115" i="6"/>
  <c r="G115" i="6" s="1"/>
  <c r="Z114" i="6"/>
  <c r="P114" i="6"/>
  <c r="I114" i="6"/>
  <c r="F114" i="6"/>
  <c r="G114" i="6" s="1"/>
  <c r="Z113" i="6"/>
  <c r="I113" i="6"/>
  <c r="F113" i="6"/>
  <c r="Z112" i="6"/>
  <c r="Q112" i="6"/>
  <c r="I112" i="6"/>
  <c r="G112" i="6"/>
  <c r="AG111" i="6"/>
  <c r="Z111" i="6"/>
  <c r="AA111" i="6" s="1"/>
  <c r="P111" i="6"/>
  <c r="O111" i="6"/>
  <c r="I111" i="6"/>
  <c r="F111" i="6"/>
  <c r="G111" i="6" s="1"/>
  <c r="Z110" i="6"/>
  <c r="P110" i="6"/>
  <c r="I110" i="6"/>
  <c r="F110" i="6"/>
  <c r="G110" i="6" s="1"/>
  <c r="Z109" i="6"/>
  <c r="I109" i="6"/>
  <c r="F109" i="6"/>
  <c r="G109" i="6" s="1"/>
  <c r="AB108" i="6"/>
  <c r="Z108" i="6"/>
  <c r="I108" i="6"/>
  <c r="F108" i="6"/>
  <c r="G108" i="6" s="1"/>
  <c r="AG107" i="6"/>
  <c r="AB107" i="6"/>
  <c r="Z107" i="6"/>
  <c r="AA107" i="6" s="1"/>
  <c r="Q107" i="6"/>
  <c r="P107" i="6"/>
  <c r="I107" i="6"/>
  <c r="F107" i="6"/>
  <c r="G107" i="6" s="1"/>
  <c r="AB106" i="6"/>
  <c r="AA106" i="6"/>
  <c r="T105" i="6"/>
  <c r="N105" i="6"/>
  <c r="H105" i="6"/>
  <c r="E105" i="6"/>
  <c r="D105" i="6"/>
  <c r="AB104" i="6"/>
  <c r="Z104" i="6"/>
  <c r="I104" i="6"/>
  <c r="F104" i="6"/>
  <c r="G104" i="6" s="1"/>
  <c r="Z103" i="6"/>
  <c r="I103" i="6"/>
  <c r="F103" i="6"/>
  <c r="G103" i="6" s="1"/>
  <c r="Z102" i="6"/>
  <c r="I102" i="6"/>
  <c r="F102" i="6"/>
  <c r="G102" i="6" s="1"/>
  <c r="AG101" i="6"/>
  <c r="AE101" i="6"/>
  <c r="Z101" i="6"/>
  <c r="AA101" i="6" s="1"/>
  <c r="S101" i="6"/>
  <c r="Q101" i="6"/>
  <c r="P101" i="6"/>
  <c r="O101" i="6"/>
  <c r="I101" i="6"/>
  <c r="F101" i="6"/>
  <c r="G101" i="6" s="1"/>
  <c r="Z100" i="6"/>
  <c r="I100" i="6"/>
  <c r="F100" i="6"/>
  <c r="G100" i="6" s="1"/>
  <c r="Z99" i="6"/>
  <c r="I99" i="6"/>
  <c r="F99" i="6"/>
  <c r="G99" i="6" s="1"/>
  <c r="Q98" i="6"/>
  <c r="Z97" i="6"/>
  <c r="O97" i="6"/>
  <c r="I97" i="6"/>
  <c r="F97" i="6"/>
  <c r="G97" i="6" s="1"/>
  <c r="AE96" i="6"/>
  <c r="Z96" i="6"/>
  <c r="AA96" i="6" s="1"/>
  <c r="P96" i="6"/>
  <c r="O96" i="6"/>
  <c r="I96" i="6"/>
  <c r="F96" i="6"/>
  <c r="Z95" i="6"/>
  <c r="I95" i="6"/>
  <c r="F95" i="6"/>
  <c r="G95" i="6" s="1"/>
  <c r="AB94" i="6"/>
  <c r="AA94" i="6"/>
  <c r="N93" i="6"/>
  <c r="D93" i="6"/>
  <c r="AB92" i="6"/>
  <c r="Z92" i="6"/>
  <c r="Q92" i="6"/>
  <c r="Z91" i="6"/>
  <c r="AB90" i="6"/>
  <c r="AA90" i="6"/>
  <c r="T88" i="6"/>
  <c r="N88" i="6"/>
  <c r="H88" i="6"/>
  <c r="E88" i="6"/>
  <c r="D88" i="6"/>
  <c r="Z87" i="6"/>
  <c r="AA87" i="6" s="1"/>
  <c r="S87" i="6"/>
  <c r="I87" i="6"/>
  <c r="Z86" i="6"/>
  <c r="I86" i="6"/>
  <c r="AG85" i="6"/>
  <c r="Z85" i="6"/>
  <c r="S85" i="6"/>
  <c r="I85" i="6"/>
  <c r="AG83" i="6"/>
  <c r="Z83" i="6"/>
  <c r="S83" i="6"/>
  <c r="O83" i="6"/>
  <c r="I83" i="6"/>
  <c r="F83" i="6"/>
  <c r="G83" i="6" s="1"/>
  <c r="Z82" i="6"/>
  <c r="I82" i="6"/>
  <c r="F82" i="6"/>
  <c r="G82" i="6" s="1"/>
  <c r="AB81" i="6"/>
  <c r="Z81" i="6"/>
  <c r="Q81" i="6"/>
  <c r="I81" i="6"/>
  <c r="F81" i="6"/>
  <c r="G81" i="6" s="1"/>
  <c r="I80" i="6"/>
  <c r="AB79" i="6"/>
  <c r="Z79" i="6"/>
  <c r="AA79" i="6" s="1"/>
  <c r="P79" i="6"/>
  <c r="O79" i="6"/>
  <c r="I79" i="6"/>
  <c r="F79" i="6"/>
  <c r="AB78" i="6"/>
  <c r="AA78" i="6"/>
  <c r="AH77" i="6"/>
  <c r="AF77" i="6"/>
  <c r="AD77" i="6"/>
  <c r="AC77" i="6"/>
  <c r="Y77" i="6"/>
  <c r="X77" i="6"/>
  <c r="T77" i="6"/>
  <c r="N77" i="6"/>
  <c r="J77" i="6"/>
  <c r="H77" i="6"/>
  <c r="E77" i="6"/>
  <c r="D77" i="6"/>
  <c r="P75" i="6"/>
  <c r="O73" i="6"/>
  <c r="Z72" i="6"/>
  <c r="I72" i="6"/>
  <c r="Z71" i="6"/>
  <c r="AA71" i="6" s="1"/>
  <c r="O71" i="6"/>
  <c r="Z70" i="6"/>
  <c r="I70" i="6"/>
  <c r="AG69" i="6"/>
  <c r="Z69" i="6"/>
  <c r="S69" i="6"/>
  <c r="I69" i="6"/>
  <c r="Z67" i="6"/>
  <c r="AA67" i="6" s="1"/>
  <c r="P67" i="6"/>
  <c r="Z66" i="6"/>
  <c r="AG65" i="6"/>
  <c r="AE65" i="6"/>
  <c r="Z65" i="6"/>
  <c r="S65" i="6"/>
  <c r="Q65" i="6"/>
  <c r="I65" i="6"/>
  <c r="Z64" i="6"/>
  <c r="I64" i="6"/>
  <c r="F64" i="6"/>
  <c r="G64" i="6" s="1"/>
  <c r="AB63" i="6"/>
  <c r="Z63" i="6"/>
  <c r="Q63" i="6"/>
  <c r="I63" i="6"/>
  <c r="F63" i="6"/>
  <c r="G63" i="6" s="1"/>
  <c r="Z62" i="6"/>
  <c r="I62" i="6"/>
  <c r="F62" i="6"/>
  <c r="G62" i="6" s="1"/>
  <c r="AE61" i="6"/>
  <c r="AB61" i="6"/>
  <c r="Z61" i="6"/>
  <c r="S61" i="6"/>
  <c r="Q61" i="6"/>
  <c r="I61" i="6"/>
  <c r="Z60" i="6"/>
  <c r="I60" i="6"/>
  <c r="G60" i="6"/>
  <c r="AB59" i="6"/>
  <c r="AA59" i="6"/>
  <c r="AB58" i="6"/>
  <c r="Z58" i="6"/>
  <c r="P58" i="6"/>
  <c r="I58" i="6"/>
  <c r="F58" i="6"/>
  <c r="G58" i="6" s="1"/>
  <c r="Z57" i="6"/>
  <c r="I57" i="6"/>
  <c r="F57" i="6"/>
  <c r="G57" i="6" s="1"/>
  <c r="AB56" i="6"/>
  <c r="AA56" i="6"/>
  <c r="T55" i="6"/>
  <c r="N55" i="6"/>
  <c r="H55" i="6"/>
  <c r="E55" i="6"/>
  <c r="D55" i="6"/>
  <c r="AG54" i="6"/>
  <c r="Z54" i="6"/>
  <c r="S54" i="6"/>
  <c r="Q54" i="6"/>
  <c r="I54" i="6"/>
  <c r="F54" i="6"/>
  <c r="G54" i="6" s="1"/>
  <c r="Z53" i="6"/>
  <c r="I53" i="6"/>
  <c r="F53" i="6"/>
  <c r="AB52" i="6"/>
  <c r="AA52" i="6"/>
  <c r="AF50" i="6"/>
  <c r="AD50" i="6"/>
  <c r="AC50" i="6"/>
  <c r="Y50" i="6"/>
  <c r="X50" i="6"/>
  <c r="T50" i="6"/>
  <c r="N50" i="6"/>
  <c r="H50" i="6"/>
  <c r="E50" i="6"/>
  <c r="D50" i="6"/>
  <c r="Z49" i="6"/>
  <c r="AA49" i="6" s="1"/>
  <c r="O49" i="6"/>
  <c r="I49" i="6"/>
  <c r="F49" i="6"/>
  <c r="G49" i="6" s="1"/>
  <c r="Z48" i="6"/>
  <c r="I48" i="6"/>
  <c r="F48" i="6"/>
  <c r="G48" i="6" s="1"/>
  <c r="AG47" i="6"/>
  <c r="AE47" i="6"/>
  <c r="Z47" i="6"/>
  <c r="S47" i="6"/>
  <c r="Q47" i="6"/>
  <c r="I47" i="6"/>
  <c r="F47" i="6"/>
  <c r="G47" i="6" s="1"/>
  <c r="Z46" i="6"/>
  <c r="I46" i="6"/>
  <c r="F46" i="6"/>
  <c r="G46" i="6" s="1"/>
  <c r="AE45" i="6"/>
  <c r="Z45" i="6"/>
  <c r="Q45" i="6"/>
  <c r="I45" i="6"/>
  <c r="F45" i="6"/>
  <c r="G45" i="6" s="1"/>
  <c r="I44" i="6"/>
  <c r="F44" i="6"/>
  <c r="G44" i="6" s="1"/>
  <c r="AG43" i="6"/>
  <c r="AE43" i="6"/>
  <c r="Z43" i="6"/>
  <c r="S43" i="6"/>
  <c r="P43" i="6"/>
  <c r="O43" i="6"/>
  <c r="I43" i="6"/>
  <c r="G43" i="6"/>
  <c r="F43" i="6"/>
  <c r="AB42" i="6"/>
  <c r="Z42" i="6"/>
  <c r="AA42" i="6" s="1"/>
  <c r="Z41" i="6"/>
  <c r="T41" i="6"/>
  <c r="N41" i="6"/>
  <c r="N51" i="6" s="1"/>
  <c r="H41" i="6"/>
  <c r="H51" i="6" s="1"/>
  <c r="D41" i="6"/>
  <c r="O39" i="6"/>
  <c r="I39" i="6"/>
  <c r="F39" i="6"/>
  <c r="G39" i="6" s="1"/>
  <c r="Z38" i="6"/>
  <c r="I38" i="6"/>
  <c r="F38" i="6"/>
  <c r="G38" i="6" s="1"/>
  <c r="AB37" i="6"/>
  <c r="Z37" i="6"/>
  <c r="Q37" i="6"/>
  <c r="I37" i="6"/>
  <c r="F37" i="6"/>
  <c r="G37" i="6" s="1"/>
  <c r="Z36" i="6"/>
  <c r="I36" i="6"/>
  <c r="F36" i="6"/>
  <c r="G36" i="6" s="1"/>
  <c r="AG35" i="6"/>
  <c r="Z35" i="6"/>
  <c r="S35" i="6"/>
  <c r="I35" i="6"/>
  <c r="F35" i="6"/>
  <c r="G35" i="6" s="1"/>
  <c r="Z34" i="6"/>
  <c r="I34" i="6"/>
  <c r="G34" i="6"/>
  <c r="AB33" i="6"/>
  <c r="Z33" i="6"/>
  <c r="P33" i="6"/>
  <c r="I33" i="6"/>
  <c r="F33" i="6"/>
  <c r="G33" i="6" s="1"/>
  <c r="Z32" i="6"/>
  <c r="I32" i="6"/>
  <c r="F32" i="6"/>
  <c r="G32" i="6" s="1"/>
  <c r="AE31" i="6"/>
  <c r="Z31" i="6"/>
  <c r="Q31" i="6"/>
  <c r="I31" i="6"/>
  <c r="F31" i="6"/>
  <c r="G31" i="6" s="1"/>
  <c r="AG29" i="6"/>
  <c r="Z29" i="6"/>
  <c r="S29" i="6"/>
  <c r="I29" i="6"/>
  <c r="G29" i="6"/>
  <c r="F29" i="6"/>
  <c r="AB28" i="6"/>
  <c r="AA28" i="6"/>
  <c r="AG27" i="6"/>
  <c r="Z27" i="6"/>
  <c r="I27" i="6"/>
  <c r="G27" i="6"/>
  <c r="Z26" i="6"/>
  <c r="AA26" i="6" s="1"/>
  <c r="O26" i="6"/>
  <c r="I26" i="6"/>
  <c r="G26" i="6"/>
  <c r="AB25" i="6"/>
  <c r="AA25" i="6"/>
  <c r="T24" i="6"/>
  <c r="N24" i="6"/>
  <c r="H24" i="6"/>
  <c r="E24" i="6"/>
  <c r="D24" i="6"/>
  <c r="AG23" i="6"/>
  <c r="AE23" i="6"/>
  <c r="AB23" i="6"/>
  <c r="Z23" i="6"/>
  <c r="AA23" i="6" s="1"/>
  <c r="S23" i="6"/>
  <c r="Q23" i="6"/>
  <c r="P23" i="6"/>
  <c r="O23" i="6"/>
  <c r="I23" i="6"/>
  <c r="F23" i="6"/>
  <c r="G23" i="6" s="1"/>
  <c r="AG22" i="6"/>
  <c r="AE22" i="6"/>
  <c r="AB22" i="6"/>
  <c r="Z22" i="6"/>
  <c r="AA22" i="6" s="1"/>
  <c r="S22" i="6"/>
  <c r="Q22" i="6"/>
  <c r="P22" i="6"/>
  <c r="O22" i="6"/>
  <c r="I22" i="6"/>
  <c r="F22" i="6"/>
  <c r="G22" i="6" s="1"/>
  <c r="AE21" i="6"/>
  <c r="AB21" i="6"/>
  <c r="Z21" i="6"/>
  <c r="AA21" i="6" s="1"/>
  <c r="S21" i="6"/>
  <c r="O21" i="6"/>
  <c r="I21" i="6"/>
  <c r="F21" i="6"/>
  <c r="G21" i="6" s="1"/>
  <c r="AB20" i="6"/>
  <c r="Z20" i="6"/>
  <c r="I20" i="6"/>
  <c r="F20" i="6"/>
  <c r="G20" i="6" s="1"/>
  <c r="AG19" i="6"/>
  <c r="AE19" i="6"/>
  <c r="AB19" i="6"/>
  <c r="Z19" i="6"/>
  <c r="AA19" i="6" s="1"/>
  <c r="S19" i="6"/>
  <c r="Q19" i="6"/>
  <c r="P19" i="6"/>
  <c r="O19" i="6"/>
  <c r="I19" i="6"/>
  <c r="F19" i="6"/>
  <c r="G19" i="6" s="1"/>
  <c r="AG18" i="6"/>
  <c r="AE18" i="6"/>
  <c r="AB18" i="6"/>
  <c r="Z18" i="6"/>
  <c r="AA18" i="6" s="1"/>
  <c r="S18" i="6"/>
  <c r="Q18" i="6"/>
  <c r="P18" i="6"/>
  <c r="O18" i="6"/>
  <c r="I18" i="6"/>
  <c r="F18" i="6"/>
  <c r="G18" i="6" s="1"/>
  <c r="AB17" i="6"/>
  <c r="AA17" i="6"/>
  <c r="AF16" i="6"/>
  <c r="AD16" i="6"/>
  <c r="AC16" i="6"/>
  <c r="Y16" i="6"/>
  <c r="X16" i="6"/>
  <c r="N16" i="6"/>
  <c r="K16" i="6"/>
  <c r="H16" i="6"/>
  <c r="E16" i="6"/>
  <c r="D16" i="6"/>
  <c r="AG15" i="6"/>
  <c r="AE15" i="6"/>
  <c r="AB15" i="6"/>
  <c r="Z15" i="6"/>
  <c r="AA15" i="6" s="1"/>
  <c r="S15" i="6"/>
  <c r="Q15" i="6"/>
  <c r="P15" i="6"/>
  <c r="O15" i="6"/>
  <c r="AG14" i="6"/>
  <c r="AE14" i="6"/>
  <c r="AB14" i="6"/>
  <c r="Z14" i="6"/>
  <c r="AA14" i="6" s="1"/>
  <c r="S14" i="6"/>
  <c r="Q14" i="6"/>
  <c r="P14" i="6"/>
  <c r="O14" i="6"/>
  <c r="I14" i="6"/>
  <c r="F14" i="6"/>
  <c r="G14" i="6" s="1"/>
  <c r="AG13" i="6"/>
  <c r="AE13" i="6"/>
  <c r="AB13" i="6"/>
  <c r="Z13" i="6"/>
  <c r="S13" i="6"/>
  <c r="Q13" i="6"/>
  <c r="P13" i="6"/>
  <c r="O13" i="6"/>
  <c r="I13" i="6"/>
  <c r="F13" i="6"/>
  <c r="F16" i="6" s="1"/>
  <c r="S62" i="6" l="1"/>
  <c r="S66" i="6"/>
  <c r="O74" i="6"/>
  <c r="AG91" i="6"/>
  <c r="O102" i="6"/>
  <c r="S124" i="6"/>
  <c r="O138" i="6"/>
  <c r="AE148" i="6"/>
  <c r="AG164" i="6"/>
  <c r="S174" i="6"/>
  <c r="P180" i="6"/>
  <c r="AE184" i="6"/>
  <c r="AG38" i="6"/>
  <c r="S84" i="6"/>
  <c r="AE97" i="6"/>
  <c r="AA102" i="6"/>
  <c r="P108" i="6"/>
  <c r="AE112" i="6"/>
  <c r="AB116" i="6"/>
  <c r="P128" i="6"/>
  <c r="U128" i="6" s="1"/>
  <c r="W128" i="6" s="1"/>
  <c r="AA138" i="6"/>
  <c r="Q154" i="6"/>
  <c r="P158" i="6"/>
  <c r="AB168" i="6"/>
  <c r="O34" i="6"/>
  <c r="P48" i="6"/>
  <c r="AG34" i="6"/>
  <c r="O38" i="6"/>
  <c r="Q44" i="6"/>
  <c r="AB48" i="6"/>
  <c r="AG66" i="6"/>
  <c r="AA70" i="6"/>
  <c r="Q91" i="6"/>
  <c r="Q93" i="6" s="1"/>
  <c r="AG124" i="6"/>
  <c r="AB128" i="6"/>
  <c r="O142" i="6"/>
  <c r="R142" i="6" s="1"/>
  <c r="V142" i="6" s="1"/>
  <c r="Q148" i="6"/>
  <c r="S164" i="6"/>
  <c r="AG174" i="6"/>
  <c r="AB180" i="6"/>
  <c r="Q184" i="6"/>
  <c r="P187" i="7"/>
  <c r="F55" i="6"/>
  <c r="S34" i="6"/>
  <c r="S38" i="6"/>
  <c r="I50" i="6"/>
  <c r="S44" i="6"/>
  <c r="Q48" i="6"/>
  <c r="R48" i="6" s="1"/>
  <c r="V48" i="6" s="1"/>
  <c r="AE48" i="6"/>
  <c r="O57" i="6"/>
  <c r="AB57" i="6"/>
  <c r="AA62" i="6"/>
  <c r="P70" i="6"/>
  <c r="AB70" i="6"/>
  <c r="Q74" i="6"/>
  <c r="R74" i="6" s="1"/>
  <c r="V74" i="6" s="1"/>
  <c r="E89" i="6"/>
  <c r="E132" i="6" s="1"/>
  <c r="O80" i="6"/>
  <c r="AB84" i="6"/>
  <c r="S91" i="6"/>
  <c r="K93" i="6"/>
  <c r="AG93" i="6" s="1"/>
  <c r="Q97" i="6"/>
  <c r="AG97" i="6"/>
  <c r="P102" i="6"/>
  <c r="AB102" i="6"/>
  <c r="Q108" i="6"/>
  <c r="AE108" i="6"/>
  <c r="S112" i="6"/>
  <c r="AG112" i="6"/>
  <c r="Q116" i="6"/>
  <c r="AE116" i="6"/>
  <c r="O124" i="6"/>
  <c r="AA124" i="6"/>
  <c r="Q128" i="6"/>
  <c r="AE128" i="6"/>
  <c r="P138" i="6"/>
  <c r="AB138" i="6"/>
  <c r="P142" i="6"/>
  <c r="AB142" i="6"/>
  <c r="S148" i="6"/>
  <c r="AG148" i="6"/>
  <c r="I160" i="6"/>
  <c r="S154" i="6"/>
  <c r="AG154" i="6"/>
  <c r="Q158" i="6"/>
  <c r="R158" i="6" s="1"/>
  <c r="V158" i="6" s="1"/>
  <c r="AE158" i="6"/>
  <c r="O164" i="6"/>
  <c r="AA164" i="6"/>
  <c r="Q168" i="6"/>
  <c r="U168" i="6" s="1"/>
  <c r="W168" i="6" s="1"/>
  <c r="AE168" i="6"/>
  <c r="O174" i="6"/>
  <c r="AA174" i="6"/>
  <c r="Q180" i="6"/>
  <c r="R180" i="6" s="1"/>
  <c r="V180" i="6" s="1"/>
  <c r="AE180" i="6"/>
  <c r="S184" i="6"/>
  <c r="AG184" i="6"/>
  <c r="O30" i="6"/>
  <c r="O44" i="6"/>
  <c r="S48" i="6"/>
  <c r="AG48" i="6"/>
  <c r="Q57" i="6"/>
  <c r="U57" i="6" s="1"/>
  <c r="W57" i="6" s="1"/>
  <c r="AE57" i="6"/>
  <c r="P62" i="6"/>
  <c r="AB62" i="6"/>
  <c r="O66" i="6"/>
  <c r="AB66" i="6"/>
  <c r="Q70" i="6"/>
  <c r="AE70" i="6"/>
  <c r="S74" i="6"/>
  <c r="Q80" i="6"/>
  <c r="O84" i="6"/>
  <c r="O91" i="6"/>
  <c r="AA91" i="6"/>
  <c r="S97" i="6"/>
  <c r="Q102" i="6"/>
  <c r="AE102" i="6"/>
  <c r="S108" i="6"/>
  <c r="U108" i="6" s="1"/>
  <c r="AG108" i="6"/>
  <c r="O112" i="6"/>
  <c r="AA112" i="6"/>
  <c r="S116" i="6"/>
  <c r="U116" i="6" s="1"/>
  <c r="W116" i="6" s="1"/>
  <c r="AG116" i="6"/>
  <c r="P124" i="6"/>
  <c r="AB124" i="6"/>
  <c r="S128" i="6"/>
  <c r="AG128" i="6"/>
  <c r="Q138" i="6"/>
  <c r="AE138" i="6"/>
  <c r="Q142" i="6"/>
  <c r="AE142" i="6"/>
  <c r="O148" i="6"/>
  <c r="AA148" i="6"/>
  <c r="O154" i="6"/>
  <c r="R154" i="6" s="1"/>
  <c r="V154" i="6" s="1"/>
  <c r="AA154" i="6"/>
  <c r="S158" i="6"/>
  <c r="AG158" i="6"/>
  <c r="P164" i="6"/>
  <c r="U164" i="6" s="1"/>
  <c r="W164" i="6" s="1"/>
  <c r="AB164" i="6"/>
  <c r="S168" i="6"/>
  <c r="AG168" i="6"/>
  <c r="P174" i="6"/>
  <c r="R174" i="6" s="1"/>
  <c r="V174" i="6" s="1"/>
  <c r="AB174" i="6"/>
  <c r="S180" i="6"/>
  <c r="AG180" i="6"/>
  <c r="O184" i="6"/>
  <c r="U184" i="6" s="1"/>
  <c r="W184" i="6" s="1"/>
  <c r="AA184" i="6"/>
  <c r="S30" i="6"/>
  <c r="AE34" i="6"/>
  <c r="AE38" i="6"/>
  <c r="AA48" i="6"/>
  <c r="S57" i="6"/>
  <c r="AG57" i="6"/>
  <c r="Q62" i="6"/>
  <c r="AE62" i="6"/>
  <c r="Q66" i="6"/>
  <c r="S70" i="6"/>
  <c r="S80" i="6"/>
  <c r="P84" i="6"/>
  <c r="P91" i="6"/>
  <c r="AE91" i="6"/>
  <c r="AA97" i="6"/>
  <c r="S102" i="6"/>
  <c r="AA108" i="6"/>
  <c r="P112" i="6"/>
  <c r="U112" i="6" s="1"/>
  <c r="W112" i="6" s="1"/>
  <c r="AA116" i="6"/>
  <c r="Q124" i="6"/>
  <c r="O128" i="6"/>
  <c r="S138" i="6"/>
  <c r="S142" i="6"/>
  <c r="P148" i="6"/>
  <c r="P154" i="6"/>
  <c r="AA158" i="6"/>
  <c r="Q164" i="6"/>
  <c r="AA168" i="6"/>
  <c r="Q174" i="6"/>
  <c r="AA180" i="6"/>
  <c r="P184" i="6"/>
  <c r="L197" i="6"/>
  <c r="AG32" i="6"/>
  <c r="P36" i="6"/>
  <c r="R44" i="6"/>
  <c r="V44" i="6" s="1"/>
  <c r="Q68" i="6"/>
  <c r="AG72" i="6"/>
  <c r="F88" i="6"/>
  <c r="AG104" i="6"/>
  <c r="AA110" i="6"/>
  <c r="S114" i="6"/>
  <c r="Q140" i="6"/>
  <c r="AA172" i="6"/>
  <c r="R51" i="7"/>
  <c r="R38" i="10"/>
  <c r="AA36" i="6"/>
  <c r="Q40" i="6"/>
  <c r="AB99" i="6"/>
  <c r="AE110" i="6"/>
  <c r="AB120" i="6"/>
  <c r="Z16" i="6"/>
  <c r="S27" i="6"/>
  <c r="R23" i="6"/>
  <c r="V23" i="6" s="1"/>
  <c r="S32" i="6"/>
  <c r="AA146" i="6"/>
  <c r="AA166" i="6"/>
  <c r="T197" i="6"/>
  <c r="AA63" i="6"/>
  <c r="AA81" i="6"/>
  <c r="AA92" i="6"/>
  <c r="P121" i="6"/>
  <c r="AE16" i="6"/>
  <c r="R14" i="6"/>
  <c r="V14" i="6" s="1"/>
  <c r="R22" i="6"/>
  <c r="V22" i="6" s="1"/>
  <c r="P26" i="6"/>
  <c r="AB26" i="6"/>
  <c r="S31" i="6"/>
  <c r="AG31" i="6"/>
  <c r="O35" i="6"/>
  <c r="AA35" i="6"/>
  <c r="P39" i="6"/>
  <c r="R39" i="6" s="1"/>
  <c r="V39" i="6" s="1"/>
  <c r="S45" i="6"/>
  <c r="AG45" i="6"/>
  <c r="P49" i="6"/>
  <c r="AB49" i="6"/>
  <c r="I55" i="6"/>
  <c r="Q58" i="6"/>
  <c r="AE58" i="6"/>
  <c r="S63" i="6"/>
  <c r="AE63" i="6"/>
  <c r="Q67" i="6"/>
  <c r="AB67" i="6"/>
  <c r="P71" i="6"/>
  <c r="AB71" i="6"/>
  <c r="Q75" i="6"/>
  <c r="H89" i="6"/>
  <c r="H132" i="6" s="1"/>
  <c r="S81" i="6"/>
  <c r="AE81" i="6"/>
  <c r="O85" i="6"/>
  <c r="AA85" i="6"/>
  <c r="S92" i="6"/>
  <c r="AE92" i="6"/>
  <c r="A97" i="6"/>
  <c r="S98" i="6"/>
  <c r="G151" i="6"/>
  <c r="G169" i="6"/>
  <c r="K77" i="6"/>
  <c r="I16" i="6"/>
  <c r="Q26" i="6"/>
  <c r="AE26" i="6"/>
  <c r="O31" i="6"/>
  <c r="AA31" i="6"/>
  <c r="P35" i="6"/>
  <c r="AB35" i="6"/>
  <c r="Q39" i="6"/>
  <c r="O45" i="6"/>
  <c r="AA45" i="6"/>
  <c r="Q49" i="6"/>
  <c r="AE49" i="6"/>
  <c r="S58" i="6"/>
  <c r="U58" i="6" s="1"/>
  <c r="W58" i="6" s="1"/>
  <c r="AG58" i="6"/>
  <c r="I77" i="6"/>
  <c r="O63" i="6"/>
  <c r="AG63" i="6"/>
  <c r="S67" i="6"/>
  <c r="AE67" i="6"/>
  <c r="Q71" i="6"/>
  <c r="AE71" i="6"/>
  <c r="S75" i="6"/>
  <c r="O81" i="6"/>
  <c r="AG81" i="6"/>
  <c r="P85" i="6"/>
  <c r="U85" i="6" s="1"/>
  <c r="W85" i="6" s="1"/>
  <c r="AB85" i="6"/>
  <c r="O92" i="6"/>
  <c r="AG92" i="6"/>
  <c r="O98" i="6"/>
  <c r="U98" i="6" s="1"/>
  <c r="W98" i="6" s="1"/>
  <c r="F143" i="6"/>
  <c r="G160" i="6"/>
  <c r="I185" i="6"/>
  <c r="K199" i="9"/>
  <c r="K200" i="9" s="1"/>
  <c r="T25" i="10" s="1"/>
  <c r="T16" i="10"/>
  <c r="S16" i="6"/>
  <c r="R13" i="6"/>
  <c r="V13" i="6" s="1"/>
  <c r="I24" i="6"/>
  <c r="S26" i="6"/>
  <c r="P31" i="6"/>
  <c r="Q35" i="6"/>
  <c r="Z50" i="6"/>
  <c r="P45" i="6"/>
  <c r="S49" i="6"/>
  <c r="AA58" i="6"/>
  <c r="P63" i="6"/>
  <c r="O67" i="6"/>
  <c r="U67" i="6" s="1"/>
  <c r="W67" i="6" s="1"/>
  <c r="S71" i="6"/>
  <c r="P81" i="6"/>
  <c r="Q85" i="6"/>
  <c r="P92" i="6"/>
  <c r="V93" i="9"/>
  <c r="S16" i="10"/>
  <c r="K199" i="8"/>
  <c r="AE136" i="9"/>
  <c r="AE195" i="9" s="1"/>
  <c r="U93" i="9"/>
  <c r="O136" i="9"/>
  <c r="O195" i="9" s="1"/>
  <c r="O199" i="9" s="1"/>
  <c r="O200" i="9" s="1"/>
  <c r="R36" i="10"/>
  <c r="R16" i="10"/>
  <c r="R25" i="10" s="1"/>
  <c r="R40" i="10"/>
  <c r="R55" i="9"/>
  <c r="R136" i="9" s="1"/>
  <c r="P136" i="9"/>
  <c r="P195" i="9" s="1"/>
  <c r="P199" i="9" s="1"/>
  <c r="P200" i="9" s="1"/>
  <c r="AG136" i="9"/>
  <c r="AG195" i="9" s="1"/>
  <c r="S136" i="9"/>
  <c r="S195" i="9" s="1"/>
  <c r="S199" i="9" s="1"/>
  <c r="S200" i="9" s="1"/>
  <c r="U194" i="9"/>
  <c r="T18" i="10"/>
  <c r="I41" i="6"/>
  <c r="I51" i="6" s="1"/>
  <c r="AA32" i="6"/>
  <c r="Q36" i="6"/>
  <c r="AG64" i="6"/>
  <c r="Q76" i="6"/>
  <c r="G79" i="6"/>
  <c r="G88" i="6" s="1"/>
  <c r="AE82" i="6"/>
  <c r="AE86" i="6"/>
  <c r="AE95" i="6"/>
  <c r="AG109" i="6"/>
  <c r="I131" i="6"/>
  <c r="AE129" i="6"/>
  <c r="K143" i="6"/>
  <c r="Q145" i="6"/>
  <c r="R145" i="6" s="1"/>
  <c r="V145" i="6" s="1"/>
  <c r="P149" i="6"/>
  <c r="AE149" i="6"/>
  <c r="S155" i="6"/>
  <c r="Q159" i="6"/>
  <c r="P165" i="6"/>
  <c r="AE165" i="6"/>
  <c r="Q171" i="6"/>
  <c r="AE171" i="6"/>
  <c r="S175" i="6"/>
  <c r="AG175" i="6"/>
  <c r="S181" i="6"/>
  <c r="AG181" i="6"/>
  <c r="AE29" i="6"/>
  <c r="K41" i="6"/>
  <c r="AE41" i="6" s="1"/>
  <c r="AA37" i="6"/>
  <c r="K50" i="6"/>
  <c r="K88" i="6"/>
  <c r="AE88" i="6" s="1"/>
  <c r="Q187" i="7"/>
  <c r="Q199" i="7" s="1"/>
  <c r="W194" i="9"/>
  <c r="U55" i="9"/>
  <c r="U136" i="9" s="1"/>
  <c r="Q195" i="9"/>
  <c r="Q199" i="9" s="1"/>
  <c r="Q200" i="9" s="1"/>
  <c r="V121" i="9"/>
  <c r="V194" i="9"/>
  <c r="O27" i="6"/>
  <c r="T51" i="6"/>
  <c r="G53" i="6"/>
  <c r="G55" i="6" s="1"/>
  <c r="AA13" i="6"/>
  <c r="AA16" i="6" s="1"/>
  <c r="R19" i="6"/>
  <c r="V19" i="6" s="1"/>
  <c r="F24" i="6"/>
  <c r="P27" i="6"/>
  <c r="AB27" i="6"/>
  <c r="P32" i="6"/>
  <c r="AB32" i="6"/>
  <c r="G41" i="6"/>
  <c r="G51" i="6" s="1"/>
  <c r="S36" i="6"/>
  <c r="AE36" i="6"/>
  <c r="O40" i="6"/>
  <c r="D51" i="6"/>
  <c r="P60" i="6"/>
  <c r="D89" i="6"/>
  <c r="N89" i="6"/>
  <c r="N132" i="6" s="1"/>
  <c r="I121" i="6"/>
  <c r="O129" i="6"/>
  <c r="AB139" i="6"/>
  <c r="N186" i="6"/>
  <c r="Q149" i="6"/>
  <c r="AA155" i="6"/>
  <c r="AA159" i="6"/>
  <c r="I169" i="6"/>
  <c r="Q165" i="6"/>
  <c r="S171" i="6"/>
  <c r="U171" i="6" s="1"/>
  <c r="AG171" i="6"/>
  <c r="AA66" i="6"/>
  <c r="AA183" i="6"/>
  <c r="V89" i="7"/>
  <c r="U51" i="7"/>
  <c r="V55" i="9"/>
  <c r="W55" i="9"/>
  <c r="F151" i="6"/>
  <c r="AA27" i="6"/>
  <c r="O32" i="6"/>
  <c r="AB36" i="6"/>
  <c r="S40" i="6"/>
  <c r="AB46" i="6"/>
  <c r="AB16" i="6"/>
  <c r="G24" i="6"/>
  <c r="R18" i="6"/>
  <c r="V18" i="6" s="1"/>
  <c r="Q27" i="6"/>
  <c r="F50" i="6"/>
  <c r="Q32" i="6"/>
  <c r="O36" i="6"/>
  <c r="G50" i="6"/>
  <c r="P46" i="6"/>
  <c r="F77" i="6"/>
  <c r="T89" i="6"/>
  <c r="G137" i="6"/>
  <c r="G143" i="6" s="1"/>
  <c r="P139" i="6"/>
  <c r="AE139" i="6"/>
  <c r="T186" i="6"/>
  <c r="I151" i="6"/>
  <c r="AB145" i="6"/>
  <c r="K151" i="6"/>
  <c r="F160" i="6"/>
  <c r="F169" i="6"/>
  <c r="I176" i="6"/>
  <c r="P175" i="6"/>
  <c r="R175" i="6" s="1"/>
  <c r="V175" i="6" s="1"/>
  <c r="AB175" i="6"/>
  <c r="O181" i="6"/>
  <c r="D186" i="6"/>
  <c r="M197" i="6"/>
  <c r="L200" i="6"/>
  <c r="W121" i="9"/>
  <c r="R194" i="9"/>
  <c r="AB136" i="9"/>
  <c r="AB193" i="9" s="1"/>
  <c r="AA136" i="9"/>
  <c r="AA193" i="9" s="1"/>
  <c r="W93" i="9"/>
  <c r="K202" i="8"/>
  <c r="V136" i="8"/>
  <c r="V195" i="8" s="1"/>
  <c r="R136" i="8"/>
  <c r="R195" i="8" s="1"/>
  <c r="O199" i="8"/>
  <c r="O200" i="8" s="1"/>
  <c r="U195" i="8"/>
  <c r="P199" i="8"/>
  <c r="P200" i="8" s="1"/>
  <c r="S200" i="8"/>
  <c r="Q199" i="8"/>
  <c r="W136" i="8"/>
  <c r="W195" i="8" s="1"/>
  <c r="O187" i="7"/>
  <c r="O191" i="7" s="1"/>
  <c r="AG132" i="7"/>
  <c r="AG187" i="7" s="1"/>
  <c r="W51" i="7"/>
  <c r="S199" i="7"/>
  <c r="S191" i="7"/>
  <c r="R195" i="7"/>
  <c r="W89" i="7"/>
  <c r="W132" i="7" s="1"/>
  <c r="AB132" i="7"/>
  <c r="AB185" i="7" s="1"/>
  <c r="AA132" i="7"/>
  <c r="AA185" i="7" s="1"/>
  <c r="V51" i="7"/>
  <c r="P199" i="7"/>
  <c r="P191" i="7"/>
  <c r="U89" i="7"/>
  <c r="U132" i="7" s="1"/>
  <c r="U186" i="7"/>
  <c r="V195" i="7"/>
  <c r="R186" i="7"/>
  <c r="W195" i="7"/>
  <c r="AE132" i="7"/>
  <c r="AE187" i="7" s="1"/>
  <c r="W186" i="7"/>
  <c r="R89" i="7"/>
  <c r="V186" i="7"/>
  <c r="U195" i="7"/>
  <c r="U14" i="6"/>
  <c r="W14" i="6" s="1"/>
  <c r="Q16" i="6"/>
  <c r="P93" i="6"/>
  <c r="AB60" i="6"/>
  <c r="Q60" i="6"/>
  <c r="AA64" i="6"/>
  <c r="P64" i="6"/>
  <c r="AB72" i="6"/>
  <c r="Q72" i="6"/>
  <c r="AA82" i="6"/>
  <c r="P82" i="6"/>
  <c r="AG86" i="6"/>
  <c r="S86" i="6"/>
  <c r="AE99" i="6"/>
  <c r="Q99" i="6"/>
  <c r="AG103" i="6"/>
  <c r="P103" i="6"/>
  <c r="AB109" i="6"/>
  <c r="AA113" i="6"/>
  <c r="P113" i="6"/>
  <c r="K190" i="6"/>
  <c r="K195" i="6" s="1"/>
  <c r="AE113" i="6"/>
  <c r="Q113" i="6"/>
  <c r="AE119" i="6"/>
  <c r="S119" i="6"/>
  <c r="AA125" i="6"/>
  <c r="P125" i="6"/>
  <c r="AG125" i="6"/>
  <c r="S125" i="6"/>
  <c r="P53" i="6"/>
  <c r="AB53" i="6"/>
  <c r="K55" i="6"/>
  <c r="AG55" i="6" s="1"/>
  <c r="AG60" i="6"/>
  <c r="S76" i="6"/>
  <c r="S82" i="6"/>
  <c r="AG82" i="6"/>
  <c r="Q86" i="6"/>
  <c r="S95" i="6"/>
  <c r="AG95" i="6"/>
  <c r="P99" i="6"/>
  <c r="AG99" i="6"/>
  <c r="U101" i="6"/>
  <c r="W101" i="6" s="1"/>
  <c r="Q103" i="6"/>
  <c r="AA103" i="6"/>
  <c r="O109" i="6"/>
  <c r="O113" i="6"/>
  <c r="AG113" i="6"/>
  <c r="Q119" i="6"/>
  <c r="AG119" i="6"/>
  <c r="K121" i="6"/>
  <c r="AB54" i="6"/>
  <c r="P54" i="6"/>
  <c r="AG61" i="6"/>
  <c r="O61" i="6"/>
  <c r="AB65" i="6"/>
  <c r="AB69" i="6"/>
  <c r="Q69" i="6"/>
  <c r="AE79" i="6"/>
  <c r="AE83" i="6"/>
  <c r="P83" i="6"/>
  <c r="AE87" i="6"/>
  <c r="Q87" i="6"/>
  <c r="AB96" i="6"/>
  <c r="Q96" i="6"/>
  <c r="AE104" i="6"/>
  <c r="S104" i="6"/>
  <c r="O104" i="6"/>
  <c r="AB110" i="6"/>
  <c r="Q110" i="6"/>
  <c r="AB114" i="6"/>
  <c r="Q114" i="6"/>
  <c r="U114" i="6" s="1"/>
  <c r="W114" i="6" s="1"/>
  <c r="AA114" i="6"/>
  <c r="O114" i="6"/>
  <c r="AG120" i="6"/>
  <c r="O120" i="6"/>
  <c r="R120" i="6" s="1"/>
  <c r="V120" i="6" s="1"/>
  <c r="AE120" i="6"/>
  <c r="S120" i="6"/>
  <c r="AB126" i="6"/>
  <c r="Q126" i="6"/>
  <c r="AG126" i="6"/>
  <c r="S126" i="6"/>
  <c r="AE126" i="6"/>
  <c r="P126" i="6"/>
  <c r="AE130" i="6"/>
  <c r="Q130" i="6"/>
  <c r="AB130" i="6"/>
  <c r="O130" i="6"/>
  <c r="U130" i="6" s="1"/>
  <c r="W130" i="6" s="1"/>
  <c r="AA130" i="6"/>
  <c r="P140" i="6"/>
  <c r="O140" i="6"/>
  <c r="AG140" i="6"/>
  <c r="S140" i="6"/>
  <c r="AE146" i="6"/>
  <c r="Q146" i="6"/>
  <c r="AG146" i="6"/>
  <c r="P146" i="6"/>
  <c r="AB146" i="6"/>
  <c r="O146" i="6"/>
  <c r="AE150" i="6"/>
  <c r="Q150" i="6"/>
  <c r="AG150" i="6"/>
  <c r="P150" i="6"/>
  <c r="AB150" i="6"/>
  <c r="O150" i="6"/>
  <c r="AG156" i="6"/>
  <c r="S156" i="6"/>
  <c r="AB156" i="6"/>
  <c r="O156" i="6"/>
  <c r="AE162" i="6"/>
  <c r="Q162" i="6"/>
  <c r="AG162" i="6"/>
  <c r="P162" i="6"/>
  <c r="AB162" i="6"/>
  <c r="O162" i="6"/>
  <c r="AE166" i="6"/>
  <c r="Q166" i="6"/>
  <c r="AG166" i="6"/>
  <c r="P166" i="6"/>
  <c r="AB166" i="6"/>
  <c r="O166" i="6"/>
  <c r="AE172" i="6"/>
  <c r="Q172" i="6"/>
  <c r="Q176" i="6" s="1"/>
  <c r="K176" i="6"/>
  <c r="AA176" i="6" s="1"/>
  <c r="AG172" i="6"/>
  <c r="P172" i="6"/>
  <c r="AB172" i="6"/>
  <c r="O172" i="6"/>
  <c r="O176" i="6" s="1"/>
  <c r="K185" i="6"/>
  <c r="AE178" i="6"/>
  <c r="O178" i="6"/>
  <c r="AG178" i="6"/>
  <c r="S178" i="6"/>
  <c r="AA182" i="6"/>
  <c r="Q182" i="6"/>
  <c r="O182" i="6"/>
  <c r="AG182" i="6"/>
  <c r="Q53" i="6"/>
  <c r="Q55" i="6" s="1"/>
  <c r="AE53" i="6"/>
  <c r="AA54" i="6"/>
  <c r="S60" i="6"/>
  <c r="O64" i="6"/>
  <c r="AB64" i="6"/>
  <c r="O65" i="6"/>
  <c r="O68" i="6"/>
  <c r="O69" i="6"/>
  <c r="AA69" i="6"/>
  <c r="O72" i="6"/>
  <c r="AA72" i="6"/>
  <c r="Q73" i="6"/>
  <c r="Q79" i="6"/>
  <c r="AG79" i="6"/>
  <c r="Q83" i="6"/>
  <c r="AA83" i="6"/>
  <c r="AA86" i="6"/>
  <c r="O87" i="6"/>
  <c r="AB87" i="6"/>
  <c r="O95" i="6"/>
  <c r="S96" i="6"/>
  <c r="AG96" i="6"/>
  <c r="S99" i="6"/>
  <c r="R102" i="6"/>
  <c r="V102" i="6" s="1"/>
  <c r="AB103" i="6"/>
  <c r="R108" i="6"/>
  <c r="V108" i="6" s="1"/>
  <c r="P109" i="6"/>
  <c r="AA109" i="6"/>
  <c r="R110" i="6"/>
  <c r="V110" i="6" s="1"/>
  <c r="AG110" i="6"/>
  <c r="S113" i="6"/>
  <c r="AB125" i="6"/>
  <c r="O126" i="6"/>
  <c r="AG130" i="6"/>
  <c r="K131" i="6"/>
  <c r="AA150" i="6"/>
  <c r="AE156" i="6"/>
  <c r="S162" i="6"/>
  <c r="K169" i="6"/>
  <c r="AB169" i="6" s="1"/>
  <c r="P178" i="6"/>
  <c r="AB178" i="6"/>
  <c r="P182" i="6"/>
  <c r="AE182" i="6"/>
  <c r="S53" i="6"/>
  <c r="S55" i="6" s="1"/>
  <c r="AG53" i="6"/>
  <c r="O54" i="6"/>
  <c r="U54" i="6" s="1"/>
  <c r="W54" i="6" s="1"/>
  <c r="AE54" i="6"/>
  <c r="O60" i="6"/>
  <c r="R60" i="6" s="1"/>
  <c r="V60" i="6" s="1"/>
  <c r="AA60" i="6"/>
  <c r="P61" i="6"/>
  <c r="AA61" i="6"/>
  <c r="Q64" i="6"/>
  <c r="AE64" i="6"/>
  <c r="P65" i="6"/>
  <c r="AA65" i="6"/>
  <c r="P68" i="6"/>
  <c r="P69" i="6"/>
  <c r="AE69" i="6"/>
  <c r="P72" i="6"/>
  <c r="AE72" i="6"/>
  <c r="S73" i="6"/>
  <c r="O76" i="6"/>
  <c r="S79" i="6"/>
  <c r="O82" i="6"/>
  <c r="AB82" i="6"/>
  <c r="AB83" i="6"/>
  <c r="O86" i="6"/>
  <c r="R86" i="6" s="1"/>
  <c r="V86" i="6" s="1"/>
  <c r="AB86" i="6"/>
  <c r="P87" i="6"/>
  <c r="AG87" i="6"/>
  <c r="Q95" i="6"/>
  <c r="AB95" i="6"/>
  <c r="R98" i="6"/>
  <c r="V98" i="6" s="1"/>
  <c r="AA99" i="6"/>
  <c r="S103" i="6"/>
  <c r="AE103" i="6"/>
  <c r="P104" i="6"/>
  <c r="AA104" i="6"/>
  <c r="Q109" i="6"/>
  <c r="AE109" i="6"/>
  <c r="S110" i="6"/>
  <c r="AE114" i="6"/>
  <c r="O119" i="6"/>
  <c r="AA119" i="6"/>
  <c r="AA120" i="6"/>
  <c r="O125" i="6"/>
  <c r="AE125" i="6"/>
  <c r="AB143" i="6"/>
  <c r="S146" i="6"/>
  <c r="P156" i="6"/>
  <c r="AA162" i="6"/>
  <c r="S172" i="6"/>
  <c r="Q178" i="6"/>
  <c r="S182" i="6"/>
  <c r="AG129" i="6"/>
  <c r="S129" i="6"/>
  <c r="AB155" i="6"/>
  <c r="P155" i="6"/>
  <c r="AB159" i="6"/>
  <c r="P159" i="6"/>
  <c r="R171" i="6"/>
  <c r="V171" i="6" s="1"/>
  <c r="AA181" i="6"/>
  <c r="P181" i="6"/>
  <c r="Q129" i="6"/>
  <c r="Q160" i="6"/>
  <c r="AA156" i="6"/>
  <c r="K117" i="6"/>
  <c r="AB117" i="6" s="1"/>
  <c r="AE111" i="6"/>
  <c r="S111" i="6"/>
  <c r="AE115" i="6"/>
  <c r="S115" i="6"/>
  <c r="U115" i="6" s="1"/>
  <c r="W115" i="6" s="1"/>
  <c r="AE123" i="6"/>
  <c r="S123" i="6"/>
  <c r="AE127" i="6"/>
  <c r="S127" i="6"/>
  <c r="AB137" i="6"/>
  <c r="P137" i="6"/>
  <c r="AB141" i="6"/>
  <c r="P141" i="6"/>
  <c r="U147" i="6"/>
  <c r="W147" i="6" s="1"/>
  <c r="AA53" i="6"/>
  <c r="AA57" i="6"/>
  <c r="O62" i="6"/>
  <c r="U62" i="6" s="1"/>
  <c r="W62" i="6" s="1"/>
  <c r="P66" i="6"/>
  <c r="O70" i="6"/>
  <c r="R70" i="6" s="1"/>
  <c r="V70" i="6" s="1"/>
  <c r="AA95" i="6"/>
  <c r="P97" i="6"/>
  <c r="U97" i="6" s="1"/>
  <c r="W97" i="6" s="1"/>
  <c r="R101" i="6"/>
  <c r="V101" i="6" s="1"/>
  <c r="O107" i="6"/>
  <c r="S107" i="6"/>
  <c r="AE107" i="6"/>
  <c r="Q111" i="6"/>
  <c r="R111" i="6" s="1"/>
  <c r="V111" i="6" s="1"/>
  <c r="AB111" i="6"/>
  <c r="P127" i="6"/>
  <c r="AB127" i="6"/>
  <c r="AA129" i="6"/>
  <c r="Q137" i="6"/>
  <c r="AG137" i="6"/>
  <c r="O139" i="6"/>
  <c r="R139" i="6" s="1"/>
  <c r="V139" i="6" s="1"/>
  <c r="AG139" i="6"/>
  <c r="Q141" i="6"/>
  <c r="AG141" i="6"/>
  <c r="U142" i="6"/>
  <c r="W142" i="6" s="1"/>
  <c r="S145" i="6"/>
  <c r="AG145" i="6"/>
  <c r="S149" i="6"/>
  <c r="AG149" i="6"/>
  <c r="O155" i="6"/>
  <c r="AE155" i="6"/>
  <c r="S159" i="6"/>
  <c r="K160" i="6"/>
  <c r="AB160" i="6" s="1"/>
  <c r="S165" i="6"/>
  <c r="AG165" i="6"/>
  <c r="R184" i="6"/>
  <c r="V184" i="6" s="1"/>
  <c r="AA139" i="6"/>
  <c r="AA140" i="6"/>
  <c r="AA145" i="6"/>
  <c r="AA147" i="6"/>
  <c r="AA149" i="6"/>
  <c r="P153" i="6"/>
  <c r="U153" i="6" s="1"/>
  <c r="P157" i="6"/>
  <c r="R157" i="6" s="1"/>
  <c r="V157" i="6" s="1"/>
  <c r="AA163" i="6"/>
  <c r="AA165" i="6"/>
  <c r="AA167" i="6"/>
  <c r="AA171" i="6"/>
  <c r="AA173" i="6"/>
  <c r="AA175" i="6"/>
  <c r="O179" i="6"/>
  <c r="U179" i="6" s="1"/>
  <c r="W179" i="6" s="1"/>
  <c r="P183" i="6"/>
  <c r="U183" i="6" s="1"/>
  <c r="W183" i="6" s="1"/>
  <c r="Q43" i="6"/>
  <c r="U43" i="6" s="1"/>
  <c r="AA43" i="6"/>
  <c r="S46" i="6"/>
  <c r="AG46" i="6"/>
  <c r="O47" i="6"/>
  <c r="AA47" i="6"/>
  <c r="Q46" i="6"/>
  <c r="AE46" i="6"/>
  <c r="AE50" i="6" s="1"/>
  <c r="AB43" i="6"/>
  <c r="AA46" i="6"/>
  <c r="P47" i="6"/>
  <c r="O29" i="6"/>
  <c r="AA29" i="6"/>
  <c r="Q33" i="6"/>
  <c r="R33" i="6" s="1"/>
  <c r="V33" i="6" s="1"/>
  <c r="P29" i="6"/>
  <c r="AB29" i="6"/>
  <c r="P30" i="6"/>
  <c r="S33" i="6"/>
  <c r="AG33" i="6"/>
  <c r="P34" i="6"/>
  <c r="AA34" i="6"/>
  <c r="O37" i="6"/>
  <c r="AG37" i="6"/>
  <c r="P38" i="6"/>
  <c r="AA38" i="6"/>
  <c r="AE33" i="6"/>
  <c r="R35" i="6"/>
  <c r="V35" i="6" s="1"/>
  <c r="S37" i="6"/>
  <c r="AE37" i="6"/>
  <c r="Q29" i="6"/>
  <c r="AA33" i="6"/>
  <c r="Q34" i="6"/>
  <c r="P37" i="6"/>
  <c r="Q38" i="6"/>
  <c r="O20" i="6"/>
  <c r="AE20" i="6"/>
  <c r="U19" i="6"/>
  <c r="W19" i="6" s="1"/>
  <c r="P20" i="6"/>
  <c r="AG20" i="6"/>
  <c r="P21" i="6"/>
  <c r="AG21" i="6"/>
  <c r="U22" i="6"/>
  <c r="W22" i="6" s="1"/>
  <c r="U23" i="6"/>
  <c r="W23" i="6" s="1"/>
  <c r="S20" i="6"/>
  <c r="S24" i="6" s="1"/>
  <c r="Q20" i="6"/>
  <c r="AA20" i="6"/>
  <c r="Q21" i="6"/>
  <c r="R15" i="6"/>
  <c r="AH15" i="6" s="1"/>
  <c r="P16" i="6"/>
  <c r="AG16" i="6"/>
  <c r="U13" i="6"/>
  <c r="W13" i="6" s="1"/>
  <c r="U15" i="6"/>
  <c r="W15" i="6" s="1"/>
  <c r="R112" i="6"/>
  <c r="V112" i="6" s="1"/>
  <c r="O16" i="6"/>
  <c r="AE24" i="6"/>
  <c r="R58" i="6"/>
  <c r="V58" i="6" s="1"/>
  <c r="U80" i="6"/>
  <c r="W80" i="6" s="1"/>
  <c r="G96" i="6"/>
  <c r="G105" i="6" s="1"/>
  <c r="F105" i="6"/>
  <c r="G113" i="6"/>
  <c r="G117" i="6" s="1"/>
  <c r="F117" i="6"/>
  <c r="AB24" i="6"/>
  <c r="AH14" i="6"/>
  <c r="U18" i="6"/>
  <c r="AG24" i="6"/>
  <c r="R26" i="6"/>
  <c r="I88" i="6"/>
  <c r="I89" i="6" s="1"/>
  <c r="AG88" i="6"/>
  <c r="I105" i="6"/>
  <c r="R116" i="6"/>
  <c r="V116" i="6" s="1"/>
  <c r="F121" i="6"/>
  <c r="G119" i="6"/>
  <c r="G121" i="6" s="1"/>
  <c r="U167" i="6"/>
  <c r="W167" i="6" s="1"/>
  <c r="R167" i="6"/>
  <c r="V167" i="6" s="1"/>
  <c r="G13" i="6"/>
  <c r="G16" i="6" s="1"/>
  <c r="R49" i="6"/>
  <c r="V49" i="6" s="1"/>
  <c r="Z77" i="6"/>
  <c r="R114" i="6"/>
  <c r="V114" i="6" s="1"/>
  <c r="F131" i="6"/>
  <c r="I143" i="6"/>
  <c r="N188" i="6"/>
  <c r="U175" i="6"/>
  <c r="W175" i="6" s="1"/>
  <c r="R115" i="6"/>
  <c r="V115" i="6" s="1"/>
  <c r="Q121" i="6"/>
  <c r="R123" i="6"/>
  <c r="R147" i="6"/>
  <c r="V147" i="6" s="1"/>
  <c r="R148" i="6"/>
  <c r="V148" i="6" s="1"/>
  <c r="AA151" i="6"/>
  <c r="AG151" i="6"/>
  <c r="AB151" i="6"/>
  <c r="G77" i="6"/>
  <c r="G89" i="6" s="1"/>
  <c r="R67" i="6"/>
  <c r="V67" i="6" s="1"/>
  <c r="R73" i="6"/>
  <c r="V73" i="6" s="1"/>
  <c r="R75" i="6"/>
  <c r="V75" i="6" s="1"/>
  <c r="U75" i="6"/>
  <c r="W75" i="6" s="1"/>
  <c r="R84" i="6"/>
  <c r="V84" i="6" s="1"/>
  <c r="U84" i="6"/>
  <c r="W84" i="6" s="1"/>
  <c r="I117" i="6"/>
  <c r="U163" i="6"/>
  <c r="W163" i="6" s="1"/>
  <c r="R163" i="6"/>
  <c r="V163" i="6" s="1"/>
  <c r="G123" i="6"/>
  <c r="G131" i="6" s="1"/>
  <c r="U124" i="6"/>
  <c r="W124" i="6" s="1"/>
  <c r="E186" i="6"/>
  <c r="AG143" i="6"/>
  <c r="AE143" i="6"/>
  <c r="AA143" i="6"/>
  <c r="AE151" i="6"/>
  <c r="U158" i="6"/>
  <c r="W158" i="6" s="1"/>
  <c r="U174" i="6"/>
  <c r="W174" i="6" s="1"/>
  <c r="H186" i="6"/>
  <c r="R173" i="6"/>
  <c r="U173" i="6"/>
  <c r="W173" i="6" s="1"/>
  <c r="F176" i="6"/>
  <c r="G171" i="6"/>
  <c r="G176" i="6" s="1"/>
  <c r="F185" i="6"/>
  <c r="G178" i="6"/>
  <c r="G185" i="6" s="1"/>
  <c r="M200" i="6"/>
  <c r="K131" i="1"/>
  <c r="D88" i="1"/>
  <c r="S80" i="1"/>
  <c r="Q80" i="1"/>
  <c r="P80" i="1"/>
  <c r="O80" i="1"/>
  <c r="I80" i="1"/>
  <c r="T41" i="1"/>
  <c r="D41" i="1"/>
  <c r="S40" i="1"/>
  <c r="Q40" i="1"/>
  <c r="P40" i="1"/>
  <c r="O40" i="1"/>
  <c r="Q76" i="1"/>
  <c r="Q75" i="1"/>
  <c r="O76" i="1"/>
  <c r="K77" i="1"/>
  <c r="P76" i="1"/>
  <c r="S76" i="1"/>
  <c r="D77" i="1"/>
  <c r="R85" i="6" l="1"/>
  <c r="V85" i="6" s="1"/>
  <c r="U127" i="6"/>
  <c r="W127" i="6" s="1"/>
  <c r="U180" i="6"/>
  <c r="W180" i="6" s="1"/>
  <c r="R126" i="6"/>
  <c r="V126" i="6" s="1"/>
  <c r="AB93" i="6"/>
  <c r="N187" i="6"/>
  <c r="U81" i="6"/>
  <c r="W81" i="6" s="1"/>
  <c r="U35" i="6"/>
  <c r="W35" i="6" s="1"/>
  <c r="R168" i="6"/>
  <c r="V168" i="6" s="1"/>
  <c r="U154" i="6"/>
  <c r="W154" i="6" s="1"/>
  <c r="R128" i="6"/>
  <c r="V128" i="6" s="1"/>
  <c r="R164" i="6"/>
  <c r="V164" i="6" s="1"/>
  <c r="U120" i="6"/>
  <c r="W120" i="6" s="1"/>
  <c r="AA93" i="6"/>
  <c r="O55" i="6"/>
  <c r="R141" i="6"/>
  <c r="V141" i="6" s="1"/>
  <c r="O121" i="6"/>
  <c r="AE93" i="6"/>
  <c r="D132" i="6"/>
  <c r="U31" i="6"/>
  <c r="W31" i="6" s="1"/>
  <c r="U39" i="6"/>
  <c r="W39" i="6" s="1"/>
  <c r="U48" i="6"/>
  <c r="W48" i="6" s="1"/>
  <c r="AB50" i="6"/>
  <c r="S169" i="6"/>
  <c r="O160" i="6"/>
  <c r="R66" i="6"/>
  <c r="V66" i="6" s="1"/>
  <c r="U65" i="6"/>
  <c r="W65" i="6" s="1"/>
  <c r="R103" i="6"/>
  <c r="V103" i="6" s="1"/>
  <c r="U47" i="6"/>
  <c r="W47" i="6" s="1"/>
  <c r="R27" i="6"/>
  <c r="V27" i="6" s="1"/>
  <c r="R36" i="6"/>
  <c r="V36" i="6" s="1"/>
  <c r="U91" i="6"/>
  <c r="W91" i="6" s="1"/>
  <c r="U148" i="6"/>
  <c r="W148" i="6" s="1"/>
  <c r="U138" i="6"/>
  <c r="W138" i="6" s="1"/>
  <c r="R124" i="6"/>
  <c r="V124" i="6" s="1"/>
  <c r="U102" i="6"/>
  <c r="W102" i="6" s="1"/>
  <c r="S93" i="6"/>
  <c r="U44" i="6"/>
  <c r="W44" i="6" s="1"/>
  <c r="D187" i="6"/>
  <c r="U32" i="6"/>
  <c r="W32" i="6" s="1"/>
  <c r="R159" i="6"/>
  <c r="V159" i="6" s="1"/>
  <c r="R140" i="6"/>
  <c r="V140" i="6" s="1"/>
  <c r="U74" i="6"/>
  <c r="W74" i="6" s="1"/>
  <c r="AG50" i="6"/>
  <c r="U145" i="6"/>
  <c r="R91" i="6"/>
  <c r="V91" i="6" s="1"/>
  <c r="P117" i="6"/>
  <c r="R57" i="6"/>
  <c r="V57" i="6" s="1"/>
  <c r="U53" i="6"/>
  <c r="U149" i="6"/>
  <c r="W149" i="6" s="1"/>
  <c r="S143" i="6"/>
  <c r="U36" i="6"/>
  <c r="W36" i="6" s="1"/>
  <c r="R138" i="6"/>
  <c r="V138" i="6" s="1"/>
  <c r="R80" i="6"/>
  <c r="V80" i="6" s="1"/>
  <c r="F89" i="6"/>
  <c r="U166" i="6"/>
  <c r="W166" i="6" s="1"/>
  <c r="O169" i="6"/>
  <c r="Q169" i="6"/>
  <c r="R150" i="6"/>
  <c r="V150" i="6" s="1"/>
  <c r="U146" i="6"/>
  <c r="W146" i="6" s="1"/>
  <c r="Q151" i="6"/>
  <c r="P131" i="6"/>
  <c r="R99" i="6"/>
  <c r="V99" i="6" s="1"/>
  <c r="Q24" i="6"/>
  <c r="U33" i="6"/>
  <c r="W33" i="6" s="1"/>
  <c r="T132" i="6"/>
  <c r="T187" i="6" s="1"/>
  <c r="T199" i="6" s="1"/>
  <c r="T200" i="6" s="1"/>
  <c r="R165" i="6"/>
  <c r="V165" i="6" s="1"/>
  <c r="R149" i="6"/>
  <c r="V149" i="6" s="1"/>
  <c r="AG77" i="6"/>
  <c r="U92" i="6"/>
  <c r="W92" i="6" s="1"/>
  <c r="U26" i="6"/>
  <c r="W26" i="6" s="1"/>
  <c r="U40" i="6"/>
  <c r="W40" i="6" s="1"/>
  <c r="S50" i="6"/>
  <c r="AA169" i="6"/>
  <c r="U139" i="6"/>
  <c r="W139" i="6" s="1"/>
  <c r="R62" i="6"/>
  <c r="V62" i="6" s="1"/>
  <c r="R16" i="6"/>
  <c r="K89" i="6"/>
  <c r="AE89" i="6" s="1"/>
  <c r="R54" i="6"/>
  <c r="V54" i="6" s="1"/>
  <c r="U73" i="6"/>
  <c r="W73" i="6" s="1"/>
  <c r="U69" i="6"/>
  <c r="W69" i="6" s="1"/>
  <c r="U64" i="6"/>
  <c r="W64" i="6" s="1"/>
  <c r="R130" i="6"/>
  <c r="V130" i="6" s="1"/>
  <c r="R71" i="6"/>
  <c r="V71" i="6" s="1"/>
  <c r="AB88" i="6"/>
  <c r="AA88" i="6"/>
  <c r="U165" i="6"/>
  <c r="W165" i="6" s="1"/>
  <c r="Q77" i="6"/>
  <c r="Q89" i="6" s="1"/>
  <c r="U71" i="6"/>
  <c r="W71" i="6" s="1"/>
  <c r="U63" i="6"/>
  <c r="W63" i="6" s="1"/>
  <c r="U45" i="6"/>
  <c r="W45" i="6" s="1"/>
  <c r="U76" i="1"/>
  <c r="W76" i="1" s="1"/>
  <c r="R179" i="6"/>
  <c r="V179" i="6" s="1"/>
  <c r="U129" i="6"/>
  <c r="W129" i="6" s="1"/>
  <c r="Q185" i="6"/>
  <c r="S88" i="6"/>
  <c r="R132" i="7"/>
  <c r="R92" i="6"/>
  <c r="V92" i="6" s="1"/>
  <c r="R81" i="6"/>
  <c r="V81" i="6" s="1"/>
  <c r="U49" i="6"/>
  <c r="W49" i="6" s="1"/>
  <c r="U156" i="6"/>
  <c r="W156" i="6" s="1"/>
  <c r="U86" i="6"/>
  <c r="W86" i="6" s="1"/>
  <c r="R45" i="6"/>
  <c r="V45" i="6" s="1"/>
  <c r="R125" i="6"/>
  <c r="V125" i="6" s="1"/>
  <c r="Q88" i="6"/>
  <c r="R68" i="6"/>
  <c r="V68" i="6" s="1"/>
  <c r="R63" i="6"/>
  <c r="V63" i="6" s="1"/>
  <c r="V132" i="7"/>
  <c r="V187" i="7" s="1"/>
  <c r="V199" i="7" s="1"/>
  <c r="S33" i="10"/>
  <c r="S29" i="10"/>
  <c r="T38" i="10"/>
  <c r="T43" i="10"/>
  <c r="O93" i="6"/>
  <c r="U16" i="6"/>
  <c r="AA160" i="6"/>
  <c r="V15" i="6"/>
  <c r="V16" i="6" s="1"/>
  <c r="U159" i="6"/>
  <c r="W159" i="6" s="1"/>
  <c r="P143" i="6"/>
  <c r="S131" i="6"/>
  <c r="U181" i="6"/>
  <c r="W181" i="6" s="1"/>
  <c r="S176" i="6"/>
  <c r="U110" i="6"/>
  <c r="W110" i="6" s="1"/>
  <c r="U87" i="6"/>
  <c r="W87" i="6" s="1"/>
  <c r="R76" i="6"/>
  <c r="V76" i="6" s="1"/>
  <c r="U72" i="6"/>
  <c r="W72" i="6" s="1"/>
  <c r="U60" i="6"/>
  <c r="W60" i="6" s="1"/>
  <c r="R32" i="6"/>
  <c r="V32" i="6" s="1"/>
  <c r="R31" i="6"/>
  <c r="V31" i="6" s="1"/>
  <c r="S43" i="10"/>
  <c r="S38" i="10"/>
  <c r="S18" i="10"/>
  <c r="S25" i="10"/>
  <c r="U25" i="10" s="1"/>
  <c r="T33" i="10"/>
  <c r="T29" i="10"/>
  <c r="R127" i="6"/>
  <c r="V127" i="6" s="1"/>
  <c r="R40" i="6"/>
  <c r="V40" i="6" s="1"/>
  <c r="P50" i="6"/>
  <c r="R80" i="1"/>
  <c r="V80" i="1" s="1"/>
  <c r="I186" i="6"/>
  <c r="R119" i="6"/>
  <c r="V119" i="6" s="1"/>
  <c r="V121" i="6" s="1"/>
  <c r="O151" i="6"/>
  <c r="S190" i="6"/>
  <c r="S195" i="6" s="1"/>
  <c r="AH16" i="6"/>
  <c r="U38" i="6"/>
  <c r="W38" i="6" s="1"/>
  <c r="R34" i="6"/>
  <c r="V34" i="6" s="1"/>
  <c r="R82" i="6"/>
  <c r="V82" i="6" s="1"/>
  <c r="U182" i="6"/>
  <c r="W182" i="6" s="1"/>
  <c r="K207" i="9"/>
  <c r="O196" i="9"/>
  <c r="R23" i="10"/>
  <c r="R18" i="10"/>
  <c r="R14" i="10" s="1"/>
  <c r="R195" i="9"/>
  <c r="S196" i="9" s="1"/>
  <c r="T27" i="10"/>
  <c r="W136" i="9"/>
  <c r="W195" i="9" s="1"/>
  <c r="W199" i="9" s="1"/>
  <c r="W200" i="9" s="1"/>
  <c r="U195" i="9"/>
  <c r="U199" i="9" s="1"/>
  <c r="U200" i="9" s="1"/>
  <c r="T31" i="10"/>
  <c r="T14" i="10"/>
  <c r="P77" i="6"/>
  <c r="Q131" i="6"/>
  <c r="U70" i="6"/>
  <c r="W70" i="6" s="1"/>
  <c r="U34" i="6"/>
  <c r="W34" i="6" s="1"/>
  <c r="R29" i="6"/>
  <c r="V29" i="6" s="1"/>
  <c r="AE77" i="6"/>
  <c r="AA77" i="6"/>
  <c r="O77" i="6"/>
  <c r="P176" i="6"/>
  <c r="O190" i="6"/>
  <c r="R109" i="6"/>
  <c r="V109" i="6" s="1"/>
  <c r="P88" i="6"/>
  <c r="R64" i="6"/>
  <c r="V64" i="6" s="1"/>
  <c r="R53" i="6"/>
  <c r="V136" i="9"/>
  <c r="V195" i="9" s="1"/>
  <c r="V199" i="9" s="1"/>
  <c r="V200" i="9" s="1"/>
  <c r="U27" i="6"/>
  <c r="W27" i="6" s="1"/>
  <c r="I132" i="6"/>
  <c r="R166" i="6"/>
  <c r="V166" i="6" s="1"/>
  <c r="S160" i="6"/>
  <c r="S41" i="6"/>
  <c r="Q50" i="6"/>
  <c r="U141" i="6"/>
  <c r="W141" i="6" s="1"/>
  <c r="Q117" i="6"/>
  <c r="U79" i="6"/>
  <c r="S185" i="6"/>
  <c r="P151" i="6"/>
  <c r="U96" i="6"/>
  <c r="W96" i="6" s="1"/>
  <c r="U99" i="6"/>
  <c r="W99" i="6" s="1"/>
  <c r="O188" i="7"/>
  <c r="Q191" i="7"/>
  <c r="Q196" i="7" s="1"/>
  <c r="Q197" i="7" s="1"/>
  <c r="Q200" i="7" s="1"/>
  <c r="AG169" i="6"/>
  <c r="F186" i="6"/>
  <c r="H187" i="6"/>
  <c r="R162" i="6"/>
  <c r="R169" i="6" s="1"/>
  <c r="R146" i="6"/>
  <c r="V146" i="6" s="1"/>
  <c r="R153" i="6"/>
  <c r="V153" i="6" s="1"/>
  <c r="F132" i="6"/>
  <c r="K186" i="6"/>
  <c r="S151" i="6"/>
  <c r="O143" i="6"/>
  <c r="P160" i="6"/>
  <c r="P185" i="6"/>
  <c r="O199" i="7"/>
  <c r="K200" i="8"/>
  <c r="V199" i="8"/>
  <c r="V200" i="8" s="1"/>
  <c r="U199" i="8"/>
  <c r="U200" i="8" s="1"/>
  <c r="W199" i="8"/>
  <c r="Q200" i="8"/>
  <c r="R199" i="8"/>
  <c r="S196" i="8"/>
  <c r="K199" i="7"/>
  <c r="K202" i="7"/>
  <c r="K203" i="7" s="1"/>
  <c r="K191" i="7"/>
  <c r="U187" i="7"/>
  <c r="R187" i="7"/>
  <c r="S196" i="7"/>
  <c r="S197" i="7" s="1"/>
  <c r="S200" i="7" s="1"/>
  <c r="S192" i="7"/>
  <c r="W187" i="7"/>
  <c r="P196" i="7"/>
  <c r="P197" i="7" s="1"/>
  <c r="P200" i="7" s="1"/>
  <c r="P192" i="7"/>
  <c r="O196" i="7"/>
  <c r="O197" i="7" s="1"/>
  <c r="O192" i="7"/>
  <c r="R37" i="6"/>
  <c r="V37" i="6" s="1"/>
  <c r="P24" i="6"/>
  <c r="U95" i="6"/>
  <c r="W95" i="6" s="1"/>
  <c r="R95" i="6"/>
  <c r="V95" i="6" s="1"/>
  <c r="U178" i="6"/>
  <c r="U140" i="6"/>
  <c r="W140" i="6" s="1"/>
  <c r="R79" i="6"/>
  <c r="V79" i="6" s="1"/>
  <c r="R65" i="6"/>
  <c r="V65" i="6" s="1"/>
  <c r="AB121" i="6"/>
  <c r="AG121" i="6"/>
  <c r="AE121" i="6"/>
  <c r="AA121" i="6"/>
  <c r="R113" i="6"/>
  <c r="V113" i="6" s="1"/>
  <c r="V190" i="6" s="1"/>
  <c r="V195" i="6" s="1"/>
  <c r="P55" i="6"/>
  <c r="AB77" i="6"/>
  <c r="U126" i="6"/>
  <c r="W126" i="6" s="1"/>
  <c r="U172" i="6"/>
  <c r="W172" i="6" s="1"/>
  <c r="U125" i="6"/>
  <c r="W125" i="6" s="1"/>
  <c r="R97" i="6"/>
  <c r="V97" i="6" s="1"/>
  <c r="S77" i="6"/>
  <c r="S89" i="6" s="1"/>
  <c r="R155" i="6"/>
  <c r="V155" i="6" s="1"/>
  <c r="S117" i="6"/>
  <c r="O131" i="6"/>
  <c r="AE185" i="6"/>
  <c r="U109" i="6"/>
  <c r="W109" i="6" s="1"/>
  <c r="S121" i="6"/>
  <c r="R183" i="6"/>
  <c r="V183" i="6" s="1"/>
  <c r="U137" i="6"/>
  <c r="W137" i="6" s="1"/>
  <c r="U162" i="6"/>
  <c r="AE160" i="6"/>
  <c r="O117" i="6"/>
  <c r="Q143" i="6"/>
  <c r="Q186" i="6" s="1"/>
  <c r="R129" i="6"/>
  <c r="V129" i="6" s="1"/>
  <c r="O88" i="6"/>
  <c r="U66" i="6"/>
  <c r="W66" i="6" s="1"/>
  <c r="U76" i="6"/>
  <c r="W76" i="6" s="1"/>
  <c r="U82" i="6"/>
  <c r="W82" i="6" s="1"/>
  <c r="R137" i="6"/>
  <c r="U107" i="6"/>
  <c r="W107" i="6" s="1"/>
  <c r="R107" i="6"/>
  <c r="AA117" i="6"/>
  <c r="AE117" i="6"/>
  <c r="AB131" i="6"/>
  <c r="AG131" i="6"/>
  <c r="AE131" i="6"/>
  <c r="AA131" i="6"/>
  <c r="R69" i="6"/>
  <c r="V69" i="6" s="1"/>
  <c r="R182" i="6"/>
  <c r="V182" i="6" s="1"/>
  <c r="AG185" i="6"/>
  <c r="P169" i="6"/>
  <c r="R156" i="6"/>
  <c r="V156" i="6" s="1"/>
  <c r="U150" i="6"/>
  <c r="W150" i="6" s="1"/>
  <c r="U83" i="6"/>
  <c r="W83" i="6" s="1"/>
  <c r="R61" i="6"/>
  <c r="V61" i="6" s="1"/>
  <c r="P190" i="6"/>
  <c r="P195" i="6" s="1"/>
  <c r="U103" i="6"/>
  <c r="W103" i="6" s="1"/>
  <c r="R181" i="6"/>
  <c r="V181" i="6" s="1"/>
  <c r="AE169" i="6"/>
  <c r="AG160" i="6"/>
  <c r="U119" i="6"/>
  <c r="U121" i="6" s="1"/>
  <c r="U113" i="6"/>
  <c r="U155" i="6"/>
  <c r="W155" i="6" s="1"/>
  <c r="U123" i="6"/>
  <c r="W123" i="6" s="1"/>
  <c r="AG117" i="6"/>
  <c r="R96" i="6"/>
  <c r="V96" i="6" s="1"/>
  <c r="AB55" i="6"/>
  <c r="U61" i="6"/>
  <c r="W61" i="6" s="1"/>
  <c r="AA55" i="6"/>
  <c r="U157" i="6"/>
  <c r="W157" i="6" s="1"/>
  <c r="AE55" i="6"/>
  <c r="U104" i="6"/>
  <c r="W104" i="6" s="1"/>
  <c r="R83" i="6"/>
  <c r="V83" i="6" s="1"/>
  <c r="U111" i="6"/>
  <c r="W111" i="6" s="1"/>
  <c r="R87" i="6"/>
  <c r="V87" i="6" s="1"/>
  <c r="U68" i="6"/>
  <c r="W68" i="6" s="1"/>
  <c r="R178" i="6"/>
  <c r="V178" i="6" s="1"/>
  <c r="O185" i="6"/>
  <c r="R172" i="6"/>
  <c r="V172" i="6" s="1"/>
  <c r="AB176" i="6"/>
  <c r="AG176" i="6"/>
  <c r="AE176" i="6"/>
  <c r="R104" i="6"/>
  <c r="V104" i="6" s="1"/>
  <c r="Q190" i="6"/>
  <c r="Q195" i="6" s="1"/>
  <c r="R72" i="6"/>
  <c r="V72" i="6" s="1"/>
  <c r="O50" i="6"/>
  <c r="U46" i="6"/>
  <c r="W46" i="6" s="1"/>
  <c r="R43" i="6"/>
  <c r="V43" i="6" s="1"/>
  <c r="R47" i="6"/>
  <c r="V47" i="6" s="1"/>
  <c r="AA50" i="6"/>
  <c r="R46" i="6"/>
  <c r="V46" i="6" s="1"/>
  <c r="P41" i="6"/>
  <c r="P51" i="6" s="1"/>
  <c r="AA41" i="6"/>
  <c r="AG41" i="6"/>
  <c r="AB41" i="6"/>
  <c r="K51" i="6"/>
  <c r="U37" i="6"/>
  <c r="W37" i="6" s="1"/>
  <c r="R38" i="6"/>
  <c r="V38" i="6" s="1"/>
  <c r="O41" i="6"/>
  <c r="U29" i="6"/>
  <c r="W29" i="6" s="1"/>
  <c r="Q41" i="6"/>
  <c r="Q51" i="6" s="1"/>
  <c r="U30" i="6"/>
  <c r="W30" i="6" s="1"/>
  <c r="R30" i="6"/>
  <c r="V30" i="6" s="1"/>
  <c r="U21" i="6"/>
  <c r="W21" i="6" s="1"/>
  <c r="R21" i="6"/>
  <c r="V21" i="6" s="1"/>
  <c r="U20" i="6"/>
  <c r="W20" i="6" s="1"/>
  <c r="R20" i="6"/>
  <c r="O24" i="6"/>
  <c r="O195" i="6"/>
  <c r="W108" i="6"/>
  <c r="W171" i="6"/>
  <c r="W145" i="6"/>
  <c r="AA89" i="6"/>
  <c r="V173" i="6"/>
  <c r="R176" i="6"/>
  <c r="E187" i="6"/>
  <c r="E188" i="6"/>
  <c r="G186" i="6"/>
  <c r="W113" i="6"/>
  <c r="N199" i="6"/>
  <c r="N191" i="6"/>
  <c r="G132" i="6"/>
  <c r="V26" i="6"/>
  <c r="R121" i="6"/>
  <c r="V123" i="6"/>
  <c r="W79" i="6"/>
  <c r="W153" i="6"/>
  <c r="W53" i="6"/>
  <c r="W55" i="6" s="1"/>
  <c r="U55" i="6"/>
  <c r="W43" i="6"/>
  <c r="V162" i="6"/>
  <c r="V169" i="6" s="1"/>
  <c r="W18" i="6"/>
  <c r="W16" i="6"/>
  <c r="U80" i="1"/>
  <c r="W80" i="1" s="1"/>
  <c r="U40" i="1"/>
  <c r="W40" i="1" s="1"/>
  <c r="R76" i="1"/>
  <c r="V76" i="1" s="1"/>
  <c r="R40" i="1"/>
  <c r="K100" i="1"/>
  <c r="K100" i="6" s="1"/>
  <c r="U93" i="6" l="1"/>
  <c r="P89" i="6"/>
  <c r="W93" i="6"/>
  <c r="S186" i="6"/>
  <c r="V151" i="6"/>
  <c r="V93" i="6"/>
  <c r="U50" i="6"/>
  <c r="R93" i="6"/>
  <c r="W160" i="6"/>
  <c r="AG89" i="6"/>
  <c r="P186" i="6"/>
  <c r="O200" i="7"/>
  <c r="AB89" i="6"/>
  <c r="S51" i="6"/>
  <c r="F187" i="6"/>
  <c r="I187" i="6"/>
  <c r="U18" i="10"/>
  <c r="U143" i="6"/>
  <c r="W119" i="6"/>
  <c r="W121" i="6" s="1"/>
  <c r="U151" i="6"/>
  <c r="Q192" i="7"/>
  <c r="W151" i="6"/>
  <c r="O89" i="6"/>
  <c r="W190" i="6"/>
  <c r="W195" i="6" s="1"/>
  <c r="W50" i="6"/>
  <c r="V176" i="6"/>
  <c r="AE186" i="6"/>
  <c r="O186" i="6"/>
  <c r="U190" i="6"/>
  <c r="U195" i="6" s="1"/>
  <c r="U169" i="6"/>
  <c r="R33" i="10"/>
  <c r="R29" i="10"/>
  <c r="U29" i="10" s="1"/>
  <c r="U88" i="6"/>
  <c r="R131" i="6"/>
  <c r="AG186" i="6"/>
  <c r="V185" i="6"/>
  <c r="S14" i="10"/>
  <c r="U14" i="10" s="1"/>
  <c r="V14" i="10" s="1"/>
  <c r="W88" i="6"/>
  <c r="V131" i="6"/>
  <c r="R41" i="6"/>
  <c r="W162" i="6"/>
  <c r="W169" i="6" s="1"/>
  <c r="O51" i="6"/>
  <c r="R151" i="6"/>
  <c r="U43" i="10"/>
  <c r="V43" i="10" s="1"/>
  <c r="R199" i="9"/>
  <c r="R200" i="9" s="1"/>
  <c r="V18" i="10"/>
  <c r="T23" i="10"/>
  <c r="V25" i="10"/>
  <c r="T40" i="10"/>
  <c r="T36" i="10"/>
  <c r="U38" i="10"/>
  <c r="V38" i="10" s="1"/>
  <c r="V41" i="6"/>
  <c r="R55" i="6"/>
  <c r="V53" i="6"/>
  <c r="V55" i="6" s="1"/>
  <c r="P100" i="6"/>
  <c r="P105" i="6" s="1"/>
  <c r="P132" i="6" s="1"/>
  <c r="AE100" i="6"/>
  <c r="AB100" i="6"/>
  <c r="AA100" i="6"/>
  <c r="S100" i="6"/>
  <c r="S105" i="6" s="1"/>
  <c r="S132" i="6" s="1"/>
  <c r="S187" i="6" s="1"/>
  <c r="S191" i="6" s="1"/>
  <c r="S196" i="6" s="1"/>
  <c r="S197" i="6" s="1"/>
  <c r="Q100" i="6"/>
  <c r="Q105" i="6" s="1"/>
  <c r="Q132" i="6" s="1"/>
  <c r="Q187" i="6" s="1"/>
  <c r="AG100" i="6"/>
  <c r="K105" i="6"/>
  <c r="K132" i="6" s="1"/>
  <c r="O100" i="6"/>
  <c r="O105" i="6" s="1"/>
  <c r="V50" i="6"/>
  <c r="V51" i="6" s="1"/>
  <c r="V88" i="6"/>
  <c r="V77" i="6"/>
  <c r="S36" i="10"/>
  <c r="S31" i="10"/>
  <c r="S40" i="10"/>
  <c r="S23" i="10"/>
  <c r="S27" i="10"/>
  <c r="W200" i="8"/>
  <c r="R200" i="8"/>
  <c r="V191" i="7"/>
  <c r="V196" i="7" s="1"/>
  <c r="V197" i="7" s="1"/>
  <c r="V200" i="7" s="1"/>
  <c r="U199" i="7"/>
  <c r="U191" i="7"/>
  <c r="W199" i="7"/>
  <c r="W191" i="7"/>
  <c r="K196" i="7"/>
  <c r="K197" i="7" s="1"/>
  <c r="K200" i="7" s="1"/>
  <c r="K192" i="7"/>
  <c r="R199" i="7"/>
  <c r="R191" i="7"/>
  <c r="S188" i="7"/>
  <c r="U24" i="6"/>
  <c r="W143" i="6"/>
  <c r="W131" i="6"/>
  <c r="R185" i="6"/>
  <c r="W77" i="6"/>
  <c r="W89" i="6" s="1"/>
  <c r="R143" i="6"/>
  <c r="V137" i="6"/>
  <c r="V143" i="6" s="1"/>
  <c r="R77" i="6"/>
  <c r="R88" i="6"/>
  <c r="U131" i="6"/>
  <c r="U160" i="6"/>
  <c r="R160" i="6"/>
  <c r="R190" i="6"/>
  <c r="R195" i="6" s="1"/>
  <c r="U176" i="6"/>
  <c r="V107" i="6"/>
  <c r="V117" i="6" s="1"/>
  <c r="R117" i="6"/>
  <c r="W178" i="6"/>
  <c r="W185" i="6" s="1"/>
  <c r="U185" i="6"/>
  <c r="V160" i="6"/>
  <c r="U77" i="6"/>
  <c r="W176" i="6"/>
  <c r="U117" i="6"/>
  <c r="R50" i="6"/>
  <c r="AG51" i="6"/>
  <c r="AB51" i="6"/>
  <c r="AE51" i="6"/>
  <c r="AA51" i="6"/>
  <c r="W41" i="6"/>
  <c r="U41" i="6"/>
  <c r="U51" i="6" s="1"/>
  <c r="W24" i="6"/>
  <c r="V20" i="6"/>
  <c r="V24" i="6" s="1"/>
  <c r="R24" i="6"/>
  <c r="N196" i="6"/>
  <c r="N197" i="6" s="1"/>
  <c r="N200" i="6" s="1"/>
  <c r="N192" i="6"/>
  <c r="G187" i="6"/>
  <c r="W117" i="6"/>
  <c r="V40" i="1"/>
  <c r="T185" i="1"/>
  <c r="T176" i="1"/>
  <c r="T169" i="1"/>
  <c r="T160" i="1"/>
  <c r="T151" i="1"/>
  <c r="T143" i="1"/>
  <c r="T131" i="1"/>
  <c r="T121" i="1"/>
  <c r="T117" i="1"/>
  <c r="T105" i="1"/>
  <c r="K88" i="1"/>
  <c r="T88" i="1"/>
  <c r="T77" i="1"/>
  <c r="T55" i="1"/>
  <c r="T50" i="1"/>
  <c r="T51" i="1" s="1"/>
  <c r="K41" i="1"/>
  <c r="T24" i="1"/>
  <c r="K24" i="1"/>
  <c r="P13" i="1"/>
  <c r="L199" i="1"/>
  <c r="M199" i="1"/>
  <c r="L196" i="1"/>
  <c r="M196" i="1"/>
  <c r="T196" i="1"/>
  <c r="L195" i="1"/>
  <c r="M195" i="1"/>
  <c r="T195" i="1"/>
  <c r="L192" i="1"/>
  <c r="M192" i="1"/>
  <c r="T192" i="1"/>
  <c r="N190" i="1"/>
  <c r="N195" i="1" s="1"/>
  <c r="K190" i="1"/>
  <c r="K195" i="1" s="1"/>
  <c r="M197" i="1" l="1"/>
  <c r="R27" i="10"/>
  <c r="O132" i="6"/>
  <c r="O187" i="6" s="1"/>
  <c r="O191" i="6" s="1"/>
  <c r="P187" i="6"/>
  <c r="P199" i="6" s="1"/>
  <c r="T197" i="1"/>
  <c r="U27" i="10"/>
  <c r="V27" i="10" s="1"/>
  <c r="U186" i="6"/>
  <c r="W51" i="6"/>
  <c r="R51" i="6"/>
  <c r="U89" i="6"/>
  <c r="W186" i="6"/>
  <c r="AB132" i="6"/>
  <c r="AA132" i="6"/>
  <c r="K187" i="6"/>
  <c r="K202" i="6" s="1"/>
  <c r="K203" i="6" s="1"/>
  <c r="L197" i="1"/>
  <c r="L200" i="1" s="1"/>
  <c r="M200" i="1"/>
  <c r="T186" i="1"/>
  <c r="V29" i="10"/>
  <c r="R31" i="10"/>
  <c r="R21" i="10" s="1"/>
  <c r="R12" i="10" s="1"/>
  <c r="R10" i="10" s="1"/>
  <c r="R45" i="10" s="1"/>
  <c r="R46" i="10" s="1"/>
  <c r="U33" i="10"/>
  <c r="V33" i="10" s="1"/>
  <c r="T21" i="10"/>
  <c r="T12" i="10" s="1"/>
  <c r="U36" i="10"/>
  <c r="V36" i="10" s="1"/>
  <c r="U23" i="10"/>
  <c r="V23" i="10" s="1"/>
  <c r="U40" i="10"/>
  <c r="V40" i="10" s="1"/>
  <c r="R89" i="6"/>
  <c r="T89" i="1"/>
  <c r="T132" i="1" s="1"/>
  <c r="T187" i="1" s="1"/>
  <c r="T199" i="1" s="1"/>
  <c r="T200" i="1" s="1"/>
  <c r="V186" i="6"/>
  <c r="V89" i="6"/>
  <c r="AA105" i="6"/>
  <c r="AG105" i="6"/>
  <c r="AG132" i="6" s="1"/>
  <c r="AG187" i="6" s="1"/>
  <c r="AB105" i="6"/>
  <c r="AB185" i="6" s="1"/>
  <c r="AE105" i="6"/>
  <c r="AE132" i="6" s="1"/>
  <c r="AE187" i="6" s="1"/>
  <c r="R100" i="6"/>
  <c r="R186" i="6"/>
  <c r="U100" i="6"/>
  <c r="S21" i="10"/>
  <c r="V192" i="7"/>
  <c r="R196" i="7"/>
  <c r="R197" i="7" s="1"/>
  <c r="R200" i="7" s="1"/>
  <c r="R192" i="7"/>
  <c r="U196" i="7"/>
  <c r="U197" i="7" s="1"/>
  <c r="U200" i="7" s="1"/>
  <c r="U192" i="7"/>
  <c r="W196" i="7"/>
  <c r="W197" i="7" s="1"/>
  <c r="W200" i="7" s="1"/>
  <c r="W192" i="7"/>
  <c r="AA185" i="6"/>
  <c r="S199" i="6"/>
  <c r="S200" i="6" s="1"/>
  <c r="S192" i="6"/>
  <c r="O199" i="6"/>
  <c r="O188" i="6"/>
  <c r="K199" i="6"/>
  <c r="O196" i="6"/>
  <c r="O197" i="6" s="1"/>
  <c r="O192" i="6"/>
  <c r="Q199" i="6"/>
  <c r="Q191" i="6"/>
  <c r="A97" i="1"/>
  <c r="P191" i="6" l="1"/>
  <c r="K191" i="6"/>
  <c r="U31" i="10"/>
  <c r="V31" i="10" s="1"/>
  <c r="U21" i="10"/>
  <c r="V21" i="10" s="1"/>
  <c r="T10" i="10"/>
  <c r="T45" i="10" s="1"/>
  <c r="V100" i="6"/>
  <c r="V105" i="6" s="1"/>
  <c r="V132" i="6" s="1"/>
  <c r="V187" i="6" s="1"/>
  <c r="V199" i="6" s="1"/>
  <c r="R105" i="6"/>
  <c r="R132" i="6" s="1"/>
  <c r="R187" i="6" s="1"/>
  <c r="S188" i="6" s="1"/>
  <c r="W100" i="6"/>
  <c r="W105" i="6" s="1"/>
  <c r="W132" i="6" s="1"/>
  <c r="W187" i="6" s="1"/>
  <c r="W199" i="6" s="1"/>
  <c r="U105" i="6"/>
  <c r="U132" i="6" s="1"/>
  <c r="U187" i="6" s="1"/>
  <c r="U191" i="6" s="1"/>
  <c r="S12" i="10"/>
  <c r="U12" i="10" s="1"/>
  <c r="V12" i="10" s="1"/>
  <c r="P192" i="6"/>
  <c r="P196" i="6"/>
  <c r="P197" i="6" s="1"/>
  <c r="P200" i="6" s="1"/>
  <c r="O200" i="6"/>
  <c r="Q196" i="6"/>
  <c r="Q197" i="6" s="1"/>
  <c r="Q200" i="6" s="1"/>
  <c r="Q192" i="6"/>
  <c r="K196" i="6"/>
  <c r="K197" i="6" s="1"/>
  <c r="K200" i="6" s="1"/>
  <c r="K192" i="6"/>
  <c r="S27" i="1"/>
  <c r="R191" i="6" l="1"/>
  <c r="R196" i="6" s="1"/>
  <c r="R197" i="6" s="1"/>
  <c r="U199" i="6"/>
  <c r="W191" i="6"/>
  <c r="R199" i="6"/>
  <c r="V191" i="6"/>
  <c r="T46" i="10"/>
  <c r="S10" i="10"/>
  <c r="U10" i="10" s="1"/>
  <c r="V10" i="10" s="1"/>
  <c r="R192" i="6"/>
  <c r="U196" i="6"/>
  <c r="U197" i="6" s="1"/>
  <c r="U192" i="6"/>
  <c r="W196" i="6"/>
  <c r="W197" i="6" s="1"/>
  <c r="W200" i="6" s="1"/>
  <c r="W192" i="6"/>
  <c r="F37" i="1"/>
  <c r="G37" i="1" s="1"/>
  <c r="I37" i="1"/>
  <c r="O37" i="1"/>
  <c r="P37" i="1"/>
  <c r="Q37" i="1"/>
  <c r="S37" i="1"/>
  <c r="Z37" i="1"/>
  <c r="AA37" i="1" s="1"/>
  <c r="AB37" i="1"/>
  <c r="AE37" i="1"/>
  <c r="AG37" i="1"/>
  <c r="K50" i="1"/>
  <c r="U200" i="6" l="1"/>
  <c r="R200" i="6"/>
  <c r="V196" i="6"/>
  <c r="V197" i="6" s="1"/>
  <c r="V200" i="6" s="1"/>
  <c r="V192" i="6"/>
  <c r="S45" i="10"/>
  <c r="U45" i="10" s="1"/>
  <c r="V45" i="10" s="1"/>
  <c r="R37" i="1"/>
  <c r="V37" i="1" s="1"/>
  <c r="K51" i="1"/>
  <c r="U37" i="1"/>
  <c r="W37" i="1" s="1"/>
  <c r="D50" i="1"/>
  <c r="D24" i="1"/>
  <c r="I87" i="1"/>
  <c r="O87" i="1"/>
  <c r="P87" i="1"/>
  <c r="Q87" i="1"/>
  <c r="S87" i="1"/>
  <c r="Z87" i="1"/>
  <c r="AA87" i="1" s="1"/>
  <c r="AB87" i="1"/>
  <c r="AE87" i="1"/>
  <c r="AG87" i="1"/>
  <c r="S46" i="10" l="1"/>
  <c r="U46" i="10" s="1"/>
  <c r="V46" i="10" s="1"/>
  <c r="R87" i="1"/>
  <c r="V87" i="1" s="1"/>
  <c r="D51" i="1"/>
  <c r="U87" i="1"/>
  <c r="W87" i="1" s="1"/>
  <c r="S39" i="1"/>
  <c r="Q39" i="1"/>
  <c r="P39" i="1"/>
  <c r="O39" i="1"/>
  <c r="I39" i="1"/>
  <c r="F39" i="1"/>
  <c r="G39" i="1" s="1"/>
  <c r="R39" i="1" l="1"/>
  <c r="V39" i="1" s="1"/>
  <c r="U39" i="1"/>
  <c r="W39" i="1" s="1"/>
  <c r="AG38" i="1"/>
  <c r="AE38" i="1"/>
  <c r="AB38" i="1"/>
  <c r="Z38" i="1"/>
  <c r="AA38" i="1" s="1"/>
  <c r="S38" i="1"/>
  <c r="Q38" i="1"/>
  <c r="P38" i="1"/>
  <c r="O38" i="1"/>
  <c r="I38" i="1"/>
  <c r="F38" i="1"/>
  <c r="G38" i="1" s="1"/>
  <c r="R38" i="1" l="1"/>
  <c r="U38" i="1"/>
  <c r="Q15" i="1"/>
  <c r="P15" i="1"/>
  <c r="P14" i="1"/>
  <c r="P18" i="1"/>
  <c r="O15" i="1"/>
  <c r="V38" i="1" l="1"/>
  <c r="W38" i="1"/>
  <c r="X16" i="1"/>
  <c r="Y16" i="1"/>
  <c r="AC16" i="1"/>
  <c r="AD16" i="1"/>
  <c r="AF16" i="1"/>
  <c r="P16" i="1"/>
  <c r="K16" i="1"/>
  <c r="S15" i="1"/>
  <c r="U15" i="1" s="1"/>
  <c r="Z15" i="1"/>
  <c r="AA15" i="1" s="1"/>
  <c r="AB15" i="1"/>
  <c r="AE15" i="1"/>
  <c r="AG15" i="1"/>
  <c r="W15" i="1" l="1"/>
  <c r="R15" i="1"/>
  <c r="X77" i="1"/>
  <c r="Y77" i="1"/>
  <c r="AC77" i="1"/>
  <c r="AD77" i="1"/>
  <c r="AF77" i="1"/>
  <c r="AH77" i="1"/>
  <c r="K105" i="1"/>
  <c r="D16" i="1"/>
  <c r="V15" i="1" l="1"/>
  <c r="AH15" i="1"/>
  <c r="D89" i="1"/>
  <c r="AG51" i="1"/>
  <c r="X50" i="1"/>
  <c r="Y50" i="1"/>
  <c r="AC50" i="1"/>
  <c r="AD50" i="1"/>
  <c r="AF50" i="1"/>
  <c r="F49" i="1"/>
  <c r="G49" i="1" s="1"/>
  <c r="I49" i="1"/>
  <c r="O49" i="1"/>
  <c r="P49" i="1"/>
  <c r="Q49" i="1"/>
  <c r="S49" i="1"/>
  <c r="Z49" i="1"/>
  <c r="AA49" i="1" s="1"/>
  <c r="AB49" i="1"/>
  <c r="AE49" i="1"/>
  <c r="AG49" i="1"/>
  <c r="U49" i="1" l="1"/>
  <c r="W49" i="1" s="1"/>
  <c r="AE51" i="1"/>
  <c r="R49" i="1"/>
  <c r="P73" i="1"/>
  <c r="V49" i="1" l="1"/>
  <c r="P75" i="1" l="1"/>
  <c r="P74" i="1"/>
  <c r="P72" i="1"/>
  <c r="O75" i="1"/>
  <c r="S75" i="1"/>
  <c r="U75" i="1" l="1"/>
  <c r="R75" i="1"/>
  <c r="Q74" i="1"/>
  <c r="S74" i="1"/>
  <c r="O74" i="1"/>
  <c r="V75" i="1" l="1"/>
  <c r="W75" i="1"/>
  <c r="U74" i="1"/>
  <c r="W74" i="1" s="1"/>
  <c r="R74" i="1"/>
  <c r="V74" i="1" s="1"/>
  <c r="O73" i="1"/>
  <c r="Q73" i="1"/>
  <c r="S73" i="1"/>
  <c r="U73" i="1" l="1"/>
  <c r="R73" i="1"/>
  <c r="V73" i="1" l="1"/>
  <c r="W73" i="1"/>
  <c r="Q23" i="1"/>
  <c r="J186" i="1"/>
  <c r="N185" i="1"/>
  <c r="K185" i="1"/>
  <c r="H185" i="1"/>
  <c r="E185" i="1"/>
  <c r="D185" i="1"/>
  <c r="AG184" i="1"/>
  <c r="AE184" i="1"/>
  <c r="AB184" i="1"/>
  <c r="Z184" i="1"/>
  <c r="AA184" i="1" s="1"/>
  <c r="S184" i="1"/>
  <c r="Q184" i="1"/>
  <c r="P184" i="1"/>
  <c r="O184" i="1"/>
  <c r="I184" i="1"/>
  <c r="F184" i="1"/>
  <c r="G184" i="1" s="1"/>
  <c r="AG183" i="1"/>
  <c r="AE183" i="1"/>
  <c r="AB183" i="1"/>
  <c r="Z183" i="1"/>
  <c r="AA183" i="1" s="1"/>
  <c r="S183" i="1"/>
  <c r="Q183" i="1"/>
  <c r="P183" i="1"/>
  <c r="O183" i="1"/>
  <c r="I183" i="1"/>
  <c r="F183" i="1"/>
  <c r="G183" i="1" s="1"/>
  <c r="AG182" i="1"/>
  <c r="AE182" i="1"/>
  <c r="AB182" i="1"/>
  <c r="Z182" i="1"/>
  <c r="AA182" i="1" s="1"/>
  <c r="S182" i="1"/>
  <c r="Q182" i="1"/>
  <c r="P182" i="1"/>
  <c r="O182" i="1"/>
  <c r="I182" i="1"/>
  <c r="F182" i="1"/>
  <c r="G182" i="1" s="1"/>
  <c r="AG181" i="1"/>
  <c r="AE181" i="1"/>
  <c r="AB181" i="1"/>
  <c r="Z181" i="1"/>
  <c r="AA181" i="1" s="1"/>
  <c r="S181" i="1"/>
  <c r="Q181" i="1"/>
  <c r="P181" i="1"/>
  <c r="O181" i="1"/>
  <c r="I181" i="1"/>
  <c r="F181" i="1"/>
  <c r="G181" i="1" s="1"/>
  <c r="AG180" i="1"/>
  <c r="AE180" i="1"/>
  <c r="AB180" i="1"/>
  <c r="Z180" i="1"/>
  <c r="AA180" i="1" s="1"/>
  <c r="S180" i="1"/>
  <c r="Q180" i="1"/>
  <c r="P180" i="1"/>
  <c r="O180" i="1"/>
  <c r="I180" i="1"/>
  <c r="F180" i="1"/>
  <c r="G180" i="1" s="1"/>
  <c r="AG179" i="1"/>
  <c r="AE179" i="1"/>
  <c r="AB179" i="1"/>
  <c r="Z179" i="1"/>
  <c r="AA179" i="1" s="1"/>
  <c r="S179" i="1"/>
  <c r="Q179" i="1"/>
  <c r="P179" i="1"/>
  <c r="O179" i="1"/>
  <c r="I179" i="1"/>
  <c r="F179" i="1"/>
  <c r="G179" i="1" s="1"/>
  <c r="AG178" i="1"/>
  <c r="AE178" i="1"/>
  <c r="AB178" i="1"/>
  <c r="Z178" i="1"/>
  <c r="AA178" i="1" s="1"/>
  <c r="S178" i="1"/>
  <c r="Q178" i="1"/>
  <c r="P178" i="1"/>
  <c r="P185" i="1" s="1"/>
  <c r="O178" i="1"/>
  <c r="I178" i="1"/>
  <c r="F178" i="1"/>
  <c r="G178" i="1" s="1"/>
  <c r="AB177" i="1"/>
  <c r="AA177" i="1"/>
  <c r="N176" i="1"/>
  <c r="K176" i="1"/>
  <c r="AG176" i="1" s="1"/>
  <c r="H176" i="1"/>
  <c r="E176" i="1"/>
  <c r="D176" i="1"/>
  <c r="AG175" i="1"/>
  <c r="AE175" i="1"/>
  <c r="AB175" i="1"/>
  <c r="Z175" i="1"/>
  <c r="AA175" i="1" s="1"/>
  <c r="S175" i="1"/>
  <c r="Q175" i="1"/>
  <c r="P175" i="1"/>
  <c r="O175" i="1"/>
  <c r="I175" i="1"/>
  <c r="F175" i="1"/>
  <c r="G175" i="1" s="1"/>
  <c r="AG174" i="1"/>
  <c r="AE174" i="1"/>
  <c r="AB174" i="1"/>
  <c r="Z174" i="1"/>
  <c r="AA174" i="1" s="1"/>
  <c r="S174" i="1"/>
  <c r="Q174" i="1"/>
  <c r="P174" i="1"/>
  <c r="O174" i="1"/>
  <c r="I174" i="1"/>
  <c r="F174" i="1"/>
  <c r="G174" i="1" s="1"/>
  <c r="AG173" i="1"/>
  <c r="AE173" i="1"/>
  <c r="AB173" i="1"/>
  <c r="Z173" i="1"/>
  <c r="AA173" i="1" s="1"/>
  <c r="S173" i="1"/>
  <c r="Q173" i="1"/>
  <c r="P173" i="1"/>
  <c r="O173" i="1"/>
  <c r="I173" i="1"/>
  <c r="F173" i="1"/>
  <c r="G173" i="1" s="1"/>
  <c r="AG172" i="1"/>
  <c r="AE172" i="1"/>
  <c r="AB172" i="1"/>
  <c r="Z172" i="1"/>
  <c r="AA172" i="1" s="1"/>
  <c r="S172" i="1"/>
  <c r="Q172" i="1"/>
  <c r="P172" i="1"/>
  <c r="O172" i="1"/>
  <c r="I172" i="1"/>
  <c r="F172" i="1"/>
  <c r="G172" i="1" s="1"/>
  <c r="AG171" i="1"/>
  <c r="AE171" i="1"/>
  <c r="AB171" i="1"/>
  <c r="Z171" i="1"/>
  <c r="AA171" i="1" s="1"/>
  <c r="S171" i="1"/>
  <c r="Q171" i="1"/>
  <c r="Q176" i="1" s="1"/>
  <c r="P171" i="1"/>
  <c r="O171" i="1"/>
  <c r="I171" i="1"/>
  <c r="F171" i="1"/>
  <c r="AB170" i="1"/>
  <c r="AA170" i="1"/>
  <c r="N169" i="1"/>
  <c r="K169" i="1"/>
  <c r="AB169" i="1" s="1"/>
  <c r="H169" i="1"/>
  <c r="E169" i="1"/>
  <c r="D169" i="1"/>
  <c r="AG168" i="1"/>
  <c r="AE168" i="1"/>
  <c r="AB168" i="1"/>
  <c r="Z168" i="1"/>
  <c r="AA168" i="1" s="1"/>
  <c r="S168" i="1"/>
  <c r="Q168" i="1"/>
  <c r="P168" i="1"/>
  <c r="O168" i="1"/>
  <c r="I168" i="1"/>
  <c r="F168" i="1"/>
  <c r="G168" i="1" s="1"/>
  <c r="AG167" i="1"/>
  <c r="AE167" i="1"/>
  <c r="AB167" i="1"/>
  <c r="Z167" i="1"/>
  <c r="AA167" i="1" s="1"/>
  <c r="S167" i="1"/>
  <c r="Q167" i="1"/>
  <c r="P167" i="1"/>
  <c r="O167" i="1"/>
  <c r="I167" i="1"/>
  <c r="F167" i="1"/>
  <c r="G167" i="1" s="1"/>
  <c r="AG166" i="1"/>
  <c r="AE166" i="1"/>
  <c r="AB166" i="1"/>
  <c r="Z166" i="1"/>
  <c r="AA166" i="1" s="1"/>
  <c r="S166" i="1"/>
  <c r="Q166" i="1"/>
  <c r="P166" i="1"/>
  <c r="O166" i="1"/>
  <c r="I166" i="1"/>
  <c r="F166" i="1"/>
  <c r="G166" i="1" s="1"/>
  <c r="AG165" i="1"/>
  <c r="AE165" i="1"/>
  <c r="AB165" i="1"/>
  <c r="Z165" i="1"/>
  <c r="AA165" i="1" s="1"/>
  <c r="S165" i="1"/>
  <c r="Q165" i="1"/>
  <c r="P165" i="1"/>
  <c r="O165" i="1"/>
  <c r="I165" i="1"/>
  <c r="F165" i="1"/>
  <c r="G165" i="1" s="1"/>
  <c r="AG164" i="1"/>
  <c r="AE164" i="1"/>
  <c r="AB164" i="1"/>
  <c r="Z164" i="1"/>
  <c r="AA164" i="1" s="1"/>
  <c r="S164" i="1"/>
  <c r="Q164" i="1"/>
  <c r="P164" i="1"/>
  <c r="O164" i="1"/>
  <c r="I164" i="1"/>
  <c r="F164" i="1"/>
  <c r="G164" i="1" s="1"/>
  <c r="AG163" i="1"/>
  <c r="AE163" i="1"/>
  <c r="AB163" i="1"/>
  <c r="Z163" i="1"/>
  <c r="AA163" i="1" s="1"/>
  <c r="S163" i="1"/>
  <c r="Q163" i="1"/>
  <c r="P163" i="1"/>
  <c r="O163" i="1"/>
  <c r="I163" i="1"/>
  <c r="F163" i="1"/>
  <c r="G163" i="1" s="1"/>
  <c r="AG162" i="1"/>
  <c r="AE162" i="1"/>
  <c r="AB162" i="1"/>
  <c r="Z162" i="1"/>
  <c r="AA162" i="1" s="1"/>
  <c r="S162" i="1"/>
  <c r="Q162" i="1"/>
  <c r="P162" i="1"/>
  <c r="O162" i="1"/>
  <c r="I162" i="1"/>
  <c r="F162" i="1"/>
  <c r="G162" i="1" s="1"/>
  <c r="AB161" i="1"/>
  <c r="AA161" i="1"/>
  <c r="N160" i="1"/>
  <c r="K160" i="1"/>
  <c r="H160" i="1"/>
  <c r="E160" i="1"/>
  <c r="D160" i="1"/>
  <c r="AG159" i="1"/>
  <c r="AE159" i="1"/>
  <c r="AB159" i="1"/>
  <c r="Z159" i="1"/>
  <c r="AA159" i="1" s="1"/>
  <c r="S159" i="1"/>
  <c r="Q159" i="1"/>
  <c r="P159" i="1"/>
  <c r="O159" i="1"/>
  <c r="I159" i="1"/>
  <c r="F159" i="1"/>
  <c r="G159" i="1" s="1"/>
  <c r="AG158" i="1"/>
  <c r="AE158" i="1"/>
  <c r="AB158" i="1"/>
  <c r="Z158" i="1"/>
  <c r="AA158" i="1" s="1"/>
  <c r="S158" i="1"/>
  <c r="Q158" i="1"/>
  <c r="P158" i="1"/>
  <c r="O158" i="1"/>
  <c r="I158" i="1"/>
  <c r="F158" i="1"/>
  <c r="G158" i="1" s="1"/>
  <c r="AG157" i="1"/>
  <c r="AE157" i="1"/>
  <c r="AB157" i="1"/>
  <c r="Z157" i="1"/>
  <c r="AA157" i="1" s="1"/>
  <c r="S157" i="1"/>
  <c r="Q157" i="1"/>
  <c r="P157" i="1"/>
  <c r="O157" i="1"/>
  <c r="I157" i="1"/>
  <c r="F157" i="1"/>
  <c r="G157" i="1" s="1"/>
  <c r="AG156" i="1"/>
  <c r="AE156" i="1"/>
  <c r="AB156" i="1"/>
  <c r="Z156" i="1"/>
  <c r="AA156" i="1" s="1"/>
  <c r="S156" i="1"/>
  <c r="Q156" i="1"/>
  <c r="P156" i="1"/>
  <c r="O156" i="1"/>
  <c r="I156" i="1"/>
  <c r="F156" i="1"/>
  <c r="G156" i="1" s="1"/>
  <c r="AG155" i="1"/>
  <c r="AE155" i="1"/>
  <c r="AB155" i="1"/>
  <c r="Z155" i="1"/>
  <c r="AA155" i="1" s="1"/>
  <c r="S155" i="1"/>
  <c r="Q155" i="1"/>
  <c r="P155" i="1"/>
  <c r="O155" i="1"/>
  <c r="I155" i="1"/>
  <c r="F155" i="1"/>
  <c r="G155" i="1" s="1"/>
  <c r="AG154" i="1"/>
  <c r="AE154" i="1"/>
  <c r="AB154" i="1"/>
  <c r="Z154" i="1"/>
  <c r="AA154" i="1" s="1"/>
  <c r="S154" i="1"/>
  <c r="Q154" i="1"/>
  <c r="P154" i="1"/>
  <c r="O154" i="1"/>
  <c r="I154" i="1"/>
  <c r="F154" i="1"/>
  <c r="G154" i="1" s="1"/>
  <c r="AG153" i="1"/>
  <c r="AE153" i="1"/>
  <c r="AB153" i="1"/>
  <c r="Z153" i="1"/>
  <c r="AA153" i="1" s="1"/>
  <c r="S153" i="1"/>
  <c r="Q153" i="1"/>
  <c r="P153" i="1"/>
  <c r="O153" i="1"/>
  <c r="I153" i="1"/>
  <c r="F153" i="1"/>
  <c r="AB152" i="1"/>
  <c r="AA152" i="1"/>
  <c r="N151" i="1"/>
  <c r="K151" i="1"/>
  <c r="AB151" i="1" s="1"/>
  <c r="H151" i="1"/>
  <c r="E151" i="1"/>
  <c r="D151" i="1"/>
  <c r="AG150" i="1"/>
  <c r="AE150" i="1"/>
  <c r="AB150" i="1"/>
  <c r="Z150" i="1"/>
  <c r="AA150" i="1" s="1"/>
  <c r="S150" i="1"/>
  <c r="Q150" i="1"/>
  <c r="P150" i="1"/>
  <c r="O150" i="1"/>
  <c r="I150" i="1"/>
  <c r="F150" i="1"/>
  <c r="G150" i="1" s="1"/>
  <c r="AG149" i="1"/>
  <c r="AE149" i="1"/>
  <c r="AB149" i="1"/>
  <c r="Z149" i="1"/>
  <c r="AA149" i="1" s="1"/>
  <c r="S149" i="1"/>
  <c r="Q149" i="1"/>
  <c r="P149" i="1"/>
  <c r="O149" i="1"/>
  <c r="I149" i="1"/>
  <c r="F149" i="1"/>
  <c r="G149" i="1" s="1"/>
  <c r="AG148" i="1"/>
  <c r="AE148" i="1"/>
  <c r="AB148" i="1"/>
  <c r="Z148" i="1"/>
  <c r="AA148" i="1" s="1"/>
  <c r="S148" i="1"/>
  <c r="Q148" i="1"/>
  <c r="P148" i="1"/>
  <c r="O148" i="1"/>
  <c r="I148" i="1"/>
  <c r="F148" i="1"/>
  <c r="G148" i="1" s="1"/>
  <c r="AG147" i="1"/>
  <c r="AE147" i="1"/>
  <c r="AB147" i="1"/>
  <c r="Z147" i="1"/>
  <c r="AA147" i="1" s="1"/>
  <c r="S147" i="1"/>
  <c r="Q147" i="1"/>
  <c r="P147" i="1"/>
  <c r="O147" i="1"/>
  <c r="I147" i="1"/>
  <c r="F147" i="1"/>
  <c r="G147" i="1" s="1"/>
  <c r="AG146" i="1"/>
  <c r="AE146" i="1"/>
  <c r="AB146" i="1"/>
  <c r="Z146" i="1"/>
  <c r="AA146" i="1" s="1"/>
  <c r="S146" i="1"/>
  <c r="Q146" i="1"/>
  <c r="P146" i="1"/>
  <c r="O146" i="1"/>
  <c r="I146" i="1"/>
  <c r="F146" i="1"/>
  <c r="G146" i="1" s="1"/>
  <c r="AG145" i="1"/>
  <c r="AE145" i="1"/>
  <c r="AB145" i="1"/>
  <c r="Z145" i="1"/>
  <c r="AA145" i="1" s="1"/>
  <c r="S145" i="1"/>
  <c r="Q145" i="1"/>
  <c r="P145" i="1"/>
  <c r="O145" i="1"/>
  <c r="I145" i="1"/>
  <c r="F145" i="1"/>
  <c r="AB144" i="1"/>
  <c r="AA144" i="1"/>
  <c r="N143" i="1"/>
  <c r="K143" i="1"/>
  <c r="H143" i="1"/>
  <c r="E143" i="1"/>
  <c r="D143" i="1"/>
  <c r="AG142" i="1"/>
  <c r="AE142" i="1"/>
  <c r="AB142" i="1"/>
  <c r="Z142" i="1"/>
  <c r="AA142" i="1" s="1"/>
  <c r="S142" i="1"/>
  <c r="Q142" i="1"/>
  <c r="P142" i="1"/>
  <c r="O142" i="1"/>
  <c r="I142" i="1"/>
  <c r="F142" i="1"/>
  <c r="G142" i="1" s="1"/>
  <c r="AG141" i="1"/>
  <c r="AE141" i="1"/>
  <c r="AB141" i="1"/>
  <c r="Z141" i="1"/>
  <c r="AA141" i="1" s="1"/>
  <c r="S141" i="1"/>
  <c r="Q141" i="1"/>
  <c r="P141" i="1"/>
  <c r="O141" i="1"/>
  <c r="I141" i="1"/>
  <c r="F141" i="1"/>
  <c r="G141" i="1" s="1"/>
  <c r="AG140" i="1"/>
  <c r="AE140" i="1"/>
  <c r="AB140" i="1"/>
  <c r="Z140" i="1"/>
  <c r="AA140" i="1" s="1"/>
  <c r="S140" i="1"/>
  <c r="Q140" i="1"/>
  <c r="P140" i="1"/>
  <c r="O140" i="1"/>
  <c r="I140" i="1"/>
  <c r="F140" i="1"/>
  <c r="G140" i="1" s="1"/>
  <c r="AG139" i="1"/>
  <c r="AE139" i="1"/>
  <c r="AB139" i="1"/>
  <c r="Z139" i="1"/>
  <c r="AA139" i="1" s="1"/>
  <c r="S139" i="1"/>
  <c r="Q139" i="1"/>
  <c r="P139" i="1"/>
  <c r="O139" i="1"/>
  <c r="I139" i="1"/>
  <c r="F139" i="1"/>
  <c r="G139" i="1" s="1"/>
  <c r="AG138" i="1"/>
  <c r="AE138" i="1"/>
  <c r="AB138" i="1"/>
  <c r="Z138" i="1"/>
  <c r="AA138" i="1" s="1"/>
  <c r="S138" i="1"/>
  <c r="Q138" i="1"/>
  <c r="P138" i="1"/>
  <c r="O138" i="1"/>
  <c r="I138" i="1"/>
  <c r="F138" i="1"/>
  <c r="G138" i="1" s="1"/>
  <c r="AG137" i="1"/>
  <c r="AE137" i="1"/>
  <c r="AB137" i="1"/>
  <c r="Z137" i="1"/>
  <c r="AA137" i="1" s="1"/>
  <c r="S137" i="1"/>
  <c r="Q137" i="1"/>
  <c r="Q143" i="1" s="1"/>
  <c r="P137" i="1"/>
  <c r="O137" i="1"/>
  <c r="I137" i="1"/>
  <c r="F137" i="1"/>
  <c r="AB136" i="1"/>
  <c r="AA136" i="1"/>
  <c r="AB135" i="1"/>
  <c r="AA135" i="1"/>
  <c r="AB134" i="1"/>
  <c r="AA134" i="1"/>
  <c r="AB133" i="1"/>
  <c r="AA133" i="1"/>
  <c r="AB131" i="1"/>
  <c r="N131" i="1"/>
  <c r="AA131" i="1"/>
  <c r="H131" i="1"/>
  <c r="E131" i="1"/>
  <c r="D131" i="1"/>
  <c r="AG130" i="1"/>
  <c r="AE130" i="1"/>
  <c r="AB130" i="1"/>
  <c r="AA130" i="1"/>
  <c r="S130" i="1"/>
  <c r="Q130" i="1"/>
  <c r="P130" i="1"/>
  <c r="O130" i="1"/>
  <c r="I130" i="1"/>
  <c r="AG129" i="1"/>
  <c r="AE129" i="1"/>
  <c r="AB129" i="1"/>
  <c r="AA129" i="1"/>
  <c r="S129" i="1"/>
  <c r="Q129" i="1"/>
  <c r="P129" i="1"/>
  <c r="O129" i="1"/>
  <c r="I129" i="1"/>
  <c r="AG128" i="1"/>
  <c r="AE128" i="1"/>
  <c r="AB128" i="1"/>
  <c r="AA128" i="1"/>
  <c r="S128" i="1"/>
  <c r="Q128" i="1"/>
  <c r="P128" i="1"/>
  <c r="O128" i="1"/>
  <c r="I128" i="1"/>
  <c r="F128" i="1"/>
  <c r="G128" i="1" s="1"/>
  <c r="AG127" i="1"/>
  <c r="AE127" i="1"/>
  <c r="AB127" i="1"/>
  <c r="Z127" i="1"/>
  <c r="AA127" i="1" s="1"/>
  <c r="S127" i="1"/>
  <c r="Q127" i="1"/>
  <c r="P127" i="1"/>
  <c r="O127" i="1"/>
  <c r="I127" i="1"/>
  <c r="F127" i="1"/>
  <c r="G127" i="1" s="1"/>
  <c r="AG126" i="1"/>
  <c r="AE126" i="1"/>
  <c r="AB126" i="1"/>
  <c r="Z126" i="1"/>
  <c r="AA126" i="1" s="1"/>
  <c r="S126" i="1"/>
  <c r="Q126" i="1"/>
  <c r="P126" i="1"/>
  <c r="O126" i="1"/>
  <c r="I126" i="1"/>
  <c r="F126" i="1"/>
  <c r="G126" i="1" s="1"/>
  <c r="AG125" i="1"/>
  <c r="AE125" i="1"/>
  <c r="AB125" i="1"/>
  <c r="Z125" i="1"/>
  <c r="AA125" i="1" s="1"/>
  <c r="S125" i="1"/>
  <c r="Q125" i="1"/>
  <c r="P125" i="1"/>
  <c r="O125" i="1"/>
  <c r="I125" i="1"/>
  <c r="F125" i="1"/>
  <c r="G125" i="1" s="1"/>
  <c r="AG124" i="1"/>
  <c r="AE124" i="1"/>
  <c r="AB124" i="1"/>
  <c r="Z124" i="1"/>
  <c r="AA124" i="1" s="1"/>
  <c r="S124" i="1"/>
  <c r="Q124" i="1"/>
  <c r="P124" i="1"/>
  <c r="O124" i="1"/>
  <c r="I124" i="1"/>
  <c r="F124" i="1"/>
  <c r="G124" i="1" s="1"/>
  <c r="AG123" i="1"/>
  <c r="AE123" i="1"/>
  <c r="AB123" i="1"/>
  <c r="Z123" i="1"/>
  <c r="AA123" i="1" s="1"/>
  <c r="S123" i="1"/>
  <c r="Q123" i="1"/>
  <c r="P123" i="1"/>
  <c r="O123" i="1"/>
  <c r="I123" i="1"/>
  <c r="F123" i="1"/>
  <c r="G123" i="1" s="1"/>
  <c r="AB122" i="1"/>
  <c r="AA122" i="1"/>
  <c r="Q122" i="1"/>
  <c r="N121" i="1"/>
  <c r="K121" i="1"/>
  <c r="AA121" i="1" s="1"/>
  <c r="J121" i="1"/>
  <c r="J132" i="1" s="1"/>
  <c r="H121" i="1"/>
  <c r="E121" i="1"/>
  <c r="D121" i="1"/>
  <c r="AG120" i="1"/>
  <c r="AE120" i="1"/>
  <c r="AB120" i="1"/>
  <c r="Z120" i="1"/>
  <c r="AA120" i="1" s="1"/>
  <c r="S120" i="1"/>
  <c r="Q120" i="1"/>
  <c r="P120" i="1"/>
  <c r="O120" i="1"/>
  <c r="I120" i="1"/>
  <c r="G120" i="1"/>
  <c r="AG119" i="1"/>
  <c r="AE119" i="1"/>
  <c r="AB119" i="1"/>
  <c r="Z119" i="1"/>
  <c r="AA119" i="1" s="1"/>
  <c r="S119" i="1"/>
  <c r="Q119" i="1"/>
  <c r="P119" i="1"/>
  <c r="O119" i="1"/>
  <c r="I119" i="1"/>
  <c r="F119" i="1"/>
  <c r="F121" i="1" s="1"/>
  <c r="AB118" i="1"/>
  <c r="AA118" i="1"/>
  <c r="N117" i="1"/>
  <c r="K117" i="1"/>
  <c r="AG117" i="1" s="1"/>
  <c r="H117" i="1"/>
  <c r="E117" i="1"/>
  <c r="D117" i="1"/>
  <c r="AG116" i="1"/>
  <c r="AE116" i="1"/>
  <c r="AB116" i="1"/>
  <c r="Z116" i="1"/>
  <c r="AA116" i="1" s="1"/>
  <c r="S116" i="1"/>
  <c r="Q116" i="1"/>
  <c r="P116" i="1"/>
  <c r="O116" i="1"/>
  <c r="I116" i="1"/>
  <c r="F116" i="1"/>
  <c r="G116" i="1" s="1"/>
  <c r="AG115" i="1"/>
  <c r="AE115" i="1"/>
  <c r="AB115" i="1"/>
  <c r="Z115" i="1"/>
  <c r="AA115" i="1" s="1"/>
  <c r="S115" i="1"/>
  <c r="Q115" i="1"/>
  <c r="P115" i="1"/>
  <c r="O115" i="1"/>
  <c r="I115" i="1"/>
  <c r="F115" i="1"/>
  <c r="G115" i="1" s="1"/>
  <c r="AG114" i="1"/>
  <c r="AE114" i="1"/>
  <c r="AB114" i="1"/>
  <c r="Z114" i="1"/>
  <c r="AA114" i="1" s="1"/>
  <c r="S114" i="1"/>
  <c r="Q114" i="1"/>
  <c r="P114" i="1"/>
  <c r="O114" i="1"/>
  <c r="I114" i="1"/>
  <c r="F114" i="1"/>
  <c r="G114" i="1" s="1"/>
  <c r="AG113" i="1"/>
  <c r="AE113" i="1"/>
  <c r="AB113" i="1"/>
  <c r="Z113" i="1"/>
  <c r="AA113" i="1" s="1"/>
  <c r="S113" i="1"/>
  <c r="Q113" i="1"/>
  <c r="P113" i="1"/>
  <c r="O113" i="1"/>
  <c r="I113" i="1"/>
  <c r="F113" i="1"/>
  <c r="G113" i="1" s="1"/>
  <c r="AG112" i="1"/>
  <c r="AE112" i="1"/>
  <c r="AB112" i="1"/>
  <c r="Z112" i="1"/>
  <c r="AA112" i="1" s="1"/>
  <c r="S112" i="1"/>
  <c r="Q112" i="1"/>
  <c r="P112" i="1"/>
  <c r="O112" i="1"/>
  <c r="I112" i="1"/>
  <c r="G112" i="1"/>
  <c r="AG111" i="1"/>
  <c r="AE111" i="1"/>
  <c r="AB111" i="1"/>
  <c r="Z111" i="1"/>
  <c r="AA111" i="1" s="1"/>
  <c r="S111" i="1"/>
  <c r="Q111" i="1"/>
  <c r="P111" i="1"/>
  <c r="O111" i="1"/>
  <c r="I111" i="1"/>
  <c r="F111" i="1"/>
  <c r="G111" i="1" s="1"/>
  <c r="AG110" i="1"/>
  <c r="AE110" i="1"/>
  <c r="AB110" i="1"/>
  <c r="Z110" i="1"/>
  <c r="AA110" i="1" s="1"/>
  <c r="S110" i="1"/>
  <c r="Q110" i="1"/>
  <c r="P110" i="1"/>
  <c r="O110" i="1"/>
  <c r="I110" i="1"/>
  <c r="F110" i="1"/>
  <c r="G110" i="1" s="1"/>
  <c r="AG109" i="1"/>
  <c r="AE109" i="1"/>
  <c r="AB109" i="1"/>
  <c r="Z109" i="1"/>
  <c r="AA109" i="1" s="1"/>
  <c r="S109" i="1"/>
  <c r="Q109" i="1"/>
  <c r="P109" i="1"/>
  <c r="O109" i="1"/>
  <c r="I109" i="1"/>
  <c r="F109" i="1"/>
  <c r="G109" i="1" s="1"/>
  <c r="AG108" i="1"/>
  <c r="AE108" i="1"/>
  <c r="AB108" i="1"/>
  <c r="Z108" i="1"/>
  <c r="AA108" i="1" s="1"/>
  <c r="S108" i="1"/>
  <c r="Q108" i="1"/>
  <c r="P108" i="1"/>
  <c r="O108" i="1"/>
  <c r="I108" i="1"/>
  <c r="F108" i="1"/>
  <c r="G108" i="1" s="1"/>
  <c r="AG107" i="1"/>
  <c r="AE107" i="1"/>
  <c r="AB107" i="1"/>
  <c r="Z107" i="1"/>
  <c r="AA107" i="1" s="1"/>
  <c r="S107" i="1"/>
  <c r="Q107" i="1"/>
  <c r="P107" i="1"/>
  <c r="O107" i="1"/>
  <c r="I107" i="1"/>
  <c r="F107" i="1"/>
  <c r="AB106" i="1"/>
  <c r="AA106" i="1"/>
  <c r="N105" i="1"/>
  <c r="AA105" i="1"/>
  <c r="H105" i="1"/>
  <c r="E105" i="1"/>
  <c r="D105" i="1"/>
  <c r="AG104" i="1"/>
  <c r="AE104" i="1"/>
  <c r="AB104" i="1"/>
  <c r="Z104" i="1"/>
  <c r="AA104" i="1" s="1"/>
  <c r="S104" i="1"/>
  <c r="Q104" i="1"/>
  <c r="P104" i="1"/>
  <c r="O104" i="1"/>
  <c r="I104" i="1"/>
  <c r="F104" i="1"/>
  <c r="G104" i="1" s="1"/>
  <c r="AG103" i="1"/>
  <c r="AE103" i="1"/>
  <c r="AB103" i="1"/>
  <c r="Z103" i="1"/>
  <c r="AA103" i="1" s="1"/>
  <c r="S103" i="1"/>
  <c r="Q103" i="1"/>
  <c r="P103" i="1"/>
  <c r="O103" i="1"/>
  <c r="I103" i="1"/>
  <c r="F103" i="1"/>
  <c r="G103" i="1" s="1"/>
  <c r="AG102" i="1"/>
  <c r="AE102" i="1"/>
  <c r="AB102" i="1"/>
  <c r="Z102" i="1"/>
  <c r="AA102" i="1" s="1"/>
  <c r="S102" i="1"/>
  <c r="Q102" i="1"/>
  <c r="P102" i="1"/>
  <c r="O102" i="1"/>
  <c r="I102" i="1"/>
  <c r="F102" i="1"/>
  <c r="G102" i="1" s="1"/>
  <c r="AG101" i="1"/>
  <c r="AE101" i="1"/>
  <c r="AB101" i="1"/>
  <c r="Z101" i="1"/>
  <c r="AA101" i="1" s="1"/>
  <c r="S101" i="1"/>
  <c r="Q101" i="1"/>
  <c r="P101" i="1"/>
  <c r="O101" i="1"/>
  <c r="I101" i="1"/>
  <c r="F101" i="1"/>
  <c r="G101" i="1" s="1"/>
  <c r="AG100" i="1"/>
  <c r="AE100" i="1"/>
  <c r="AB100" i="1"/>
  <c r="Z100" i="1"/>
  <c r="AA100" i="1" s="1"/>
  <c r="S100" i="1"/>
  <c r="Q100" i="1"/>
  <c r="P100" i="1"/>
  <c r="O100" i="1"/>
  <c r="I100" i="1"/>
  <c r="F100" i="1"/>
  <c r="G100" i="1" s="1"/>
  <c r="AG99" i="1"/>
  <c r="AE99" i="1"/>
  <c r="AB99" i="1"/>
  <c r="Z99" i="1"/>
  <c r="AA99" i="1" s="1"/>
  <c r="S99" i="1"/>
  <c r="Q99" i="1"/>
  <c r="P99" i="1"/>
  <c r="O99" i="1"/>
  <c r="I99" i="1"/>
  <c r="F99" i="1"/>
  <c r="G99" i="1" s="1"/>
  <c r="S98" i="1"/>
  <c r="Q98" i="1"/>
  <c r="P98" i="1"/>
  <c r="O98" i="1"/>
  <c r="AG97" i="1"/>
  <c r="AE97" i="1"/>
  <c r="AB97" i="1"/>
  <c r="Z97" i="1"/>
  <c r="AA97" i="1" s="1"/>
  <c r="S97" i="1"/>
  <c r="Q97" i="1"/>
  <c r="P97" i="1"/>
  <c r="O97" i="1"/>
  <c r="I97" i="1"/>
  <c r="F97" i="1"/>
  <c r="G97" i="1" s="1"/>
  <c r="AG96" i="1"/>
  <c r="AE96" i="1"/>
  <c r="AB96" i="1"/>
  <c r="Z96" i="1"/>
  <c r="AA96" i="1" s="1"/>
  <c r="S96" i="1"/>
  <c r="Q96" i="1"/>
  <c r="P96" i="1"/>
  <c r="O96" i="1"/>
  <c r="I96" i="1"/>
  <c r="F96" i="1"/>
  <c r="G96" i="1" s="1"/>
  <c r="AG95" i="1"/>
  <c r="AE95" i="1"/>
  <c r="AB95" i="1"/>
  <c r="Z95" i="1"/>
  <c r="AA95" i="1" s="1"/>
  <c r="S95" i="1"/>
  <c r="Q95" i="1"/>
  <c r="P95" i="1"/>
  <c r="O95" i="1"/>
  <c r="I95" i="1"/>
  <c r="F95" i="1"/>
  <c r="AB94" i="1"/>
  <c r="AA94" i="1"/>
  <c r="N93" i="1"/>
  <c r="K93" i="1"/>
  <c r="AE93" i="1" s="1"/>
  <c r="D93" i="1"/>
  <c r="AG92" i="1"/>
  <c r="AE92" i="1"/>
  <c r="AB92" i="1"/>
  <c r="Z92" i="1"/>
  <c r="AA92" i="1" s="1"/>
  <c r="S92" i="1"/>
  <c r="Q92" i="1"/>
  <c r="P92" i="1"/>
  <c r="O92" i="1"/>
  <c r="AG91" i="1"/>
  <c r="AE91" i="1"/>
  <c r="AB91" i="1"/>
  <c r="Z91" i="1"/>
  <c r="AA91" i="1" s="1"/>
  <c r="S91" i="1"/>
  <c r="S93" i="1" s="1"/>
  <c r="Q91" i="1"/>
  <c r="Q93" i="1" s="1"/>
  <c r="P91" i="1"/>
  <c r="O91" i="1"/>
  <c r="O93" i="1" s="1"/>
  <c r="AB90" i="1"/>
  <c r="AA90" i="1"/>
  <c r="N88" i="1"/>
  <c r="H88" i="1"/>
  <c r="E88" i="1"/>
  <c r="AG86" i="1"/>
  <c r="AE86" i="1"/>
  <c r="AB86" i="1"/>
  <c r="Z86" i="1"/>
  <c r="AA86" i="1" s="1"/>
  <c r="S86" i="1"/>
  <c r="Q86" i="1"/>
  <c r="P86" i="1"/>
  <c r="O86" i="1"/>
  <c r="I86" i="1"/>
  <c r="AG85" i="1"/>
  <c r="AE85" i="1"/>
  <c r="AB85" i="1"/>
  <c r="Z85" i="1"/>
  <c r="AA85" i="1" s="1"/>
  <c r="S85" i="1"/>
  <c r="Q85" i="1"/>
  <c r="P85" i="1"/>
  <c r="O85" i="1"/>
  <c r="I85" i="1"/>
  <c r="AB84" i="1"/>
  <c r="S84" i="1"/>
  <c r="Q84" i="1"/>
  <c r="P84" i="1"/>
  <c r="O84" i="1"/>
  <c r="AG83" i="1"/>
  <c r="AE83" i="1"/>
  <c r="AB83" i="1"/>
  <c r="Z83" i="1"/>
  <c r="AA83" i="1" s="1"/>
  <c r="S83" i="1"/>
  <c r="Q83" i="1"/>
  <c r="P83" i="1"/>
  <c r="O83" i="1"/>
  <c r="I83" i="1"/>
  <c r="F83" i="1"/>
  <c r="G83" i="1" s="1"/>
  <c r="AG82" i="1"/>
  <c r="AE82" i="1"/>
  <c r="AB82" i="1"/>
  <c r="Z82" i="1"/>
  <c r="AA82" i="1" s="1"/>
  <c r="S82" i="1"/>
  <c r="Q82" i="1"/>
  <c r="P82" i="1"/>
  <c r="O82" i="1"/>
  <c r="I82" i="1"/>
  <c r="F82" i="1"/>
  <c r="G82" i="1" s="1"/>
  <c r="AG81" i="1"/>
  <c r="AE81" i="1"/>
  <c r="AB81" i="1"/>
  <c r="Z81" i="1"/>
  <c r="AA81" i="1" s="1"/>
  <c r="S81" i="1"/>
  <c r="Q81" i="1"/>
  <c r="P81" i="1"/>
  <c r="O81" i="1"/>
  <c r="I81" i="1"/>
  <c r="F81" i="1"/>
  <c r="G81" i="1" s="1"/>
  <c r="AG79" i="1"/>
  <c r="AE79" i="1"/>
  <c r="AB79" i="1"/>
  <c r="Z79" i="1"/>
  <c r="AA79" i="1" s="1"/>
  <c r="S79" i="1"/>
  <c r="Q79" i="1"/>
  <c r="P79" i="1"/>
  <c r="O79" i="1"/>
  <c r="I79" i="1"/>
  <c r="F79" i="1"/>
  <c r="G79" i="1" s="1"/>
  <c r="AB78" i="1"/>
  <c r="AA78" i="1"/>
  <c r="N77" i="1"/>
  <c r="J77" i="1"/>
  <c r="H77" i="1"/>
  <c r="E77" i="1"/>
  <c r="AG72" i="1"/>
  <c r="AE72" i="1"/>
  <c r="AB72" i="1"/>
  <c r="Z72" i="1"/>
  <c r="AA72" i="1" s="1"/>
  <c r="S72" i="1"/>
  <c r="Q72" i="1"/>
  <c r="O72" i="1"/>
  <c r="I72" i="1"/>
  <c r="AG71" i="1"/>
  <c r="AE71" i="1"/>
  <c r="AB71" i="1"/>
  <c r="Z71" i="1"/>
  <c r="AA71" i="1" s="1"/>
  <c r="S71" i="1"/>
  <c r="Q71" i="1"/>
  <c r="P71" i="1"/>
  <c r="O71" i="1"/>
  <c r="AG70" i="1"/>
  <c r="AE70" i="1"/>
  <c r="AB70" i="1"/>
  <c r="Z70" i="1"/>
  <c r="AA70" i="1" s="1"/>
  <c r="S70" i="1"/>
  <c r="Q70" i="1"/>
  <c r="P70" i="1"/>
  <c r="O70" i="1"/>
  <c r="I70" i="1"/>
  <c r="AG69" i="1"/>
  <c r="AE69" i="1"/>
  <c r="AB69" i="1"/>
  <c r="Z69" i="1"/>
  <c r="AA69" i="1" s="1"/>
  <c r="S69" i="1"/>
  <c r="Q69" i="1"/>
  <c r="P69" i="1"/>
  <c r="O69" i="1"/>
  <c r="I69" i="1"/>
  <c r="S68" i="1"/>
  <c r="Q68" i="1"/>
  <c r="P68" i="1"/>
  <c r="O68" i="1"/>
  <c r="AG67" i="1"/>
  <c r="AE67" i="1"/>
  <c r="AB67" i="1"/>
  <c r="Z67" i="1"/>
  <c r="AA67" i="1" s="1"/>
  <c r="S67" i="1"/>
  <c r="Q67" i="1"/>
  <c r="P67" i="1"/>
  <c r="O67" i="1"/>
  <c r="AG66" i="1"/>
  <c r="AE66" i="1"/>
  <c r="AB66" i="1"/>
  <c r="Z66" i="1"/>
  <c r="AA66" i="1" s="1"/>
  <c r="S66" i="1"/>
  <c r="Q66" i="1"/>
  <c r="P66" i="1"/>
  <c r="O66" i="1"/>
  <c r="AG65" i="1"/>
  <c r="AE65" i="1"/>
  <c r="AB65" i="1"/>
  <c r="Z65" i="1"/>
  <c r="AA65" i="1" s="1"/>
  <c r="S65" i="1"/>
  <c r="Q65" i="1"/>
  <c r="P65" i="1"/>
  <c r="O65" i="1"/>
  <c r="I65" i="1"/>
  <c r="AG64" i="1"/>
  <c r="AE64" i="1"/>
  <c r="AB64" i="1"/>
  <c r="Z64" i="1"/>
  <c r="AA64" i="1" s="1"/>
  <c r="S64" i="1"/>
  <c r="Q64" i="1"/>
  <c r="P64" i="1"/>
  <c r="O64" i="1"/>
  <c r="I64" i="1"/>
  <c r="F64" i="1"/>
  <c r="G64" i="1" s="1"/>
  <c r="AG63" i="1"/>
  <c r="AE63" i="1"/>
  <c r="AB63" i="1"/>
  <c r="Z63" i="1"/>
  <c r="AA63" i="1" s="1"/>
  <c r="S63" i="1"/>
  <c r="Q63" i="1"/>
  <c r="P63" i="1"/>
  <c r="O63" i="1"/>
  <c r="I63" i="1"/>
  <c r="F63" i="1"/>
  <c r="G63" i="1" s="1"/>
  <c r="AG62" i="1"/>
  <c r="AE62" i="1"/>
  <c r="AB62" i="1"/>
  <c r="Z62" i="1"/>
  <c r="AA62" i="1" s="1"/>
  <c r="S62" i="1"/>
  <c r="Q62" i="1"/>
  <c r="P62" i="1"/>
  <c r="O62" i="1"/>
  <c r="I62" i="1"/>
  <c r="F62" i="1"/>
  <c r="AG61" i="1"/>
  <c r="AE61" i="1"/>
  <c r="AB61" i="1"/>
  <c r="Z61" i="1"/>
  <c r="AA61" i="1" s="1"/>
  <c r="S61" i="1"/>
  <c r="Q61" i="1"/>
  <c r="P61" i="1"/>
  <c r="O61" i="1"/>
  <c r="I61" i="1"/>
  <c r="AG60" i="1"/>
  <c r="AE60" i="1"/>
  <c r="AB60" i="1"/>
  <c r="Z60" i="1"/>
  <c r="S60" i="1"/>
  <c r="Q60" i="1"/>
  <c r="P60" i="1"/>
  <c r="O60" i="1"/>
  <c r="I60" i="1"/>
  <c r="G60" i="1"/>
  <c r="AB59" i="1"/>
  <c r="AA59" i="1"/>
  <c r="AG58" i="1"/>
  <c r="AE58" i="1"/>
  <c r="AB58" i="1"/>
  <c r="Z58" i="1"/>
  <c r="AA58" i="1" s="1"/>
  <c r="S58" i="1"/>
  <c r="Q58" i="1"/>
  <c r="P58" i="1"/>
  <c r="O58" i="1"/>
  <c r="I58" i="1"/>
  <c r="F58" i="1"/>
  <c r="G58" i="1" s="1"/>
  <c r="AG57" i="1"/>
  <c r="AE57" i="1"/>
  <c r="AB57" i="1"/>
  <c r="Z57" i="1"/>
  <c r="AA57" i="1" s="1"/>
  <c r="S57" i="1"/>
  <c r="Q57" i="1"/>
  <c r="P57" i="1"/>
  <c r="O57" i="1"/>
  <c r="I57" i="1"/>
  <c r="F57" i="1"/>
  <c r="G57" i="1" s="1"/>
  <c r="AB56" i="1"/>
  <c r="AA56" i="1"/>
  <c r="N55" i="1"/>
  <c r="K55" i="1"/>
  <c r="AB55" i="1" s="1"/>
  <c r="H55" i="1"/>
  <c r="E55" i="1"/>
  <c r="D55" i="1"/>
  <c r="AG54" i="1"/>
  <c r="AE54" i="1"/>
  <c r="AB54" i="1"/>
  <c r="Z54" i="1"/>
  <c r="AA54" i="1" s="1"/>
  <c r="S54" i="1"/>
  <c r="Q54" i="1"/>
  <c r="P54" i="1"/>
  <c r="O54" i="1"/>
  <c r="I54" i="1"/>
  <c r="F54" i="1"/>
  <c r="G54" i="1" s="1"/>
  <c r="AG53" i="1"/>
  <c r="AE53" i="1"/>
  <c r="AB53" i="1"/>
  <c r="Z53" i="1"/>
  <c r="AA53" i="1" s="1"/>
  <c r="S53" i="1"/>
  <c r="Q53" i="1"/>
  <c r="P53" i="1"/>
  <c r="O53" i="1"/>
  <c r="I53" i="1"/>
  <c r="F53" i="1"/>
  <c r="G53" i="1" s="1"/>
  <c r="AB52" i="1"/>
  <c r="AA52" i="1"/>
  <c r="N50" i="1"/>
  <c r="H50" i="1"/>
  <c r="E50" i="1"/>
  <c r="AG48" i="1"/>
  <c r="AE48" i="1"/>
  <c r="AB48" i="1"/>
  <c r="Z48" i="1"/>
  <c r="AA48" i="1" s="1"/>
  <c r="S48" i="1"/>
  <c r="Q48" i="1"/>
  <c r="P48" i="1"/>
  <c r="O48" i="1"/>
  <c r="I48" i="1"/>
  <c r="F48" i="1"/>
  <c r="G48" i="1" s="1"/>
  <c r="AG47" i="1"/>
  <c r="AE47" i="1"/>
  <c r="AB47" i="1"/>
  <c r="Z47" i="1"/>
  <c r="AA47" i="1" s="1"/>
  <c r="S47" i="1"/>
  <c r="Q47" i="1"/>
  <c r="P47" i="1"/>
  <c r="O47" i="1"/>
  <c r="I47" i="1"/>
  <c r="F47" i="1"/>
  <c r="G47" i="1" s="1"/>
  <c r="AG46" i="1"/>
  <c r="AE46" i="1"/>
  <c r="AB46" i="1"/>
  <c r="Z46" i="1"/>
  <c r="AA46" i="1" s="1"/>
  <c r="S46" i="1"/>
  <c r="Q46" i="1"/>
  <c r="P46" i="1"/>
  <c r="O46" i="1"/>
  <c r="I46" i="1"/>
  <c r="F46" i="1"/>
  <c r="G46" i="1" s="1"/>
  <c r="AG45" i="1"/>
  <c r="AE45" i="1"/>
  <c r="AB45" i="1"/>
  <c r="Z45" i="1"/>
  <c r="AA45" i="1" s="1"/>
  <c r="S45" i="1"/>
  <c r="Q45" i="1"/>
  <c r="P45" i="1"/>
  <c r="O45" i="1"/>
  <c r="I45" i="1"/>
  <c r="F45" i="1"/>
  <c r="G45" i="1" s="1"/>
  <c r="S44" i="1"/>
  <c r="Q44" i="1"/>
  <c r="P44" i="1"/>
  <c r="O44" i="1"/>
  <c r="I44" i="1"/>
  <c r="F44" i="1"/>
  <c r="G44" i="1" s="1"/>
  <c r="AG43" i="1"/>
  <c r="AE43" i="1"/>
  <c r="AB43" i="1"/>
  <c r="Z43" i="1"/>
  <c r="S43" i="1"/>
  <c r="Q43" i="1"/>
  <c r="P43" i="1"/>
  <c r="O43" i="1"/>
  <c r="I43" i="1"/>
  <c r="G43" i="1"/>
  <c r="F43" i="1"/>
  <c r="AB42" i="1"/>
  <c r="Z42" i="1"/>
  <c r="AA42" i="1" s="1"/>
  <c r="Z41" i="1"/>
  <c r="N41" i="1"/>
  <c r="AG41" i="1"/>
  <c r="H41" i="1"/>
  <c r="H51" i="1" s="1"/>
  <c r="AG36" i="1"/>
  <c r="AE36" i="1"/>
  <c r="AB36" i="1"/>
  <c r="Z36" i="1"/>
  <c r="AA36" i="1" s="1"/>
  <c r="S36" i="1"/>
  <c r="Q36" i="1"/>
  <c r="P36" i="1"/>
  <c r="O36" i="1"/>
  <c r="I36" i="1"/>
  <c r="F36" i="1"/>
  <c r="G36" i="1" s="1"/>
  <c r="AG35" i="1"/>
  <c r="AE35" i="1"/>
  <c r="AB35" i="1"/>
  <c r="Z35" i="1"/>
  <c r="AA35" i="1" s="1"/>
  <c r="S35" i="1"/>
  <c r="Q35" i="1"/>
  <c r="P35" i="1"/>
  <c r="O35" i="1"/>
  <c r="I35" i="1"/>
  <c r="F35" i="1"/>
  <c r="G35" i="1" s="1"/>
  <c r="AG34" i="1"/>
  <c r="AE34" i="1"/>
  <c r="AB34" i="1"/>
  <c r="Z34" i="1"/>
  <c r="AA34" i="1" s="1"/>
  <c r="S34" i="1"/>
  <c r="Q34" i="1"/>
  <c r="P34" i="1"/>
  <c r="O34" i="1"/>
  <c r="I34" i="1"/>
  <c r="G34" i="1"/>
  <c r="AG33" i="1"/>
  <c r="AE33" i="1"/>
  <c r="AB33" i="1"/>
  <c r="Z33" i="1"/>
  <c r="AA33" i="1" s="1"/>
  <c r="S33" i="1"/>
  <c r="Q33" i="1"/>
  <c r="P33" i="1"/>
  <c r="O33" i="1"/>
  <c r="I33" i="1"/>
  <c r="F33" i="1"/>
  <c r="G33" i="1" s="1"/>
  <c r="AG32" i="1"/>
  <c r="AE32" i="1"/>
  <c r="AB32" i="1"/>
  <c r="Z32" i="1"/>
  <c r="AA32" i="1" s="1"/>
  <c r="S32" i="1"/>
  <c r="Q32" i="1"/>
  <c r="P32" i="1"/>
  <c r="O32" i="1"/>
  <c r="I32" i="1"/>
  <c r="F32" i="1"/>
  <c r="G32" i="1" s="1"/>
  <c r="AG31" i="1"/>
  <c r="AE31" i="1"/>
  <c r="AB31" i="1"/>
  <c r="Z31" i="1"/>
  <c r="AA31" i="1" s="1"/>
  <c r="S31" i="1"/>
  <c r="Q31" i="1"/>
  <c r="P31" i="1"/>
  <c r="O31" i="1"/>
  <c r="I31" i="1"/>
  <c r="F31" i="1"/>
  <c r="G31" i="1" s="1"/>
  <c r="S30" i="1"/>
  <c r="Q30" i="1"/>
  <c r="P30" i="1"/>
  <c r="O30" i="1"/>
  <c r="AG29" i="1"/>
  <c r="AE29" i="1"/>
  <c r="AB29" i="1"/>
  <c r="Z29" i="1"/>
  <c r="AA29" i="1" s="1"/>
  <c r="S29" i="1"/>
  <c r="Q29" i="1"/>
  <c r="P29" i="1"/>
  <c r="O29" i="1"/>
  <c r="I29" i="1"/>
  <c r="G29" i="1"/>
  <c r="F29" i="1"/>
  <c r="AB28" i="1"/>
  <c r="AA28" i="1"/>
  <c r="AG27" i="1"/>
  <c r="AE27" i="1"/>
  <c r="AB27" i="1"/>
  <c r="Z27" i="1"/>
  <c r="AA27" i="1" s="1"/>
  <c r="Q27" i="1"/>
  <c r="P27" i="1"/>
  <c r="O27" i="1"/>
  <c r="I27" i="1"/>
  <c r="G27" i="1"/>
  <c r="AG26" i="1"/>
  <c r="AE26" i="1"/>
  <c r="AB26" i="1"/>
  <c r="Z26" i="1"/>
  <c r="AA26" i="1" s="1"/>
  <c r="S26" i="1"/>
  <c r="Q26" i="1"/>
  <c r="P26" i="1"/>
  <c r="O26" i="1"/>
  <c r="I26" i="1"/>
  <c r="G26" i="1"/>
  <c r="AB25" i="1"/>
  <c r="AA25" i="1"/>
  <c r="N24" i="1"/>
  <c r="AB24" i="1"/>
  <c r="H24" i="1"/>
  <c r="E24" i="1"/>
  <c r="AG23" i="1"/>
  <c r="AE23" i="1"/>
  <c r="AB23" i="1"/>
  <c r="Z23" i="1"/>
  <c r="AA23" i="1" s="1"/>
  <c r="S23" i="1"/>
  <c r="P23" i="1"/>
  <c r="O23" i="1"/>
  <c r="I23" i="1"/>
  <c r="F23" i="1"/>
  <c r="G23" i="1" s="1"/>
  <c r="AG22" i="1"/>
  <c r="AE22" i="1"/>
  <c r="AB22" i="1"/>
  <c r="Z22" i="1"/>
  <c r="AA22" i="1" s="1"/>
  <c r="S22" i="1"/>
  <c r="Q22" i="1"/>
  <c r="P22" i="1"/>
  <c r="O22" i="1"/>
  <c r="I22" i="1"/>
  <c r="F22" i="1"/>
  <c r="G22" i="1" s="1"/>
  <c r="AG21" i="1"/>
  <c r="AE21" i="1"/>
  <c r="AB21" i="1"/>
  <c r="Z21" i="1"/>
  <c r="AA21" i="1" s="1"/>
  <c r="S21" i="1"/>
  <c r="Q21" i="1"/>
  <c r="P21" i="1"/>
  <c r="O21" i="1"/>
  <c r="I21" i="1"/>
  <c r="F21" i="1"/>
  <c r="G21" i="1" s="1"/>
  <c r="AG20" i="1"/>
  <c r="AE20" i="1"/>
  <c r="AB20" i="1"/>
  <c r="Z20" i="1"/>
  <c r="AA20" i="1" s="1"/>
  <c r="S20" i="1"/>
  <c r="Q20" i="1"/>
  <c r="P20" i="1"/>
  <c r="O20" i="1"/>
  <c r="I20" i="1"/>
  <c r="F20" i="1"/>
  <c r="G20" i="1" s="1"/>
  <c r="AG19" i="1"/>
  <c r="AE19" i="1"/>
  <c r="AB19" i="1"/>
  <c r="Z19" i="1"/>
  <c r="AA19" i="1" s="1"/>
  <c r="S19" i="1"/>
  <c r="Q19" i="1"/>
  <c r="P19" i="1"/>
  <c r="O19" i="1"/>
  <c r="I19" i="1"/>
  <c r="F19" i="1"/>
  <c r="G19" i="1" s="1"/>
  <c r="AG18" i="1"/>
  <c r="AE18" i="1"/>
  <c r="AB18" i="1"/>
  <c r="Z18" i="1"/>
  <c r="AA18" i="1" s="1"/>
  <c r="S18" i="1"/>
  <c r="Q18" i="1"/>
  <c r="O18" i="1"/>
  <c r="I18" i="1"/>
  <c r="F18" i="1"/>
  <c r="G18" i="1" s="1"/>
  <c r="AB17" i="1"/>
  <c r="AA17" i="1"/>
  <c r="N16" i="1"/>
  <c r="H16" i="1"/>
  <c r="E16" i="1"/>
  <c r="AG14" i="1"/>
  <c r="AE14" i="1"/>
  <c r="AB14" i="1"/>
  <c r="Z14" i="1"/>
  <c r="S14" i="1"/>
  <c r="Q14" i="1"/>
  <c r="O14" i="1"/>
  <c r="I14" i="1"/>
  <c r="F14" i="1"/>
  <c r="G14" i="1" s="1"/>
  <c r="AG13" i="1"/>
  <c r="AE13" i="1"/>
  <c r="AB13" i="1"/>
  <c r="Z13" i="1"/>
  <c r="AA13" i="1" s="1"/>
  <c r="S13" i="1"/>
  <c r="Q13" i="1"/>
  <c r="O13" i="1"/>
  <c r="I13" i="1"/>
  <c r="F13" i="1"/>
  <c r="G13" i="1" s="1"/>
  <c r="O151" i="1" l="1"/>
  <c r="Q185" i="1"/>
  <c r="P24" i="1"/>
  <c r="Q55" i="1"/>
  <c r="Q121" i="1"/>
  <c r="P143" i="1"/>
  <c r="Q151" i="1"/>
  <c r="Q169" i="1"/>
  <c r="P176" i="1"/>
  <c r="P55" i="1"/>
  <c r="Q88" i="1"/>
  <c r="P121" i="1"/>
  <c r="P151" i="1"/>
  <c r="P169" i="1"/>
  <c r="O176" i="1"/>
  <c r="Q41" i="1"/>
  <c r="R99" i="1"/>
  <c r="V99" i="1" s="1"/>
  <c r="O185" i="1"/>
  <c r="O55" i="1"/>
  <c r="O105" i="1"/>
  <c r="O143" i="1"/>
  <c r="Q160" i="1"/>
  <c r="P88" i="1"/>
  <c r="P105" i="1"/>
  <c r="O121" i="1"/>
  <c r="O169" i="1"/>
  <c r="Q105" i="1"/>
  <c r="P131" i="1"/>
  <c r="O160" i="1"/>
  <c r="S55" i="1"/>
  <c r="Q131" i="1"/>
  <c r="P160" i="1"/>
  <c r="O131" i="1"/>
  <c r="P41" i="1"/>
  <c r="O41" i="1"/>
  <c r="O77" i="1"/>
  <c r="S41" i="1"/>
  <c r="O50" i="1"/>
  <c r="P77" i="1"/>
  <c r="P89" i="1" s="1"/>
  <c r="O88" i="1"/>
  <c r="O89" i="1" s="1"/>
  <c r="S121" i="1"/>
  <c r="S151" i="1"/>
  <c r="S169" i="1"/>
  <c r="S77" i="1"/>
  <c r="S143" i="1"/>
  <c r="O117" i="1"/>
  <c r="O190" i="1"/>
  <c r="O195" i="1" s="1"/>
  <c r="Q190" i="1"/>
  <c r="Q195" i="1" s="1"/>
  <c r="Q117" i="1"/>
  <c r="P190" i="1"/>
  <c r="P195" i="1" s="1"/>
  <c r="P117" i="1"/>
  <c r="S160" i="1"/>
  <c r="S105" i="1"/>
  <c r="Q24" i="1"/>
  <c r="Q50" i="1"/>
  <c r="S117" i="1"/>
  <c r="S190" i="1"/>
  <c r="S195" i="1" s="1"/>
  <c r="S131" i="1"/>
  <c r="S176" i="1"/>
  <c r="O24" i="1"/>
  <c r="S24" i="1"/>
  <c r="S50" i="1"/>
  <c r="P50" i="1"/>
  <c r="Q77" i="1"/>
  <c r="Q89" i="1" s="1"/>
  <c r="S88" i="1"/>
  <c r="S185" i="1"/>
  <c r="R128" i="1"/>
  <c r="V128" i="1" s="1"/>
  <c r="R107" i="1"/>
  <c r="V107" i="1" s="1"/>
  <c r="R155" i="1"/>
  <c r="V155" i="1" s="1"/>
  <c r="R174" i="1"/>
  <c r="V174" i="1" s="1"/>
  <c r="U27" i="1"/>
  <c r="W27" i="1" s="1"/>
  <c r="D132" i="1"/>
  <c r="G16" i="1"/>
  <c r="G119" i="1"/>
  <c r="G121" i="1" s="1"/>
  <c r="I176" i="1"/>
  <c r="R100" i="1"/>
  <c r="R148" i="1"/>
  <c r="V148" i="1" s="1"/>
  <c r="R141" i="1"/>
  <c r="V141" i="1" s="1"/>
  <c r="P93" i="1"/>
  <c r="O16" i="1"/>
  <c r="Q16" i="1"/>
  <c r="AE16" i="1"/>
  <c r="AB16" i="1"/>
  <c r="S16" i="1"/>
  <c r="AG16" i="1"/>
  <c r="R81" i="1"/>
  <c r="V81" i="1" s="1"/>
  <c r="R83" i="1"/>
  <c r="V83" i="1" s="1"/>
  <c r="AG50" i="1"/>
  <c r="AB77" i="1"/>
  <c r="AE77" i="1"/>
  <c r="AB50" i="1"/>
  <c r="AG77" i="1"/>
  <c r="AA14" i="1"/>
  <c r="AA16" i="1" s="1"/>
  <c r="Z16" i="1"/>
  <c r="AA43" i="1"/>
  <c r="AA50" i="1" s="1"/>
  <c r="Z50" i="1"/>
  <c r="AE50" i="1"/>
  <c r="AA60" i="1"/>
  <c r="AA77" i="1" s="1"/>
  <c r="Z77" i="1"/>
  <c r="U149" i="1"/>
  <c r="W149" i="1" s="1"/>
  <c r="U14" i="1"/>
  <c r="I117" i="1"/>
  <c r="R112" i="1"/>
  <c r="V112" i="1" s="1"/>
  <c r="R116" i="1"/>
  <c r="V116" i="1" s="1"/>
  <c r="R173" i="1"/>
  <c r="V173" i="1" s="1"/>
  <c r="U30" i="1"/>
  <c r="I88" i="1"/>
  <c r="AA93" i="1"/>
  <c r="R96" i="1"/>
  <c r="V96" i="1" s="1"/>
  <c r="U99" i="1"/>
  <c r="W99" i="1" s="1"/>
  <c r="R101" i="1"/>
  <c r="V101" i="1" s="1"/>
  <c r="R111" i="1"/>
  <c r="V111" i="1" s="1"/>
  <c r="R113" i="1"/>
  <c r="V113" i="1" s="1"/>
  <c r="I121" i="1"/>
  <c r="R140" i="1"/>
  <c r="R154" i="1"/>
  <c r="V154" i="1" s="1"/>
  <c r="F176" i="1"/>
  <c r="R172" i="1"/>
  <c r="V172" i="1" s="1"/>
  <c r="U182" i="1"/>
  <c r="W182" i="1" s="1"/>
  <c r="F77" i="1"/>
  <c r="AG93" i="1"/>
  <c r="R108" i="1"/>
  <c r="V108" i="1" s="1"/>
  <c r="R130" i="1"/>
  <c r="R137" i="1"/>
  <c r="V137" i="1" s="1"/>
  <c r="D186" i="1"/>
  <c r="R149" i="1"/>
  <c r="V149" i="1" s="1"/>
  <c r="U156" i="1"/>
  <c r="W156" i="1" s="1"/>
  <c r="AG169" i="1"/>
  <c r="G171" i="1"/>
  <c r="G176" i="1" s="1"/>
  <c r="R175" i="1"/>
  <c r="V175" i="1" s="1"/>
  <c r="U102" i="1"/>
  <c r="W102" i="1" s="1"/>
  <c r="R102" i="1"/>
  <c r="V102" i="1" s="1"/>
  <c r="U44" i="1"/>
  <c r="W44" i="1" s="1"/>
  <c r="R44" i="1"/>
  <c r="V44" i="1" s="1"/>
  <c r="R70" i="1"/>
  <c r="V70" i="1" s="1"/>
  <c r="U103" i="1"/>
  <c r="W103" i="1" s="1"/>
  <c r="R103" i="1"/>
  <c r="V103" i="1" s="1"/>
  <c r="I143" i="1"/>
  <c r="K186" i="1"/>
  <c r="AB143" i="1"/>
  <c r="AA143" i="1"/>
  <c r="I160" i="1"/>
  <c r="U97" i="1"/>
  <c r="W97" i="1" s="1"/>
  <c r="R97" i="1"/>
  <c r="V97" i="1" s="1"/>
  <c r="G55" i="1"/>
  <c r="R95" i="1"/>
  <c r="V95" i="1" s="1"/>
  <c r="U159" i="1"/>
  <c r="W159" i="1" s="1"/>
  <c r="R159" i="1"/>
  <c r="V159" i="1" s="1"/>
  <c r="R27" i="1"/>
  <c r="V27" i="1" s="1"/>
  <c r="R57" i="1"/>
  <c r="V57" i="1" s="1"/>
  <c r="R60" i="1"/>
  <c r="U61" i="1"/>
  <c r="W61" i="1" s="1"/>
  <c r="R61" i="1"/>
  <c r="V61" i="1" s="1"/>
  <c r="AE117" i="1"/>
  <c r="AB117" i="1"/>
  <c r="AA117" i="1"/>
  <c r="U150" i="1"/>
  <c r="W150" i="1" s="1"/>
  <c r="R150" i="1"/>
  <c r="V150" i="1" s="1"/>
  <c r="I16" i="1"/>
  <c r="I55" i="1"/>
  <c r="U54" i="1"/>
  <c r="W54" i="1" s="1"/>
  <c r="H89" i="1"/>
  <c r="H132" i="1" s="1"/>
  <c r="R79" i="1"/>
  <c r="V79" i="1" s="1"/>
  <c r="R82" i="1"/>
  <c r="V82" i="1" s="1"/>
  <c r="R85" i="1"/>
  <c r="V85" i="1" s="1"/>
  <c r="AB88" i="1"/>
  <c r="K89" i="1"/>
  <c r="K132" i="1" s="1"/>
  <c r="R98" i="1"/>
  <c r="V98" i="1" s="1"/>
  <c r="U100" i="1"/>
  <c r="R110" i="1"/>
  <c r="V110" i="1" s="1"/>
  <c r="I131" i="1"/>
  <c r="R139" i="1"/>
  <c r="V139" i="1" s="1"/>
  <c r="H186" i="1"/>
  <c r="U148" i="1"/>
  <c r="W148" i="1" s="1"/>
  <c r="R157" i="1"/>
  <c r="V157" i="1" s="1"/>
  <c r="I169" i="1"/>
  <c r="AE185" i="1"/>
  <c r="E89" i="1"/>
  <c r="E132" i="1" s="1"/>
  <c r="R114" i="1"/>
  <c r="V114" i="1" s="1"/>
  <c r="R115" i="1"/>
  <c r="U124" i="1"/>
  <c r="W124" i="1" s="1"/>
  <c r="U126" i="1"/>
  <c r="W126" i="1" s="1"/>
  <c r="R129" i="1"/>
  <c r="V129" i="1" s="1"/>
  <c r="E186" i="1"/>
  <c r="E188" i="1" s="1"/>
  <c r="N186" i="1"/>
  <c r="N188" i="1" s="1"/>
  <c r="U163" i="1"/>
  <c r="W163" i="1" s="1"/>
  <c r="U165" i="1"/>
  <c r="W165" i="1" s="1"/>
  <c r="U167" i="1"/>
  <c r="W167" i="1" s="1"/>
  <c r="I41" i="1"/>
  <c r="N51" i="1"/>
  <c r="R58" i="1"/>
  <c r="V58" i="1" s="1"/>
  <c r="R63" i="1"/>
  <c r="V63" i="1" s="1"/>
  <c r="R67" i="1"/>
  <c r="V67" i="1" s="1"/>
  <c r="U82" i="1"/>
  <c r="W82" i="1" s="1"/>
  <c r="N89" i="1"/>
  <c r="U101" i="1"/>
  <c r="W101" i="1" s="1"/>
  <c r="U104" i="1"/>
  <c r="W104" i="1" s="1"/>
  <c r="R109" i="1"/>
  <c r="V109" i="1" s="1"/>
  <c r="U110" i="1"/>
  <c r="W110" i="1" s="1"/>
  <c r="R138" i="1"/>
  <c r="V138" i="1" s="1"/>
  <c r="R142" i="1"/>
  <c r="V142" i="1" s="1"/>
  <c r="I151" i="1"/>
  <c r="R156" i="1"/>
  <c r="V156" i="1" s="1"/>
  <c r="R158" i="1"/>
  <c r="AB176" i="1"/>
  <c r="I185" i="1"/>
  <c r="AG185" i="1"/>
  <c r="R104" i="1"/>
  <c r="V104" i="1" s="1"/>
  <c r="R119" i="1"/>
  <c r="U72" i="1"/>
  <c r="U127" i="1"/>
  <c r="W127" i="1" s="1"/>
  <c r="F160" i="1"/>
  <c r="U33" i="1"/>
  <c r="W33" i="1" s="1"/>
  <c r="U43" i="1"/>
  <c r="I77" i="1"/>
  <c r="R64" i="1"/>
  <c r="V64" i="1" s="1"/>
  <c r="U111" i="1"/>
  <c r="W111" i="1" s="1"/>
  <c r="U129" i="1"/>
  <c r="W129" i="1" s="1"/>
  <c r="U138" i="1"/>
  <c r="U142" i="1"/>
  <c r="W142" i="1" s="1"/>
  <c r="U128" i="1"/>
  <c r="W128" i="1" s="1"/>
  <c r="U69" i="1"/>
  <c r="W69" i="1" s="1"/>
  <c r="F151" i="1"/>
  <c r="U147" i="1"/>
  <c r="W147" i="1" s="1"/>
  <c r="U172" i="1"/>
  <c r="W172" i="1" s="1"/>
  <c r="U173" i="1"/>
  <c r="W173" i="1" s="1"/>
  <c r="U174" i="1"/>
  <c r="W174" i="1" s="1"/>
  <c r="U175" i="1"/>
  <c r="W175" i="1" s="1"/>
  <c r="U179" i="1"/>
  <c r="W179" i="1" s="1"/>
  <c r="U181" i="1"/>
  <c r="W181" i="1" s="1"/>
  <c r="U183" i="1"/>
  <c r="W183" i="1" s="1"/>
  <c r="I24" i="1"/>
  <c r="U23" i="1"/>
  <c r="W23" i="1" s="1"/>
  <c r="U46" i="1"/>
  <c r="U48" i="1"/>
  <c r="W48" i="1" s="1"/>
  <c r="R62" i="1"/>
  <c r="R65" i="1"/>
  <c r="V65" i="1" s="1"/>
  <c r="U67" i="1"/>
  <c r="W67" i="1" s="1"/>
  <c r="U70" i="1"/>
  <c r="W70" i="1" s="1"/>
  <c r="U84" i="1"/>
  <c r="W84" i="1" s="1"/>
  <c r="U98" i="1"/>
  <c r="W98" i="1" s="1"/>
  <c r="U120" i="1"/>
  <c r="W120" i="1" s="1"/>
  <c r="U139" i="1"/>
  <c r="W139" i="1" s="1"/>
  <c r="G145" i="1"/>
  <c r="G151" i="1" s="1"/>
  <c r="U155" i="1"/>
  <c r="W155" i="1" s="1"/>
  <c r="G131" i="1"/>
  <c r="U20" i="1"/>
  <c r="W20" i="1" s="1"/>
  <c r="R36" i="1"/>
  <c r="V36" i="1" s="1"/>
  <c r="U66" i="1"/>
  <c r="W66" i="1" s="1"/>
  <c r="F105" i="1"/>
  <c r="U146" i="1"/>
  <c r="W146" i="1" s="1"/>
  <c r="U164" i="1"/>
  <c r="W164" i="1" s="1"/>
  <c r="U22" i="1"/>
  <c r="W22" i="1" s="1"/>
  <c r="F50" i="1"/>
  <c r="R34" i="1"/>
  <c r="V34" i="1" s="1"/>
  <c r="R35" i="1"/>
  <c r="V35" i="1" s="1"/>
  <c r="G50" i="1"/>
  <c r="U45" i="1"/>
  <c r="W45" i="1" s="1"/>
  <c r="U47" i="1"/>
  <c r="W47" i="1" s="1"/>
  <c r="U63" i="1"/>
  <c r="W63" i="1" s="1"/>
  <c r="U64" i="1"/>
  <c r="W64" i="1" s="1"/>
  <c r="R68" i="1"/>
  <c r="V68" i="1" s="1"/>
  <c r="R71" i="1"/>
  <c r="V71" i="1" s="1"/>
  <c r="U81" i="1"/>
  <c r="W81" i="1" s="1"/>
  <c r="G95" i="1"/>
  <c r="G105" i="1" s="1"/>
  <c r="U109" i="1"/>
  <c r="W109" i="1" s="1"/>
  <c r="U125" i="1"/>
  <c r="W125" i="1" s="1"/>
  <c r="U130" i="1"/>
  <c r="U141" i="1"/>
  <c r="W141" i="1" s="1"/>
  <c r="U154" i="1"/>
  <c r="W154" i="1" s="1"/>
  <c r="U180" i="1"/>
  <c r="W180" i="1" s="1"/>
  <c r="U184" i="1"/>
  <c r="W184" i="1" s="1"/>
  <c r="U18" i="1"/>
  <c r="U65" i="1"/>
  <c r="W65" i="1" s="1"/>
  <c r="U96" i="1"/>
  <c r="W96" i="1" s="1"/>
  <c r="F117" i="1"/>
  <c r="U166" i="1"/>
  <c r="W166" i="1" s="1"/>
  <c r="U168" i="1"/>
  <c r="W168" i="1" s="1"/>
  <c r="G24" i="1"/>
  <c r="U19" i="1"/>
  <c r="W19" i="1" s="1"/>
  <c r="U21" i="1"/>
  <c r="W21" i="1" s="1"/>
  <c r="G41" i="1"/>
  <c r="U34" i="1"/>
  <c r="W34" i="1" s="1"/>
  <c r="I50" i="1"/>
  <c r="R43" i="1"/>
  <c r="U62" i="1"/>
  <c r="U68" i="1"/>
  <c r="W68" i="1" s="1"/>
  <c r="R69" i="1"/>
  <c r="V69" i="1" s="1"/>
  <c r="U71" i="1"/>
  <c r="W71" i="1" s="1"/>
  <c r="U86" i="1"/>
  <c r="W86" i="1" s="1"/>
  <c r="U108" i="1"/>
  <c r="W108" i="1" s="1"/>
  <c r="U112" i="1"/>
  <c r="W112" i="1" s="1"/>
  <c r="U116" i="1"/>
  <c r="W116" i="1" s="1"/>
  <c r="F143" i="1"/>
  <c r="U140" i="1"/>
  <c r="W140" i="1" s="1"/>
  <c r="R13" i="1"/>
  <c r="R14" i="1"/>
  <c r="R18" i="1"/>
  <c r="R19" i="1"/>
  <c r="V19" i="1" s="1"/>
  <c r="R20" i="1"/>
  <c r="V20" i="1" s="1"/>
  <c r="R21" i="1"/>
  <c r="V21" i="1" s="1"/>
  <c r="R22" i="1"/>
  <c r="V22" i="1" s="1"/>
  <c r="R23" i="1"/>
  <c r="V23" i="1" s="1"/>
  <c r="F24" i="1"/>
  <c r="R26" i="1"/>
  <c r="U26" i="1"/>
  <c r="F16" i="1"/>
  <c r="R29" i="1"/>
  <c r="U29" i="1"/>
  <c r="U32" i="1"/>
  <c r="W32" i="1" s="1"/>
  <c r="R32" i="1"/>
  <c r="V32" i="1" s="1"/>
  <c r="U13" i="1"/>
  <c r="R30" i="1"/>
  <c r="AG24" i="1"/>
  <c r="AA24" i="1"/>
  <c r="AE24" i="1"/>
  <c r="U31" i="1"/>
  <c r="W31" i="1" s="1"/>
  <c r="R31" i="1"/>
  <c r="V31" i="1" s="1"/>
  <c r="G88" i="1"/>
  <c r="R33" i="1"/>
  <c r="V33" i="1" s="1"/>
  <c r="AA41" i="1"/>
  <c r="R45" i="1"/>
  <c r="V45" i="1" s="1"/>
  <c r="R46" i="1"/>
  <c r="R47" i="1"/>
  <c r="V47" i="1" s="1"/>
  <c r="R48" i="1"/>
  <c r="V48" i="1" s="1"/>
  <c r="R53" i="1"/>
  <c r="R54" i="1"/>
  <c r="V54" i="1" s="1"/>
  <c r="F55" i="1"/>
  <c r="AE55" i="1"/>
  <c r="U57" i="1"/>
  <c r="W57" i="1" s="1"/>
  <c r="U58" i="1"/>
  <c r="W58" i="1" s="1"/>
  <c r="G62" i="1"/>
  <c r="G77" i="1" s="1"/>
  <c r="R66" i="1"/>
  <c r="V66" i="1" s="1"/>
  <c r="R72" i="1"/>
  <c r="R84" i="1"/>
  <c r="V84" i="1" s="1"/>
  <c r="U85" i="1"/>
  <c r="W85" i="1" s="1"/>
  <c r="R86" i="1"/>
  <c r="V86" i="1" s="1"/>
  <c r="F88" i="1"/>
  <c r="AE88" i="1"/>
  <c r="I105" i="1"/>
  <c r="U35" i="1"/>
  <c r="W35" i="1" s="1"/>
  <c r="U36" i="1"/>
  <c r="W36" i="1" s="1"/>
  <c r="AB41" i="1"/>
  <c r="AG55" i="1"/>
  <c r="U60" i="1"/>
  <c r="U79" i="1"/>
  <c r="U83" i="1"/>
  <c r="W83" i="1" s="1"/>
  <c r="AG88" i="1"/>
  <c r="U92" i="1"/>
  <c r="W92" i="1" s="1"/>
  <c r="R92" i="1"/>
  <c r="V92" i="1" s="1"/>
  <c r="AE41" i="1"/>
  <c r="U53" i="1"/>
  <c r="AA55" i="1"/>
  <c r="AA88" i="1"/>
  <c r="R91" i="1"/>
  <c r="U91" i="1"/>
  <c r="AB105" i="1"/>
  <c r="U113" i="1"/>
  <c r="U114" i="1"/>
  <c r="W114" i="1" s="1"/>
  <c r="U115" i="1"/>
  <c r="R120" i="1"/>
  <c r="V120" i="1" s="1"/>
  <c r="AB121" i="1"/>
  <c r="R123" i="1"/>
  <c r="R124" i="1"/>
  <c r="V124" i="1" s="1"/>
  <c r="R125" i="1"/>
  <c r="V125" i="1" s="1"/>
  <c r="R126" i="1"/>
  <c r="V126" i="1" s="1"/>
  <c r="R127" i="1"/>
  <c r="V127" i="1" s="1"/>
  <c r="U137" i="1"/>
  <c r="R145" i="1"/>
  <c r="R146" i="1"/>
  <c r="V146" i="1" s="1"/>
  <c r="R147" i="1"/>
  <c r="V147" i="1" s="1"/>
  <c r="AE151" i="1"/>
  <c r="U153" i="1"/>
  <c r="AE105" i="1"/>
  <c r="U107" i="1"/>
  <c r="AE121" i="1"/>
  <c r="F131" i="1"/>
  <c r="AE131" i="1"/>
  <c r="G137" i="1"/>
  <c r="G143" i="1" s="1"/>
  <c r="AG151" i="1"/>
  <c r="G153" i="1"/>
  <c r="G160" i="1" s="1"/>
  <c r="AB93" i="1"/>
  <c r="AG105" i="1"/>
  <c r="G107" i="1"/>
  <c r="G117" i="1" s="1"/>
  <c r="AG121" i="1"/>
  <c r="U123" i="1"/>
  <c r="AG131" i="1"/>
  <c r="AE143" i="1"/>
  <c r="U145" i="1"/>
  <c r="AA151" i="1"/>
  <c r="R153" i="1"/>
  <c r="U158" i="1"/>
  <c r="W158" i="1" s="1"/>
  <c r="AG160" i="1"/>
  <c r="AE160" i="1"/>
  <c r="AA160" i="1"/>
  <c r="G169" i="1"/>
  <c r="U95" i="1"/>
  <c r="U119" i="1"/>
  <c r="AG143" i="1"/>
  <c r="U157" i="1"/>
  <c r="W157" i="1" s="1"/>
  <c r="AB160" i="1"/>
  <c r="G185" i="1"/>
  <c r="R162" i="1"/>
  <c r="R163" i="1"/>
  <c r="V163" i="1" s="1"/>
  <c r="R164" i="1"/>
  <c r="V164" i="1" s="1"/>
  <c r="R165" i="1"/>
  <c r="V165" i="1" s="1"/>
  <c r="R166" i="1"/>
  <c r="V166" i="1" s="1"/>
  <c r="R167" i="1"/>
  <c r="V167" i="1" s="1"/>
  <c r="R168" i="1"/>
  <c r="V168" i="1" s="1"/>
  <c r="F169" i="1"/>
  <c r="AE169" i="1"/>
  <c r="U171" i="1"/>
  <c r="AA176" i="1"/>
  <c r="R178" i="1"/>
  <c r="R179" i="1"/>
  <c r="V179" i="1" s="1"/>
  <c r="R180" i="1"/>
  <c r="V180" i="1" s="1"/>
  <c r="R181" i="1"/>
  <c r="V181" i="1" s="1"/>
  <c r="R182" i="1"/>
  <c r="V182" i="1" s="1"/>
  <c r="R183" i="1"/>
  <c r="V183" i="1" s="1"/>
  <c r="R184" i="1"/>
  <c r="V184" i="1" s="1"/>
  <c r="F185" i="1"/>
  <c r="U162" i="1"/>
  <c r="AA169" i="1"/>
  <c r="R171" i="1"/>
  <c r="AE176" i="1"/>
  <c r="U178" i="1"/>
  <c r="Q51" i="1" l="1"/>
  <c r="Q186" i="1"/>
  <c r="U121" i="1"/>
  <c r="P51" i="1"/>
  <c r="O186" i="1"/>
  <c r="R176" i="1"/>
  <c r="U55" i="1"/>
  <c r="R55" i="1"/>
  <c r="P186" i="1"/>
  <c r="R151" i="1"/>
  <c r="S89" i="1"/>
  <c r="R169" i="1"/>
  <c r="R185" i="1"/>
  <c r="V119" i="1"/>
  <c r="V121" i="1" s="1"/>
  <c r="R121" i="1"/>
  <c r="O51" i="1"/>
  <c r="O132" i="1" s="1"/>
  <c r="R88" i="1"/>
  <c r="R41" i="1"/>
  <c r="U41" i="1"/>
  <c r="P132" i="1"/>
  <c r="S186" i="1"/>
  <c r="S51" i="1"/>
  <c r="U176" i="1"/>
  <c r="U117" i="1"/>
  <c r="U185" i="1"/>
  <c r="U169" i="1"/>
  <c r="Q132" i="1"/>
  <c r="Q187" i="1" s="1"/>
  <c r="D187" i="1"/>
  <c r="V115" i="1"/>
  <c r="R117" i="1"/>
  <c r="R190" i="1"/>
  <c r="R195" i="1" s="1"/>
  <c r="V140" i="1"/>
  <c r="V143" i="1" s="1"/>
  <c r="R143" i="1"/>
  <c r="V158" i="1"/>
  <c r="R160" i="1"/>
  <c r="W138" i="1"/>
  <c r="U143" i="1"/>
  <c r="R24" i="1"/>
  <c r="W43" i="1"/>
  <c r="U50" i="1"/>
  <c r="U51" i="1" s="1"/>
  <c r="U151" i="1"/>
  <c r="U160" i="1"/>
  <c r="V43" i="1"/>
  <c r="R50" i="1"/>
  <c r="U24" i="1"/>
  <c r="S132" i="1"/>
  <c r="S187" i="1" s="1"/>
  <c r="U190" i="1"/>
  <c r="U195" i="1" s="1"/>
  <c r="W115" i="1"/>
  <c r="U88" i="1"/>
  <c r="V88" i="1"/>
  <c r="W130" i="1"/>
  <c r="U131" i="1"/>
  <c r="V130" i="1"/>
  <c r="R131" i="1"/>
  <c r="V72" i="1"/>
  <c r="R77" i="1"/>
  <c r="W72" i="1"/>
  <c r="U77" i="1"/>
  <c r="W100" i="1"/>
  <c r="U105" i="1"/>
  <c r="V100" i="1"/>
  <c r="V105" i="1" s="1"/>
  <c r="R105" i="1"/>
  <c r="F89" i="1"/>
  <c r="R16" i="1"/>
  <c r="K187" i="1"/>
  <c r="V30" i="1"/>
  <c r="W30" i="1"/>
  <c r="W14" i="1"/>
  <c r="U16" i="1"/>
  <c r="V62" i="1"/>
  <c r="W62" i="1"/>
  <c r="W46" i="1"/>
  <c r="V46" i="1"/>
  <c r="I89" i="1"/>
  <c r="H187" i="1"/>
  <c r="N132" i="1"/>
  <c r="N187" i="1" s="1"/>
  <c r="I51" i="1"/>
  <c r="I186" i="1"/>
  <c r="V60" i="1"/>
  <c r="AG186" i="1"/>
  <c r="E187" i="1"/>
  <c r="G89" i="1"/>
  <c r="G51" i="1"/>
  <c r="F186" i="1"/>
  <c r="W18" i="1"/>
  <c r="W24" i="1" s="1"/>
  <c r="W162" i="1"/>
  <c r="W169" i="1" s="1"/>
  <c r="V162" i="1"/>
  <c r="V169" i="1" s="1"/>
  <c r="W95" i="1"/>
  <c r="AE186" i="1"/>
  <c r="W113" i="1"/>
  <c r="W53" i="1"/>
  <c r="W55" i="1" s="1"/>
  <c r="AB132" i="1"/>
  <c r="AA132" i="1"/>
  <c r="V178" i="1"/>
  <c r="V185" i="1" s="1"/>
  <c r="V153" i="1"/>
  <c r="G186" i="1"/>
  <c r="W153" i="1"/>
  <c r="W160" i="1" s="1"/>
  <c r="V145" i="1"/>
  <c r="V151" i="1" s="1"/>
  <c r="W137" i="1"/>
  <c r="W91" i="1"/>
  <c r="W93" i="1" s="1"/>
  <c r="U93" i="1"/>
  <c r="AB51" i="1"/>
  <c r="AA51" i="1"/>
  <c r="W79" i="1"/>
  <c r="W88" i="1" s="1"/>
  <c r="AB89" i="1"/>
  <c r="AE89" i="1"/>
  <c r="AA89" i="1"/>
  <c r="AG89" i="1"/>
  <c r="V53" i="1"/>
  <c r="V55" i="1" s="1"/>
  <c r="W29" i="1"/>
  <c r="F132" i="1"/>
  <c r="W26" i="1"/>
  <c r="V18" i="1"/>
  <c r="V24" i="1" s="1"/>
  <c r="W119" i="1"/>
  <c r="W121" i="1" s="1"/>
  <c r="V171" i="1"/>
  <c r="V176" i="1" s="1"/>
  <c r="V123" i="1"/>
  <c r="V91" i="1"/>
  <c r="V93" i="1" s="1"/>
  <c r="R93" i="1"/>
  <c r="V29" i="1"/>
  <c r="V26" i="1"/>
  <c r="V14" i="1"/>
  <c r="AH14" i="1"/>
  <c r="AH16" i="1" s="1"/>
  <c r="W178" i="1"/>
  <c r="W185" i="1" s="1"/>
  <c r="W13" i="1"/>
  <c r="W171" i="1"/>
  <c r="W176" i="1" s="1"/>
  <c r="W145" i="1"/>
  <c r="W151" i="1" s="1"/>
  <c r="W123" i="1"/>
  <c r="W107" i="1"/>
  <c r="W60" i="1"/>
  <c r="V13" i="1"/>
  <c r="V41" i="1" l="1"/>
  <c r="P187" i="1"/>
  <c r="O187" i="1"/>
  <c r="R186" i="1"/>
  <c r="W105" i="1"/>
  <c r="V160" i="1"/>
  <c r="V186" i="1" s="1"/>
  <c r="K209" i="7"/>
  <c r="K209" i="6"/>
  <c r="V131" i="1"/>
  <c r="W143" i="1"/>
  <c r="R89" i="1"/>
  <c r="N199" i="1"/>
  <c r="N191" i="1"/>
  <c r="W41" i="1"/>
  <c r="I132" i="1"/>
  <c r="I187" i="1" s="1"/>
  <c r="W190" i="1"/>
  <c r="W195" i="1" s="1"/>
  <c r="W117" i="1"/>
  <c r="V117" i="1"/>
  <c r="V190" i="1"/>
  <c r="V195" i="1" s="1"/>
  <c r="V77" i="1"/>
  <c r="V89" i="1" s="1"/>
  <c r="W131" i="1"/>
  <c r="R51" i="1"/>
  <c r="U89" i="1"/>
  <c r="U132" i="1" s="1"/>
  <c r="V50" i="1"/>
  <c r="V51" i="1" s="1"/>
  <c r="U186" i="1"/>
  <c r="W77" i="1"/>
  <c r="W89" i="1" s="1"/>
  <c r="W50" i="1"/>
  <c r="W186" i="1"/>
  <c r="K202" i="1"/>
  <c r="K203" i="1" s="1"/>
  <c r="K199" i="1"/>
  <c r="K191" i="1"/>
  <c r="G132" i="1"/>
  <c r="G187" i="1" s="1"/>
  <c r="W16" i="1"/>
  <c r="V16" i="1"/>
  <c r="F187" i="1"/>
  <c r="AE132" i="1"/>
  <c r="AE187" i="1" s="1"/>
  <c r="AG132" i="1"/>
  <c r="AG187" i="1" s="1"/>
  <c r="AB185" i="1"/>
  <c r="AA185" i="1"/>
  <c r="W51" i="1" l="1"/>
  <c r="R132" i="1"/>
  <c r="R187" i="1" s="1"/>
  <c r="N196" i="1"/>
  <c r="N192" i="1"/>
  <c r="W132" i="1"/>
  <c r="W187" i="1" s="1"/>
  <c r="V132" i="1"/>
  <c r="V187" i="1" s="1"/>
  <c r="U187" i="1"/>
  <c r="O188" i="1"/>
  <c r="O199" i="1"/>
  <c r="O191" i="1"/>
  <c r="K196" i="1"/>
  <c r="K197" i="1" s="1"/>
  <c r="K192" i="1"/>
  <c r="P191" i="1"/>
  <c r="P199" i="1"/>
  <c r="S191" i="1"/>
  <c r="S199" i="1"/>
  <c r="Q199" i="1"/>
  <c r="Q191" i="1"/>
  <c r="N197" i="1" l="1"/>
  <c r="N200" i="1" s="1"/>
  <c r="K200" i="1"/>
  <c r="O196" i="1"/>
  <c r="O192" i="1"/>
  <c r="S196" i="1"/>
  <c r="S192" i="1"/>
  <c r="P196" i="1"/>
  <c r="P192" i="1"/>
  <c r="V191" i="1"/>
  <c r="V199" i="1"/>
  <c r="W199" i="1"/>
  <c r="W191" i="1"/>
  <c r="U199" i="1"/>
  <c r="U191" i="1"/>
  <c r="S188" i="1"/>
  <c r="R191" i="1"/>
  <c r="R199" i="1"/>
  <c r="Q196" i="1"/>
  <c r="Q192" i="1"/>
  <c r="O197" i="1" l="1"/>
  <c r="O200" i="1" s="1"/>
  <c r="Q197" i="1"/>
  <c r="Q200" i="1" s="1"/>
  <c r="P197" i="1"/>
  <c r="P200" i="1" s="1"/>
  <c r="S197" i="1"/>
  <c r="S200" i="1" s="1"/>
  <c r="U192" i="1"/>
  <c r="U196" i="1"/>
  <c r="R192" i="1"/>
  <c r="R196" i="1"/>
  <c r="W196" i="1"/>
  <c r="W192" i="1"/>
  <c r="V192" i="1"/>
  <c r="V196" i="1"/>
  <c r="R197" i="1" l="1"/>
  <c r="R200" i="1" s="1"/>
  <c r="V197" i="1"/>
  <c r="V200" i="1" s="1"/>
  <c r="W197" i="1"/>
  <c r="W200" i="1" s="1"/>
  <c r="U197" i="1"/>
  <c r="U200" i="1" s="1"/>
</calcChain>
</file>

<file path=xl/comments1.xml><?xml version="1.0" encoding="utf-8"?>
<comments xmlns="http://schemas.openxmlformats.org/spreadsheetml/2006/main">
  <authors>
    <author>Воронкова Ольга Юрьевна</author>
    <author>Алдошина Виктория Михайловна</author>
  </authors>
  <commentList>
    <comment ref="L27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на время до Воронковой О.Ю. 30%</t>
        </r>
      </text>
    </comment>
    <comment ref="L35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на время до Бурмистровой А.В. 15%,
Коровко -гл.спец.</t>
        </r>
      </text>
    </comment>
    <comment ref="L43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Токарева Е.В. 20%
</t>
        </r>
      </text>
    </comment>
    <comment ref="L44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на время до Воронковой О.Ю. 30%</t>
        </r>
      </text>
    </comment>
    <comment ref="L49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на период отсутствия Коровко</t>
        </r>
      </text>
    </comment>
    <comment ref="L65" authorId="0" shapeId="0">
      <text>
        <r>
          <rPr>
            <b/>
            <sz val="9"/>
            <color indexed="81"/>
            <rFont val="Tahoma"/>
            <family val="2"/>
            <charset val="204"/>
          </rPr>
          <t>Уволена 03.09 Малкова</t>
        </r>
      </text>
    </comment>
    <comment ref="P73" authorId="0" shapeId="0">
      <text>
        <r>
          <rPr>
            <b/>
            <sz val="9"/>
            <color indexed="81"/>
            <rFont val="Tahoma"/>
            <family val="2"/>
            <charset val="204"/>
          </rPr>
          <t>1 вед спец у него нет 1,14% за особые условия, только ночные и праздничные</t>
        </r>
      </text>
    </comment>
    <comment ref="L81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переведена с 28.07.21 на главного спец.</t>
        </r>
      </text>
    </comment>
    <comment ref="L114" authorId="0" shapeId="0">
      <text>
        <r>
          <rPr>
            <b/>
            <sz val="9"/>
            <color indexed="81"/>
            <rFont val="Tahoma"/>
            <family val="2"/>
            <charset val="204"/>
          </rPr>
          <t>Люльчук С.В. Временно с 16.05.22 на время д.о. Потапова Д.А.</t>
        </r>
      </text>
    </comment>
    <comment ref="L154" authorId="1" shapeId="0">
      <text>
        <r>
          <rPr>
            <b/>
            <sz val="8"/>
            <color indexed="81"/>
            <rFont val="Tahoma"/>
            <family val="2"/>
            <charset val="204"/>
          </rPr>
          <t>Алдошина Виктория Михайловна:</t>
        </r>
        <r>
          <rPr>
            <sz val="8"/>
            <color indexed="81"/>
            <rFont val="Tahoma"/>
            <family val="2"/>
            <charset val="204"/>
          </rPr>
          <t xml:space="preserve">
Батицкая Е.А. 20
%
</t>
        </r>
      </text>
    </comment>
    <comment ref="L168" authorId="0" shapeId="0">
      <text>
        <r>
          <rPr>
            <b/>
            <sz val="9"/>
            <color indexed="81"/>
            <rFont val="Tahoma"/>
            <family val="2"/>
            <charset val="204"/>
          </rPr>
          <t>уволен с 01.03.21</t>
        </r>
      </text>
    </comment>
    <comment ref="C179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Ставка перемещена в ДООМС</t>
        </r>
      </text>
    </comment>
    <comment ref="L183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с 23.04.21 Вылегжанина ЕБ на период отсутвия Смеловой с выслугой лет 30%, уволена 26.07.2021 - смелова вышла</t>
        </r>
      </text>
    </comment>
  </commentList>
</comments>
</file>

<file path=xl/comments2.xml><?xml version="1.0" encoding="utf-8"?>
<comments xmlns="http://schemas.openxmlformats.org/spreadsheetml/2006/main">
  <authors>
    <author>Воронкова Ольга Юрьевна</author>
    <author>Алдошина Виктория Михайловна</author>
  </authors>
  <commentList>
    <comment ref="L27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на время до Воронковой О.Ю. 30%</t>
        </r>
      </text>
    </comment>
    <comment ref="L35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на время до Бурмистровой А.В. 15%,
Коровко -гл.спец.</t>
        </r>
      </text>
    </comment>
    <comment ref="L43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Токарева Е.В. 20%
</t>
        </r>
      </text>
    </comment>
    <comment ref="L44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на время до Воронковой О.Ю. 30%</t>
        </r>
      </text>
    </comment>
    <comment ref="L49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на период отсутствия Коровко</t>
        </r>
      </text>
    </comment>
    <comment ref="L65" authorId="0" shapeId="0">
      <text>
        <r>
          <rPr>
            <b/>
            <sz val="9"/>
            <color indexed="81"/>
            <rFont val="Tahoma"/>
            <family val="2"/>
            <charset val="204"/>
          </rPr>
          <t>Уволена 03.09 Малкова</t>
        </r>
      </text>
    </comment>
    <comment ref="P73" authorId="0" shapeId="0">
      <text>
        <r>
          <rPr>
            <b/>
            <sz val="9"/>
            <color indexed="81"/>
            <rFont val="Tahoma"/>
            <family val="2"/>
            <charset val="204"/>
          </rPr>
          <t>1 вед спец у него нет 1,14% за особые условия, только ночные и праздничные</t>
        </r>
      </text>
    </comment>
    <comment ref="L81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переведена с 28.07.21 на главного спец.</t>
        </r>
      </text>
    </comment>
    <comment ref="L114" authorId="0" shapeId="0">
      <text>
        <r>
          <rPr>
            <b/>
            <sz val="9"/>
            <color indexed="81"/>
            <rFont val="Tahoma"/>
            <family val="2"/>
            <charset val="204"/>
          </rPr>
          <t>Люльчук С.В. Временно с 16.05.22 на время д.о. Потапова Д.А.</t>
        </r>
      </text>
    </comment>
    <comment ref="L154" authorId="1" shapeId="0">
      <text>
        <r>
          <rPr>
            <b/>
            <sz val="8"/>
            <color indexed="81"/>
            <rFont val="Tahoma"/>
            <family val="2"/>
            <charset val="204"/>
          </rPr>
          <t>Алдошина Виктория Михайловна:</t>
        </r>
        <r>
          <rPr>
            <sz val="8"/>
            <color indexed="81"/>
            <rFont val="Tahoma"/>
            <family val="2"/>
            <charset val="204"/>
          </rPr>
          <t xml:space="preserve">
Батицкая Е.А. 20
%
</t>
        </r>
      </text>
    </comment>
    <comment ref="L168" authorId="0" shapeId="0">
      <text>
        <r>
          <rPr>
            <b/>
            <sz val="9"/>
            <color indexed="81"/>
            <rFont val="Tahoma"/>
            <family val="2"/>
            <charset val="204"/>
          </rPr>
          <t>уволен с 01.03.21</t>
        </r>
      </text>
    </comment>
    <comment ref="C179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Ставка перемещена в ДООМС</t>
        </r>
      </text>
    </comment>
    <comment ref="L183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с 23.04.21 Вылегжанина ЕБ на период отсутвия Смеловой с выслугой лет 30%, уволена 26.07.2021 - смелова вышла</t>
        </r>
      </text>
    </comment>
  </commentList>
</comments>
</file>

<file path=xl/comments3.xml><?xml version="1.0" encoding="utf-8"?>
<comments xmlns="http://schemas.openxmlformats.org/spreadsheetml/2006/main">
  <authors>
    <author>Воронкова Ольга Юрьевна</author>
    <author>Алдошина Виктория Михайловна</author>
  </authors>
  <commentList>
    <comment ref="P73" authorId="0" shapeId="0">
      <text>
        <r>
          <rPr>
            <b/>
            <sz val="9"/>
            <color indexed="81"/>
            <rFont val="Tahoma"/>
            <family val="2"/>
            <charset val="204"/>
          </rPr>
          <t>1 вед спец у него нет 1,14% за особые условия, только ночные и праздничные</t>
        </r>
      </text>
    </comment>
    <comment ref="L114" authorId="0" shapeId="0">
      <text>
        <r>
          <rPr>
            <b/>
            <sz val="9"/>
            <color indexed="81"/>
            <rFont val="Tahoma"/>
            <family val="2"/>
            <charset val="204"/>
          </rPr>
          <t>Люльчук С.В. Временно с 16.05.22 на время д.о. Потапова Д.А.</t>
        </r>
      </text>
    </comment>
    <comment ref="L154" authorId="1" shapeId="0">
      <text>
        <r>
          <rPr>
            <b/>
            <sz val="8"/>
            <color indexed="81"/>
            <rFont val="Tahoma"/>
            <family val="2"/>
            <charset val="204"/>
          </rPr>
          <t>Алдошина Виктория Михайловна:</t>
        </r>
        <r>
          <rPr>
            <sz val="8"/>
            <color indexed="81"/>
            <rFont val="Tahoma"/>
            <family val="2"/>
            <charset val="204"/>
          </rPr>
          <t xml:space="preserve">
Батицкая Е.А. 20
%
</t>
        </r>
      </text>
    </comment>
    <comment ref="L168" authorId="0" shapeId="0">
      <text>
        <r>
          <rPr>
            <b/>
            <sz val="9"/>
            <color indexed="81"/>
            <rFont val="Tahoma"/>
            <family val="2"/>
            <charset val="204"/>
          </rPr>
          <t>уволен с 01.03.21</t>
        </r>
      </text>
    </comment>
    <comment ref="C179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Ставка перемещена в ДООМС</t>
        </r>
      </text>
    </comment>
    <comment ref="L182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На время ДО Нагибиной 30%</t>
        </r>
      </text>
    </comment>
  </commentList>
</comments>
</file>

<file path=xl/comments4.xml><?xml version="1.0" encoding="utf-8"?>
<comments xmlns="http://schemas.openxmlformats.org/spreadsheetml/2006/main">
  <authors>
    <author>Воронкова Ольга Юрьевна</author>
    <author>Алдошина Виктория Михайловна</author>
  </authors>
  <commentList>
    <comment ref="P77" authorId="0" shapeId="0">
      <text>
        <r>
          <rPr>
            <b/>
            <sz val="9"/>
            <color indexed="81"/>
            <rFont val="Tahoma"/>
            <family val="2"/>
            <charset val="204"/>
          </rPr>
          <t>1 вед спец у него нет 1,14% за особые условия, только ночные и праздничные</t>
        </r>
      </text>
    </comment>
    <comment ref="L118" authorId="0" shapeId="0">
      <text>
        <r>
          <rPr>
            <b/>
            <sz val="9"/>
            <color indexed="81"/>
            <rFont val="Tahoma"/>
            <family val="2"/>
            <charset val="204"/>
          </rPr>
          <t>Люльчук С.В. Временно с 16.05.22 на время д.о. Потапова Д.А.</t>
        </r>
      </text>
    </comment>
    <comment ref="L158" authorId="1" shapeId="0">
      <text>
        <r>
          <rPr>
            <b/>
            <sz val="8"/>
            <color indexed="81"/>
            <rFont val="Tahoma"/>
            <family val="2"/>
            <charset val="204"/>
          </rPr>
          <t>Алдошина Виктория Михайловна:</t>
        </r>
        <r>
          <rPr>
            <sz val="8"/>
            <color indexed="81"/>
            <rFont val="Tahoma"/>
            <family val="2"/>
            <charset val="204"/>
          </rPr>
          <t xml:space="preserve">
Батицкая Е.А. 20
%
</t>
        </r>
      </text>
    </comment>
    <comment ref="L172" authorId="0" shapeId="0">
      <text>
        <r>
          <rPr>
            <b/>
            <sz val="9"/>
            <color indexed="81"/>
            <rFont val="Tahoma"/>
            <family val="2"/>
            <charset val="204"/>
          </rPr>
          <t>уволен с 01.03.21</t>
        </r>
      </text>
    </comment>
    <comment ref="C187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Ставка перемещена в ДООМС</t>
        </r>
      </text>
    </comment>
    <comment ref="L190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На время ДО Нагибиной 30%</t>
        </r>
      </text>
    </comment>
  </commentList>
</comments>
</file>

<file path=xl/comments5.xml><?xml version="1.0" encoding="utf-8"?>
<comments xmlns="http://schemas.openxmlformats.org/spreadsheetml/2006/main">
  <authors>
    <author>Воронкова Ольга Юрьевна</author>
    <author>Алдошина Виктория Михайловна</author>
  </authors>
  <commentList>
    <comment ref="P77" authorId="0" shapeId="0">
      <text>
        <r>
          <rPr>
            <b/>
            <sz val="9"/>
            <color indexed="81"/>
            <rFont val="Tahoma"/>
            <family val="2"/>
            <charset val="204"/>
          </rPr>
          <t>1 вед спец у него нет 1,14% за особые условия, только ночные и праздничные</t>
        </r>
      </text>
    </comment>
    <comment ref="L118" authorId="0" shapeId="0">
      <text>
        <r>
          <rPr>
            <b/>
            <sz val="9"/>
            <color indexed="81"/>
            <rFont val="Tahoma"/>
            <family val="2"/>
            <charset val="204"/>
          </rPr>
          <t>Люльчук С.В. Временно с 16.05.22 на время д.о. Потапова Д.А.</t>
        </r>
      </text>
    </comment>
    <comment ref="L158" authorId="1" shapeId="0">
      <text>
        <r>
          <rPr>
            <b/>
            <sz val="8"/>
            <color indexed="81"/>
            <rFont val="Tahoma"/>
            <family val="2"/>
            <charset val="204"/>
          </rPr>
          <t>Алдошина Виктория Михайловна:</t>
        </r>
        <r>
          <rPr>
            <sz val="8"/>
            <color indexed="81"/>
            <rFont val="Tahoma"/>
            <family val="2"/>
            <charset val="204"/>
          </rPr>
          <t xml:space="preserve">
Батицкая Е.А. 20
%
</t>
        </r>
      </text>
    </comment>
    <comment ref="L172" authorId="0" shapeId="0">
      <text>
        <r>
          <rPr>
            <b/>
            <sz val="9"/>
            <color indexed="81"/>
            <rFont val="Tahoma"/>
            <family val="2"/>
            <charset val="204"/>
          </rPr>
          <t>уволен с 01.03.21</t>
        </r>
      </text>
    </comment>
    <comment ref="C187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Ставка перемещена в ДООМС</t>
        </r>
      </text>
    </comment>
    <comment ref="L190" authorId="0" shapeId="0">
      <text>
        <r>
          <rPr>
            <b/>
            <sz val="9"/>
            <color indexed="81"/>
            <rFont val="Tahoma"/>
            <family val="2"/>
            <charset val="204"/>
          </rPr>
          <t>Воронкова Ольга Юрьевна:</t>
        </r>
        <r>
          <rPr>
            <sz val="9"/>
            <color indexed="81"/>
            <rFont val="Tahoma"/>
            <family val="2"/>
            <charset val="204"/>
          </rPr>
          <t xml:space="preserve">
На время ДО Нагибиной 30%</t>
        </r>
      </text>
    </comment>
  </commentList>
</comments>
</file>

<file path=xl/sharedStrings.xml><?xml version="1.0" encoding="utf-8"?>
<sst xmlns="http://schemas.openxmlformats.org/spreadsheetml/2006/main" count="2177" uniqueCount="375">
  <si>
    <t xml:space="preserve"> </t>
  </si>
  <si>
    <t>Рсшифровка штатного расписания</t>
  </si>
  <si>
    <t xml:space="preserve">Территориальный  фонд обязательного медицинского </t>
  </si>
  <si>
    <t>Форма по ОКУД 0301017</t>
  </si>
  <si>
    <t>страхования Ленинградской области</t>
  </si>
  <si>
    <r>
      <t>по ОКПО</t>
    </r>
    <r>
      <rPr>
        <b/>
        <i/>
        <sz val="8"/>
        <rFont val="Times New Roman Cyr"/>
        <family val="1"/>
        <charset val="204"/>
      </rPr>
      <t xml:space="preserve"> </t>
    </r>
  </si>
  <si>
    <t>"Утверждено"</t>
  </si>
  <si>
    <t>Наименование струк.подразделения</t>
  </si>
  <si>
    <t>КОД</t>
  </si>
  <si>
    <t>Должность(специальность),разряд,класс (категория) квалификации</t>
  </si>
  <si>
    <t>Кол-во штатных единиц</t>
  </si>
  <si>
    <t>Тарифная ставка (оклад) и пр.,  руб.</t>
  </si>
  <si>
    <t>Тарифная ставка (оклад) и пр.,  руб. с 01.01.2012</t>
  </si>
  <si>
    <t>Тарифная ставка (оклад) и пр.,  руб. с 01.09.2012</t>
  </si>
  <si>
    <t>Фамилия И.О.</t>
  </si>
  <si>
    <t>Надбавка за выслугу лет %</t>
  </si>
  <si>
    <t>Декретный отпуск</t>
  </si>
  <si>
    <t>Надбавка за выслугу лет, руб.</t>
  </si>
  <si>
    <t>Надбавка к основному окладу за особ.усл., руб.</t>
  </si>
  <si>
    <t xml:space="preserve">Ежемесячное денежное поощрение,  руб.  </t>
  </si>
  <si>
    <t>Всего, руб.</t>
  </si>
  <si>
    <r>
      <t>Материальная помощь, руб.(</t>
    </r>
    <r>
      <rPr>
        <b/>
        <sz val="10"/>
        <rFont val="Times New Roman Cyr"/>
        <charset val="204"/>
      </rPr>
      <t>в мес.</t>
    </r>
    <r>
      <rPr>
        <sz val="10"/>
        <rFont val="Times New Roman Cyr"/>
        <family val="1"/>
        <charset val="204"/>
      </rPr>
      <t>)</t>
    </r>
  </si>
  <si>
    <t>Коэф.ежемес. ден.поощрен.</t>
  </si>
  <si>
    <t>Всего без подоходного налога (гр.11*0,87)</t>
  </si>
  <si>
    <t>Всего без подоходного налога (гр.14*0,87)</t>
  </si>
  <si>
    <t xml:space="preserve">Должно быть </t>
  </si>
  <si>
    <t>Факт</t>
  </si>
  <si>
    <t>1</t>
  </si>
  <si>
    <t>2</t>
  </si>
  <si>
    <t>3</t>
  </si>
  <si>
    <t>4</t>
  </si>
  <si>
    <t>5</t>
  </si>
  <si>
    <t>Дирекция ТФОМС ЛО</t>
  </si>
  <si>
    <t>1,14-1,34</t>
  </si>
  <si>
    <t>Директор</t>
  </si>
  <si>
    <t>Алексеев А.Н.</t>
  </si>
  <si>
    <t>1 зам. директора</t>
  </si>
  <si>
    <t>Помощник диектора</t>
  </si>
  <si>
    <t>ИТОГО</t>
  </si>
  <si>
    <t>Бухгалтерия</t>
  </si>
  <si>
    <t>1,14-1,24</t>
  </si>
  <si>
    <t>1,44-1,64</t>
  </si>
  <si>
    <t>Главный бухгалтер</t>
  </si>
  <si>
    <t>Зам. главного бухгалтера</t>
  </si>
  <si>
    <t>Бондарева О.А.</t>
  </si>
  <si>
    <t>Главный специалист</t>
  </si>
  <si>
    <t>Пуганова Л.И.</t>
  </si>
  <si>
    <t>Кравецкая Л.Г.</t>
  </si>
  <si>
    <t>Ведущий специалист</t>
  </si>
  <si>
    <t>Гуськова Е.С.</t>
  </si>
  <si>
    <t>Касаткина Л.В.</t>
  </si>
  <si>
    <t>ИТОГО по отделу</t>
  </si>
  <si>
    <t>Департамент финансово-экономической деятельности и учета поступлений финансовых средств ОМС</t>
  </si>
  <si>
    <t>Селезнева Н.М.</t>
  </si>
  <si>
    <t>Зам. начальника департамента</t>
  </si>
  <si>
    <t>Бурмистрова А.В.</t>
  </si>
  <si>
    <t>Отдел межтерриториальных расчетов, финансирования и планирования</t>
  </si>
  <si>
    <t>1,44-1,54</t>
  </si>
  <si>
    <t>Начальник отдела</t>
  </si>
  <si>
    <t>Жильцова Л.Н.</t>
  </si>
  <si>
    <t xml:space="preserve">Заместитель начальника отдела </t>
  </si>
  <si>
    <t>Федяшина Н.Г.</t>
  </si>
  <si>
    <t>Терновская Г.В.</t>
  </si>
  <si>
    <t>Хисматуллина Р.А.</t>
  </si>
  <si>
    <t>Титишева Г.М.</t>
  </si>
  <si>
    <t>Бакалец-Ланская Н.Л.</t>
  </si>
  <si>
    <t>Отдел учета поступлений финансовых средств ОМС и взаимодействия со  СМО</t>
  </si>
  <si>
    <t>Токарева Е.В.</t>
  </si>
  <si>
    <t>Коровко О.Н.</t>
  </si>
  <si>
    <t>Кобец Е.В.</t>
  </si>
  <si>
    <t>Ведущий  специалист</t>
  </si>
  <si>
    <t>Сотников Д.Ю.</t>
  </si>
  <si>
    <t>Осадчая О.Ю.</t>
  </si>
  <si>
    <t>ИТОГО по департаменту</t>
  </si>
  <si>
    <t>Юридический отдел</t>
  </si>
  <si>
    <t>Юрисконсульт*</t>
  </si>
  <si>
    <t>Рябова Л.В.</t>
  </si>
  <si>
    <t xml:space="preserve">Департамент организации обязательного медицинского страхования  </t>
  </si>
  <si>
    <t>Рыжкова С.П.</t>
  </si>
  <si>
    <t>Зам. начальника департамента,врач-эксперт</t>
  </si>
  <si>
    <t>Отдел контроля качества медицинской помощи и защиты прав застрахованных</t>
  </si>
  <si>
    <t>Рабочий С.И.</t>
  </si>
  <si>
    <t>Главный специалист-врач-эксперт</t>
  </si>
  <si>
    <t>Сальков А.В.</t>
  </si>
  <si>
    <t>Спирина Г.В.</t>
  </si>
  <si>
    <t>Шмаков И.В.</t>
  </si>
  <si>
    <t>Решетникова С. Л.</t>
  </si>
  <si>
    <t>Братчева И.В.</t>
  </si>
  <si>
    <t>Отдел планирования и мониторинга тер. прграммы</t>
  </si>
  <si>
    <t>Гришина М.В.</t>
  </si>
  <si>
    <t xml:space="preserve">Главный специалист </t>
  </si>
  <si>
    <t xml:space="preserve">Рыженко Ю.В. </t>
  </si>
  <si>
    <t>Фахуртдинова Р.Н.</t>
  </si>
  <si>
    <t>Отдел информационной безопасности</t>
  </si>
  <si>
    <t>Филиппова Е.А.</t>
  </si>
  <si>
    <t>Чиркевич АБ</t>
  </si>
  <si>
    <t xml:space="preserve">ИТОГО по отделу       </t>
  </si>
  <si>
    <t xml:space="preserve">Отдел информационных технологий </t>
  </si>
  <si>
    <t>Суворов А.М.</t>
  </si>
  <si>
    <t xml:space="preserve">  Зам.начальника отдела</t>
  </si>
  <si>
    <t>Блохин Г.В.</t>
  </si>
  <si>
    <t>Голубев О.Л.</t>
  </si>
  <si>
    <t>Гаврилова Н.Н.</t>
  </si>
  <si>
    <t>Красавин О.Ю.</t>
  </si>
  <si>
    <t>Кругликов А.А.</t>
  </si>
  <si>
    <t>Степанов Д.С.</t>
  </si>
  <si>
    <t>Осипов С.А.</t>
  </si>
  <si>
    <t>Общий отдел</t>
  </si>
  <si>
    <t>1,14-1,54</t>
  </si>
  <si>
    <t>1,04-1,54</t>
  </si>
  <si>
    <t>Воробьева О.А.</t>
  </si>
  <si>
    <t>Торопова И.А.</t>
  </si>
  <si>
    <t>Арестова Ю.Н.</t>
  </si>
  <si>
    <t>Жукова М.А.</t>
  </si>
  <si>
    <t>Шутов В.Г.</t>
  </si>
  <si>
    <t>Водитель-механик</t>
  </si>
  <si>
    <t>Люльчук С.В.</t>
  </si>
  <si>
    <t>Водитель служ.а\м</t>
  </si>
  <si>
    <t>Дорофеев С.Н.</t>
  </si>
  <si>
    <t>Сектор закупок</t>
  </si>
  <si>
    <t>Начальник сектора</t>
  </si>
  <si>
    <t>Головина А.С.</t>
  </si>
  <si>
    <t>Контрольно-ревизионный отдел</t>
  </si>
  <si>
    <t>Зам.начальника отдела</t>
  </si>
  <si>
    <t>Павлова О.Г.</t>
  </si>
  <si>
    <t>Острошенко В.А.</t>
  </si>
  <si>
    <t>Порыгина В.М.</t>
  </si>
  <si>
    <t xml:space="preserve">  </t>
  </si>
  <si>
    <t>Итого по исполнительной дирекции</t>
  </si>
  <si>
    <r>
      <t xml:space="preserve">      *</t>
    </r>
    <r>
      <rPr>
        <sz val="8"/>
        <rFont val="Times New Roman Cyr"/>
        <family val="1"/>
        <charset val="204"/>
      </rPr>
      <t>Должностной оклад и другие условия оплаты труда юрисконсульта установлены по должности главного специалиста категории "Специалисты".</t>
    </r>
    <r>
      <rPr>
        <sz val="10"/>
        <rFont val="Times New Roman Cyr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</si>
  <si>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II.Филиалы ТФОМС ЛО</t>
  </si>
  <si>
    <t>Межрайонный Выборгский филиал ( I гр.)</t>
  </si>
  <si>
    <t>0,54-1,44</t>
  </si>
  <si>
    <t xml:space="preserve">Управляющий филиалом </t>
  </si>
  <si>
    <t>Девяткина Ю.Р.</t>
  </si>
  <si>
    <t>Бузина М.А.</t>
  </si>
  <si>
    <t>Главный специалист - врач - эксперт</t>
  </si>
  <si>
    <t>Коросташов А.И.</t>
  </si>
  <si>
    <t>Водитель а/м</t>
  </si>
  <si>
    <t>Максимов Б.А.</t>
  </si>
  <si>
    <t>ИТОГО по филиалу</t>
  </si>
  <si>
    <t>Межрайонный Волховский филиал (I гр.)</t>
  </si>
  <si>
    <t>Румянцева О.В.</t>
  </si>
  <si>
    <t>Соловьева О.В.</t>
  </si>
  <si>
    <t>Давыдова Н.С.</t>
  </si>
  <si>
    <t>Приемышева О.В.</t>
  </si>
  <si>
    <t>Голубева С.Ю.</t>
  </si>
  <si>
    <t>Шландик В.Л.</t>
  </si>
  <si>
    <t>Межрайонный Всеволожский филиал ( Iгр.)</t>
  </si>
  <si>
    <t>Сероухова Н.В.</t>
  </si>
  <si>
    <t>Главный специалист-врач эксперт</t>
  </si>
  <si>
    <t>Батицкая Е.А.</t>
  </si>
  <si>
    <t>Антонова Е.В.</t>
  </si>
  <si>
    <t>Белая Е.В.</t>
  </si>
  <si>
    <t>Гавран Я.П.</t>
  </si>
  <si>
    <t>Волков Н.Л.</t>
  </si>
  <si>
    <t xml:space="preserve">Межрайонный Гатчинский филиал ( Iгр.) </t>
  </si>
  <si>
    <t>Игнатенко Н.В.</t>
  </si>
  <si>
    <t>Степанова Н.Н.</t>
  </si>
  <si>
    <t>Комагурова Е.Г.</t>
  </si>
  <si>
    <t>Карнаухова О.В.</t>
  </si>
  <si>
    <t>Филимонова С.Л.</t>
  </si>
  <si>
    <t>Филиппова В.П.</t>
  </si>
  <si>
    <t>Яковлев В.А.</t>
  </si>
  <si>
    <t xml:space="preserve">Межрайонный Кировский филиал ( I гр.) </t>
  </si>
  <si>
    <t>Шерстнева Н.С.</t>
  </si>
  <si>
    <t>Миненкова И.В.</t>
  </si>
  <si>
    <t>Панкова Г.Д.</t>
  </si>
  <si>
    <t>Батурина Н.А.</t>
  </si>
  <si>
    <t>Александров М.И.</t>
  </si>
  <si>
    <t>Межрайонный Кингисеппский филиал ( I гр.)</t>
  </si>
  <si>
    <t>Петрова С.П.</t>
  </si>
  <si>
    <t>Коростель Н.В.</t>
  </si>
  <si>
    <t>Плюснина А.В.</t>
  </si>
  <si>
    <t>Смелова Т.В.30</t>
  </si>
  <si>
    <t>ИТОГО по филиалам</t>
  </si>
  <si>
    <t>ИТОГО по ТФОМС ЛО</t>
  </si>
  <si>
    <t>водители факт мес</t>
  </si>
  <si>
    <t>специалисты факт мес</t>
  </si>
  <si>
    <t>ФОТ мес</t>
  </si>
  <si>
    <t>Лукерина О.А.</t>
  </si>
  <si>
    <t>Завьялова С.В.</t>
  </si>
  <si>
    <t>Главный специалист-бухгалтер</t>
  </si>
  <si>
    <t>Ведущий специалист-бухгалтер</t>
  </si>
  <si>
    <t>Главный специалист по закупкам</t>
  </si>
  <si>
    <t>Зобнина Г.И.</t>
  </si>
  <si>
    <t>Рябов Ю.С.</t>
  </si>
  <si>
    <t>Омаров М.М.</t>
  </si>
  <si>
    <t xml:space="preserve">        Штат в количестве 123,0 единиц </t>
  </si>
  <si>
    <t>Лукьяноа Л.В.</t>
  </si>
  <si>
    <t>Сакович И.С.</t>
  </si>
  <si>
    <t>Галухина А.В.</t>
  </si>
  <si>
    <t>Шакурова О.Ю.</t>
  </si>
  <si>
    <t>Заместитель директора-Начальник департамента</t>
  </si>
  <si>
    <t>Парфенова И.В.</t>
  </si>
  <si>
    <t xml:space="preserve">Редько М.А. </t>
  </si>
  <si>
    <t>Рябинина Е.А.</t>
  </si>
  <si>
    <t>Миронов А.В.</t>
  </si>
  <si>
    <t>Бондаренко Л.П.</t>
  </si>
  <si>
    <t>Сахтуева М.А.</t>
  </si>
  <si>
    <t>Шабанова М.А.</t>
  </si>
  <si>
    <t>Бесклинская Ю.А.</t>
  </si>
  <si>
    <t>Захарова А.В.</t>
  </si>
  <si>
    <t>Мочалова Е.Д.</t>
  </si>
  <si>
    <t>Калошина И.А.</t>
  </si>
  <si>
    <t>Клепацкая Н.О.</t>
  </si>
  <si>
    <t>Лебедев Н.А.</t>
  </si>
  <si>
    <t>Ятагама Гамаге Л.В.</t>
  </si>
  <si>
    <t>Тимановский А.Е.</t>
  </si>
  <si>
    <t>Федорова Н.Г.</t>
  </si>
  <si>
    <t>Воронкова О.Ю.</t>
  </si>
  <si>
    <t>Подосенова Н.Ю.</t>
  </si>
  <si>
    <t>Черноног О.А.</t>
  </si>
  <si>
    <t>Зеленская Е.Л.</t>
  </si>
  <si>
    <t>Итого мес.</t>
  </si>
  <si>
    <t>3 мес.</t>
  </si>
  <si>
    <t>Итого 3 мес.</t>
  </si>
  <si>
    <t xml:space="preserve">           Штатное расписание по состоянию на 25.03.2022</t>
  </si>
  <si>
    <t>Жаренкова</t>
  </si>
  <si>
    <t>Родионова Е.В.</t>
  </si>
  <si>
    <t>Клюкина Г.Н.</t>
  </si>
  <si>
    <t>Петрнко И.В.</t>
  </si>
  <si>
    <t>Кузнецова И.Г.</t>
  </si>
  <si>
    <t>Азаренко Д.А.</t>
  </si>
  <si>
    <t>Короткова М.А.</t>
  </si>
  <si>
    <t>Мишкова А.Н.</t>
  </si>
  <si>
    <t>Грицнелова Ю.С.</t>
  </si>
  <si>
    <t>Ерохина С.А.</t>
  </si>
  <si>
    <t xml:space="preserve">           Штатное расписание по состоянию на 26.08.2022</t>
  </si>
  <si>
    <t>Орлов Н.Ю.</t>
  </si>
  <si>
    <t>Мишков А.Н.</t>
  </si>
  <si>
    <t>Чугайнова Т.А.</t>
  </si>
  <si>
    <t xml:space="preserve">           Штатное расписание по состоянию на 14.10.2022</t>
  </si>
  <si>
    <t>Абрамович Е.В.</t>
  </si>
  <si>
    <t>Матвеева Е.Ю.</t>
  </si>
  <si>
    <t>РАСЧЕТ ФОНДА ОПЛАТЫ ТРУДА РАБОТНИКОВ 
ТЕРРИТОРИАЛЬНОГО ФОНДА ОБЯЗАТЕЛЬНОГО МЕДИЦИНСКОГО СТРАХОВАНИЯ ЛЕНИНГРАДСКОЙ ОБЛАСТИ 
НА 2023 ГОД</t>
  </si>
  <si>
    <t>Рост окладов с 01 сентября 2023</t>
  </si>
  <si>
    <t>Утверждено на 2022 год (Постановление Правительства ЛО 11.12.2021 №712</t>
  </si>
  <si>
    <t>Расчетный ФОТ на 2022 год</t>
  </si>
  <si>
    <t>2024 (1,071)</t>
  </si>
  <si>
    <t>2025  (1,066)</t>
  </si>
  <si>
    <t>январь - апрель (4 мес.)</t>
  </si>
  <si>
    <t>май (1 мес.)</t>
  </si>
  <si>
    <t>июнь-август (3 мес)</t>
  </si>
  <si>
    <t>сентябрь-декабрь (4 мес.)</t>
  </si>
  <si>
    <t xml:space="preserve">январь-август (8 мес) </t>
  </si>
  <si>
    <t>сентябрь- декабрь (1,09 с 01.09.2023) 4 мес</t>
  </si>
  <si>
    <t>ВСЕГО</t>
  </si>
  <si>
    <t>1.</t>
  </si>
  <si>
    <t>Заработная плата</t>
  </si>
  <si>
    <t>1.1.</t>
  </si>
  <si>
    <t xml:space="preserve">Оклад </t>
  </si>
  <si>
    <t>Месячный фонд оплаты труда по должностным окладам</t>
  </si>
  <si>
    <t xml:space="preserve">Годовой фонд оплаты труда </t>
  </si>
  <si>
    <t>1.2.</t>
  </si>
  <si>
    <t xml:space="preserve">Надбавки к заработной плате, дополнительная оплата труда, </t>
  </si>
  <si>
    <t xml:space="preserve">прочие денежные выплаты </t>
  </si>
  <si>
    <t>1.2.1.Надбавка за особые условия службы</t>
  </si>
  <si>
    <t>14 должностных окладов в год</t>
  </si>
  <si>
    <t>1.2.2.Выслуга</t>
  </si>
  <si>
    <t>3 должностных оклада в год</t>
  </si>
  <si>
    <t>1.2.3.Премирование</t>
  </si>
  <si>
    <t>АУП (16 должностных окладов в год)</t>
  </si>
  <si>
    <t>водители (11 должностных окладов в год)</t>
  </si>
  <si>
    <t>1.2.4.Премия за особо важные задания и поручения</t>
  </si>
  <si>
    <t>Премия за особо важные задания и поручения (2 должностных оклада в год)</t>
  </si>
  <si>
    <t xml:space="preserve">1.2.5. Единовременная выплата при предоставлении </t>
  </si>
  <si>
    <t>ежегодного оплачиваемого отпуска и материальная помощь</t>
  </si>
  <si>
    <t>2.</t>
  </si>
  <si>
    <t>Начисления на выплаты по оплате труда</t>
  </si>
  <si>
    <t>3.</t>
  </si>
  <si>
    <t>Итого оплата труда и начисления на выплты по оплате труда</t>
  </si>
  <si>
    <t>кол-во выплат</t>
  </si>
  <si>
    <t>оклад с 01.01.2022</t>
  </si>
  <si>
    <t>оклад с 01.09.2022</t>
  </si>
  <si>
    <t>оклад с 01.09.2023</t>
  </si>
  <si>
    <t>2023 год (в бюджете)</t>
  </si>
  <si>
    <t>2023 год (расчет)</t>
  </si>
  <si>
    <t>январь</t>
  </si>
  <si>
    <t xml:space="preserve">январь-август (7 мес) </t>
  </si>
  <si>
    <t>0,54-1,45</t>
  </si>
  <si>
    <t>0,54-1,46</t>
  </si>
  <si>
    <t>Наименование должности</t>
  </si>
  <si>
    <t>Отклонение</t>
  </si>
  <si>
    <t>Штатное расписание с 01.09.2022 (преходит на 01.01.2023)</t>
  </si>
  <si>
    <t>с 01.09.2023 (рост 1,09 с 01.09.2023)</t>
  </si>
  <si>
    <t>Количество штатных единиц</t>
  </si>
  <si>
    <t>Должностной оклад, рублей</t>
  </si>
  <si>
    <t>Месячный фонд по должностным окладам, рублей</t>
  </si>
  <si>
    <t>Месячный фонд по должностным окладам с 01.09.2022, рублей</t>
  </si>
  <si>
    <t xml:space="preserve"> Директор</t>
  </si>
  <si>
    <t>Помощник директора</t>
  </si>
  <si>
    <t>Итого</t>
  </si>
  <si>
    <t>Главный бухгалтер (*)</t>
  </si>
  <si>
    <t>Заместитель главного бухгалтера</t>
  </si>
  <si>
    <t>Итого по отделу</t>
  </si>
  <si>
    <t>Заместитель директора - начальник департамента</t>
  </si>
  <si>
    <t>Заместитель начальника департамента</t>
  </si>
  <si>
    <t>Заместитель начальника отдела</t>
  </si>
  <si>
    <t>Отдел учета поступлений финансовых средств ОМС и взаимодействия со СМО</t>
  </si>
  <si>
    <t>Итого по департаменту</t>
  </si>
  <si>
    <t>Юрисконсульт (**)</t>
  </si>
  <si>
    <t>Департамент организации обязательного медицинского страхования</t>
  </si>
  <si>
    <t>Заместитель начальника департамента, врач-эксперт</t>
  </si>
  <si>
    <t>Главный специалист - врач-эксперт</t>
  </si>
  <si>
    <t>Отдел планирования и мониторинга территориальной программы ОМС</t>
  </si>
  <si>
    <t>Отдел информационных технологий</t>
  </si>
  <si>
    <t>Водитель служебного а/м</t>
  </si>
  <si>
    <t>Всего по исполнительной дирекции</t>
  </si>
  <si>
    <t xml:space="preserve">(*) Должностной оклад главного бухгалтера установлен по должности начальника отдела </t>
  </si>
  <si>
    <t>(**) Должностной оклад и другие условия оплаты труда юрисконсульта установлены по должности главного специалиста</t>
  </si>
  <si>
    <t>Филиалы ТФОМС ЛО</t>
  </si>
  <si>
    <t xml:space="preserve">Межрайонный Выборгский филиал </t>
  </si>
  <si>
    <t>Управляющий филиалом</t>
  </si>
  <si>
    <t>Водитель  а/м</t>
  </si>
  <si>
    <t>Итого по филиалу</t>
  </si>
  <si>
    <t xml:space="preserve">Межрайонный Волховский филиал  </t>
  </si>
  <si>
    <t xml:space="preserve">Межрайонный Всеволожский филиал  </t>
  </si>
  <si>
    <t xml:space="preserve">Межрайонный Гатчинский филиал  </t>
  </si>
  <si>
    <t>Межрайонный Кировский филиал</t>
  </si>
  <si>
    <t xml:space="preserve">Межрайонный Кингисеппский филиал </t>
  </si>
  <si>
    <t>Итого по Филиалам</t>
  </si>
  <si>
    <t>Всего по Фонду</t>
  </si>
  <si>
    <t xml:space="preserve">Штатное расписание с 01.02.2023 </t>
  </si>
  <si>
    <t>Месячный фонд по должностным окладам с 01.02.2023, рублей</t>
  </si>
  <si>
    <t>Месячный фонд по должностным окладам , рублей</t>
  </si>
  <si>
    <t>их них водители</t>
  </si>
  <si>
    <t>из них специалисты</t>
  </si>
  <si>
    <t xml:space="preserve"> ФОТ на 2021 год (действующая редакция Постановления Правительства ЛО от 14.05.12 №154)</t>
  </si>
  <si>
    <t>Для расчета ФОТ на 2021 год
 (утверждено на Правлении Фонда с 01.01.2021)</t>
  </si>
  <si>
    <t xml:space="preserve"> ФОТ на 2021 год (действующая редакция Постановления Правительства ЛО от 14.05.12 №154)
 ( с 01.04.2021)</t>
  </si>
  <si>
    <t xml:space="preserve">Кол-во единиц </t>
  </si>
  <si>
    <t>Оклады  (рублей)</t>
  </si>
  <si>
    <t>Месячный ФОТ по окладам (рублей)</t>
  </si>
  <si>
    <t>Оклады, индексация
на 1,04  (рублей)</t>
  </si>
  <si>
    <t>Оклады
 (рублей)</t>
  </si>
  <si>
    <t xml:space="preserve">Главный бухгалтер </t>
  </si>
  <si>
    <t>Юрисконсульт</t>
  </si>
  <si>
    <t>Главный специалист - врач-эксперт филиала Фонда</t>
  </si>
  <si>
    <t xml:space="preserve">Главный специалист филиала Фонда                                      </t>
  </si>
  <si>
    <t>Ведущий специалист филиала Фонда</t>
  </si>
  <si>
    <t>Количество штатных единиц и должностные оклады работников ТФОМС ЛО с 01.01.2023 года</t>
  </si>
  <si>
    <t xml:space="preserve"> ФОТ на 2023 год (с 01.01.2023, по штатному расписанию с 01.09.2022)</t>
  </si>
  <si>
    <t xml:space="preserve"> ФОТ на 2023 год (проект с 01.02.2023)</t>
  </si>
  <si>
    <t>Отклонения ФОТ на 2023 год (с 01.01.2023) от ФОТ на 2023 год (с 01.02.2023)</t>
  </si>
  <si>
    <t xml:space="preserve"> ФОТ на 2023 год (проект с 01.09.2023 индексация должностных окладов с 01.09.2023 на 1,09)</t>
  </si>
  <si>
    <t>Отклонения ФОТ на 2023 год (с 01.02.2023) с ФОТ на 2023 год (с 01.09.2023)</t>
  </si>
  <si>
    <t>Проект штатного расписания</t>
  </si>
  <si>
    <t>№ п/п</t>
  </si>
  <si>
    <t>Наименование</t>
  </si>
  <si>
    <t>Премия за особо важные задания и поручения (2,5 должностных оклада в год)</t>
  </si>
  <si>
    <t>Первый заместитель директора</t>
  </si>
  <si>
    <t xml:space="preserve">Заместитель директора </t>
  </si>
  <si>
    <t>Начальник департамента</t>
  </si>
  <si>
    <t>Главный специалист - врач филиала Фонда</t>
  </si>
  <si>
    <t xml:space="preserve">Утверждено ФОТ на 2024 год </t>
  </si>
  <si>
    <t>2024 год</t>
  </si>
  <si>
    <t>2025 год</t>
  </si>
  <si>
    <t>Оклады по 12-ОЗ, 18-ОЗ</t>
  </si>
  <si>
    <t>с 01.01.2023</t>
  </si>
  <si>
    <t>с 01.09.2023 - 1,09</t>
  </si>
  <si>
    <t>с 01.01.2024 - 1,046</t>
  </si>
  <si>
    <t>с 01.01.2025 - 1,087</t>
  </si>
  <si>
    <t>Расчетный ФОТ на 2025 год</t>
  </si>
  <si>
    <t>% 2025/2024</t>
  </si>
  <si>
    <t>РАСЧЕТ ФОНДА ОПЛАТЫ ТРУДА РАБОТНИКОВ 
ТЕРРИТОРИАЛЬНОГО ФОНДА ОБЯЗАТЕЛЬНОГО МЕДИЦИНСКОГО СТРАХОВАНИЯ ЛЕНИНГРАДСКОЙ ОБЛАСТИ 
НА 2025 ГОД</t>
  </si>
  <si>
    <t>Количество штатных единиц и должностные оклады работников ТФОМС ЛО с 01.01.2025 года (ПРОЕКТ)</t>
  </si>
  <si>
    <t>Действующее штатное расписание на 01.08.2024</t>
  </si>
  <si>
    <t>Отклонение от действующего штатного расписания</t>
  </si>
  <si>
    <t>Расчет численности работников Фонда по Методическим указаниямФедерального фонда обязательного медицинского страхования, составляет 138 единиц. Согласно постановлению Правительства Ленинградской области от 14.05.2012 №154 «Об утверждении структуры, предельной численности и фонда оплаты труда работников Территориального фонда обязательного медицинского страхования Ленинградской области» (в ред. от 27.12.2023 №971) предельная численность Территориального фонда обязательного медицинского страхования Ленинградской области утверждена в количестве 123,0 единицы. Для приведения численности работников Фонда до нормативной потребуется 15 единиц, однако в представленном Проекте областного закона запланировано увеличение численности на 5 единиц в количестве 128 штатных единиц.</t>
  </si>
  <si>
    <t>Размер фонда оплаты труда запланирован с учетом индексации с 01.01.2025 ежемесячного должностного оклада работников Фонда в размере 1,087, что соответствует прогнозному темпу роста фонда заработной платы в 2025 году (в % к предыдущему году) по базовому варианту. Данный размер индексации соответствует основным подходам, к формированию проекта областного бюджета Ленинградской области на 2025 год и плановый период 2026 и 2027 годов, доведенных Комитетом финансов Ленинградской области.</t>
  </si>
  <si>
    <t>Приложение 1</t>
  </si>
  <si>
    <t>Заместитель начальника департамента - начальник отдела</t>
  </si>
  <si>
    <t>проект  с 01.01.2025 (1,087)</t>
  </si>
  <si>
    <t>В целях оптимизации деятельности ТФОМС ЛО и повышения эффективности управления с 01.01.2025 года предлагается внести изменения в структуру Фонда из штатное расписание Фонда, создать новые структурные подразделения, исключить следующие должности: заместитель директора - начальник Департамента финансово-эконосмической деятельности и учета поступления финансовых средств ОМС, заместитель директора - начальник Департамента организации ОМС, , заместитель начальника Депарвтемента, помощник директора, 6 главных специалиста отдела контроля качества медицинской помощи и защиты прав застрахованных,  главного специалиста отдела межтерриториальных расчетов финансирования и планирования, 3 главных специалиста отдела учета поступления финансовых средств и взаимодействия со СМО, галвного специалиста - врача-эксперта Межрайонного Всеволожского филиала. Предлагается ввести в штатное расписание Фонда следующие должности: первый заместитель директора, 2 заместителя директора, начальник Департамента финансово-экономической деятельности и учета поступления финансовых средств ОМС, начальник Департамента организации ОМС, заместитель начальника Департамента - начальник отдела, юрисконсульт (количество рассматривемых дел в судах увеличилось с 2021 и 2022 годом в разы), главного специалиста в отдел планировния и мониторинга ТП ОМС, ввести отдел сопровождения и анализа диспансеризации и пофилактических мероприятих застрахованных лиц в количестве 6 единиц ( в настоящее время работа в данном направлении увеличивается и расширяется, и обеспечивается работниками Фонда разных структурных подразделений, в целях эффективного исполнения воложенных функций на Фонд, в данном направлении, предлагается сосздать отдельное структурное подразделение), ввести отдел бюджетного планирования - 4 единиц, ввести отдел защиты прав застрахованных. Данные изменения потребуют внесения изменений в Положение об условиях оплаты труда и должностных окладах работников Территориального фонда обязательного медицинского страхования Ленинградской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</si>
</sst>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#,##0.0"/>
    <numFmt numFmtId="165" formatCode="0.000"/>
    <numFmt numFmtId="166" formatCode="_(* #,##0.00_);_(* \(#,##0.00\);_(* &quot;-&quot;??_);_(@_)"/>
    <numFmt numFmtId="167" formatCode="#,##0.0000"/>
    <numFmt numFmtId="168" formatCode="0.000000"/>
    <numFmt numFmtId="169" formatCode="0.0000000"/>
    <numFmt numFmtId="170" formatCode="_-* #,##0.00_р_._-;\-* #,##0.00_р_._-;_-* &quot;-&quot;??_р_._-;_-@_-"/>
    <numFmt numFmtId="171" formatCode="_-* #,##0\ _₽_-;\-* #,##0\ _₽_-;_-* &quot;-&quot;??\ _₽_-;_-@_-"/>
  </numFmts>
  <fonts count="50" x14ac:knownFonts="1">
    <font>
      <sz val="10"/>
      <name val="Arial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sz val="10"/>
      <color indexed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i/>
      <sz val="10"/>
      <name val="Times New Roman CYR"/>
      <family val="1"/>
      <charset val="204"/>
    </font>
    <font>
      <b/>
      <i/>
      <sz val="8"/>
      <name val="Times New Roman Cyr"/>
      <family val="1"/>
      <charset val="204"/>
    </font>
    <font>
      <b/>
      <i/>
      <sz val="14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sz val="9"/>
      <name val="Times New Roman Cyr"/>
      <family val="1"/>
      <charset val="204"/>
    </font>
    <font>
      <sz val="10"/>
      <color rgb="FFFF0000"/>
      <name val="Times New Roman CYR"/>
      <family val="1"/>
      <charset val="204"/>
    </font>
    <font>
      <b/>
      <sz val="10"/>
      <name val="Times New Roman Cyr"/>
      <charset val="204"/>
    </font>
    <font>
      <sz val="10"/>
      <color indexed="41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sz val="9"/>
      <color indexed="8"/>
      <name val="Times New Roman Cyr"/>
      <family val="1"/>
      <charset val="204"/>
    </font>
    <font>
      <b/>
      <sz val="11"/>
      <color indexed="8"/>
      <name val="Times New Roman Cyr"/>
      <family val="1"/>
      <charset val="204"/>
    </font>
    <font>
      <i/>
      <sz val="10"/>
      <name val="Times New Roman Cyr"/>
      <charset val="204"/>
    </font>
    <font>
      <b/>
      <sz val="9"/>
      <name val="Times New Roman Cyr"/>
      <family val="1"/>
      <charset val="204"/>
    </font>
    <font>
      <b/>
      <sz val="10"/>
      <color indexed="10"/>
      <name val="Times New Roman CYR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0"/>
      <color rgb="FFFF0000"/>
      <name val="Times New Roman CYR"/>
      <family val="1"/>
      <charset val="204"/>
    </font>
    <font>
      <b/>
      <i/>
      <sz val="10"/>
      <name val="Times New Roman Cyr"/>
      <charset val="204"/>
    </font>
    <font>
      <b/>
      <i/>
      <sz val="10"/>
      <color indexed="8"/>
      <name val="Times New Roman Cyr"/>
      <charset val="204"/>
    </font>
    <font>
      <b/>
      <i/>
      <sz val="9"/>
      <color indexed="8"/>
      <name val="Times New Roman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4" tint="-0.499984740745262"/>
      <name val="Times New Roman"/>
      <family val="1"/>
      <charset val="204"/>
    </font>
    <font>
      <sz val="10"/>
      <color theme="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34" fillId="0" borderId="0"/>
    <xf numFmtId="170" fontId="34" fillId="0" borderId="0" applyFont="0" applyFill="0" applyBorder="0" applyAlignment="0" applyProtection="0"/>
  </cellStyleXfs>
  <cellXfs count="609">
    <xf numFmtId="0" fontId="0" fillId="0" borderId="0" xfId="0"/>
    <xf numFmtId="0" fontId="2" fillId="2" borderId="0" xfId="3" applyFont="1" applyFill="1"/>
    <xf numFmtId="0" fontId="1" fillId="2" borderId="0" xfId="3" applyFill="1"/>
    <xf numFmtId="0" fontId="2" fillId="2" borderId="0" xfId="3" applyFont="1" applyFill="1" applyAlignment="1">
      <alignment horizontal="centerContinuous"/>
    </xf>
    <xf numFmtId="0" fontId="2" fillId="0" borderId="0" xfId="3" applyFont="1" applyFill="1" applyAlignment="1">
      <alignment horizontal="centerContinuous"/>
    </xf>
    <xf numFmtId="0" fontId="3" fillId="0" borderId="0" xfId="3" applyFont="1" applyFill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5" fillId="2" borderId="0" xfId="3" applyFont="1" applyFill="1"/>
    <xf numFmtId="0" fontId="6" fillId="2" borderId="0" xfId="3" applyFont="1" applyFill="1" applyAlignment="1">
      <alignment horizontal="center"/>
    </xf>
    <xf numFmtId="0" fontId="6" fillId="0" borderId="0" xfId="3" applyFont="1" applyFill="1" applyAlignment="1">
      <alignment horizontal="center"/>
    </xf>
    <xf numFmtId="0" fontId="4" fillId="2" borderId="0" xfId="3" applyFont="1" applyFill="1"/>
    <xf numFmtId="0" fontId="8" fillId="2" borderId="0" xfId="3" applyFont="1" applyFill="1" applyAlignment="1"/>
    <xf numFmtId="0" fontId="8" fillId="2" borderId="0" xfId="3" applyFont="1" applyFill="1"/>
    <xf numFmtId="0" fontId="8" fillId="0" borderId="0" xfId="3" applyFont="1" applyFill="1"/>
    <xf numFmtId="0" fontId="6" fillId="2" borderId="0" xfId="3" applyFont="1" applyFill="1" applyBorder="1" applyAlignment="1">
      <alignment horizontal="centerContinuous" vertical="center" wrapText="1"/>
    </xf>
    <xf numFmtId="0" fontId="2" fillId="2" borderId="0" xfId="3" applyFont="1" applyFill="1" applyBorder="1" applyAlignment="1">
      <alignment horizontal="left" vertical="center" wrapText="1"/>
    </xf>
    <xf numFmtId="0" fontId="2" fillId="0" borderId="0" xfId="3" applyFont="1" applyFill="1" applyBorder="1" applyAlignment="1">
      <alignment horizontal="left" vertical="center" wrapText="1"/>
    </xf>
    <xf numFmtId="0" fontId="4" fillId="2" borderId="0" xfId="3" applyFont="1" applyFill="1" applyBorder="1" applyAlignment="1">
      <alignment horizontal="right" vertical="center" wrapText="1"/>
    </xf>
    <xf numFmtId="0" fontId="9" fillId="2" borderId="0" xfId="3" applyFont="1" applyFill="1" applyBorder="1" applyAlignment="1">
      <alignment horizontal="left" vertical="center" wrapText="1"/>
    </xf>
    <xf numFmtId="0" fontId="10" fillId="2" borderId="0" xfId="3" applyFont="1" applyFill="1" applyBorder="1" applyAlignment="1">
      <alignment horizontal="centerContinuous" vertical="center" wrapText="1"/>
    </xf>
    <xf numFmtId="14" fontId="9" fillId="2" borderId="0" xfId="3" applyNumberFormat="1" applyFont="1" applyFill="1" applyBorder="1" applyAlignment="1">
      <alignment horizontal="centerContinuous" vertical="center" wrapText="1"/>
    </xf>
    <xf numFmtId="0" fontId="8" fillId="2" borderId="0" xfId="3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3" applyFont="1" applyFill="1" applyBorder="1" applyAlignment="1">
      <alignment horizontal="centerContinuous" vertical="center" wrapText="1"/>
    </xf>
    <xf numFmtId="0" fontId="12" fillId="2" borderId="0" xfId="3" applyFont="1" applyFill="1" applyBorder="1" applyAlignment="1">
      <alignment horizontal="centerContinuous" vertical="center" wrapText="1"/>
    </xf>
    <xf numFmtId="0" fontId="5" fillId="2" borderId="0" xfId="3" applyFont="1" applyFill="1" applyBorder="1" applyAlignment="1">
      <alignment horizontal="left" vertical="center" wrapText="1"/>
    </xf>
    <xf numFmtId="0" fontId="2" fillId="2" borderId="0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centerContinuous" vertical="center" wrapText="1"/>
    </xf>
    <xf numFmtId="0" fontId="4" fillId="2" borderId="0" xfId="3" applyFont="1" applyFill="1" applyBorder="1" applyAlignment="1">
      <alignment horizontal="centerContinuous" vertical="center" wrapText="1"/>
    </xf>
    <xf numFmtId="0" fontId="1" fillId="2" borderId="0" xfId="3" applyFill="1" applyBorder="1"/>
    <xf numFmtId="0" fontId="1" fillId="0" borderId="0" xfId="3" applyFill="1" applyBorder="1"/>
    <xf numFmtId="0" fontId="2" fillId="2" borderId="0" xfId="3" applyFont="1" applyFill="1" applyBorder="1" applyAlignment="1">
      <alignment horizontal="left" vertical="center"/>
    </xf>
    <xf numFmtId="0" fontId="1" fillId="2" borderId="0" xfId="3" applyFont="1" applyFill="1" applyBorder="1"/>
    <xf numFmtId="0" fontId="5" fillId="0" borderId="0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2" fillId="0" borderId="0" xfId="3" applyFont="1" applyFill="1" applyBorder="1" applyAlignment="1">
      <alignment horizontal="right" vertical="center" wrapText="1"/>
    </xf>
    <xf numFmtId="0" fontId="4" fillId="0" borderId="0" xfId="3" applyFont="1" applyFill="1" applyBorder="1" applyAlignment="1">
      <alignment horizontal="right" vertical="center" wrapText="1"/>
    </xf>
    <xf numFmtId="0" fontId="0" fillId="0" borderId="0" xfId="0" applyFill="1"/>
    <xf numFmtId="0" fontId="14" fillId="2" borderId="0" xfId="3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1" xfId="3" applyFont="1" applyFill="1" applyBorder="1"/>
    <xf numFmtId="0" fontId="1" fillId="2" borderId="1" xfId="3" applyFill="1" applyBorder="1"/>
    <xf numFmtId="0" fontId="10" fillId="2" borderId="1" xfId="3" applyFont="1" applyFill="1" applyBorder="1" applyAlignment="1">
      <alignment horizontal="right"/>
    </xf>
    <xf numFmtId="4" fontId="10" fillId="2" borderId="1" xfId="3" applyNumberFormat="1" applyFont="1" applyFill="1" applyBorder="1"/>
    <xf numFmtId="4" fontId="10" fillId="0" borderId="1" xfId="3" applyNumberFormat="1" applyFont="1" applyFill="1" applyBorder="1"/>
    <xf numFmtId="0" fontId="4" fillId="2" borderId="1" xfId="3" applyFont="1" applyFill="1" applyBorder="1"/>
    <xf numFmtId="0" fontId="2" fillId="2" borderId="0" xfId="3" applyFont="1" applyFill="1" applyBorder="1"/>
    <xf numFmtId="49" fontId="2" fillId="3" borderId="2" xfId="3" applyNumberFormat="1" applyFont="1" applyFill="1" applyBorder="1" applyAlignment="1">
      <alignment horizontal="center" vertical="center" wrapText="1"/>
    </xf>
    <xf numFmtId="49" fontId="2" fillId="4" borderId="2" xfId="3" applyNumberFormat="1" applyFont="1" applyFill="1" applyBorder="1" applyAlignment="1">
      <alignment horizontal="center" vertical="center" wrapText="1"/>
    </xf>
    <xf numFmtId="0" fontId="15" fillId="3" borderId="2" xfId="3" quotePrefix="1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center" vertical="center" wrapText="1"/>
    </xf>
    <xf numFmtId="0" fontId="10" fillId="3" borderId="2" xfId="3" quotePrefix="1" applyFont="1" applyFill="1" applyBorder="1" applyAlignment="1">
      <alignment horizontal="center" vertical="center" wrapText="1"/>
    </xf>
    <xf numFmtId="0" fontId="2" fillId="3" borderId="2" xfId="3" quotePrefix="1" applyFont="1" applyFill="1" applyBorder="1" applyAlignment="1">
      <alignment horizontal="center" vertical="center" wrapText="1"/>
    </xf>
    <xf numFmtId="0" fontId="16" fillId="5" borderId="2" xfId="3" applyFont="1" applyFill="1" applyBorder="1" applyAlignment="1">
      <alignment horizontal="center" vertical="center" wrapText="1"/>
    </xf>
    <xf numFmtId="0" fontId="2" fillId="3" borderId="0" xfId="3" quotePrefix="1" applyFont="1" applyFill="1" applyBorder="1" applyAlignment="1">
      <alignment horizontal="center" vertical="center" wrapText="1"/>
    </xf>
    <xf numFmtId="0" fontId="2" fillId="5" borderId="2" xfId="3" applyFont="1" applyFill="1" applyBorder="1" applyAlignment="1">
      <alignment horizontal="center" vertical="center" wrapText="1"/>
    </xf>
    <xf numFmtId="0" fontId="5" fillId="3" borderId="2" xfId="3" applyFont="1" applyFill="1" applyBorder="1" applyAlignment="1">
      <alignment horizontal="center" vertical="center" wrapText="1"/>
    </xf>
    <xf numFmtId="0" fontId="5" fillId="3" borderId="2" xfId="3" applyFont="1" applyFill="1" applyBorder="1" applyAlignment="1">
      <alignment horizontal="centerContinuous"/>
    </xf>
    <xf numFmtId="0" fontId="2" fillId="3" borderId="2" xfId="3" applyFont="1" applyFill="1" applyBorder="1" applyAlignment="1"/>
    <xf numFmtId="0" fontId="2" fillId="3" borderId="2" xfId="3" applyFont="1" applyFill="1" applyBorder="1" applyAlignment="1">
      <alignment horizontal="center"/>
    </xf>
    <xf numFmtId="0" fontId="4" fillId="3" borderId="2" xfId="3" applyFont="1" applyFill="1" applyBorder="1" applyAlignment="1">
      <alignment horizontal="centerContinuous"/>
    </xf>
    <xf numFmtId="0" fontId="2" fillId="3" borderId="2" xfId="3" applyFont="1" applyFill="1" applyBorder="1" applyAlignment="1">
      <alignment horizontal="centerContinuous"/>
    </xf>
    <xf numFmtId="2" fontId="2" fillId="3" borderId="2" xfId="2" applyNumberFormat="1" applyFont="1" applyFill="1" applyBorder="1" applyAlignment="1" applyProtection="1">
      <alignment horizontal="left" indent="2"/>
    </xf>
    <xf numFmtId="0" fontId="18" fillId="3" borderId="2" xfId="3" applyFont="1" applyFill="1" applyBorder="1" applyAlignment="1">
      <alignment horizontal="center"/>
    </xf>
    <xf numFmtId="0" fontId="18" fillId="5" borderId="2" xfId="3" applyFont="1" applyFill="1" applyBorder="1" applyAlignment="1">
      <alignment horizontal="center"/>
    </xf>
    <xf numFmtId="0" fontId="2" fillId="3" borderId="0" xfId="3" applyFont="1" applyFill="1" applyBorder="1" applyAlignment="1">
      <alignment horizontal="centerContinuous"/>
    </xf>
    <xf numFmtId="0" fontId="5" fillId="0" borderId="2" xfId="3" applyFont="1" applyBorder="1" applyAlignment="1">
      <alignment vertical="center"/>
    </xf>
    <xf numFmtId="0" fontId="5" fillId="3" borderId="2" xfId="3" applyFont="1" applyFill="1" applyBorder="1" applyAlignment="1">
      <alignment vertical="center" wrapText="1"/>
    </xf>
    <xf numFmtId="0" fontId="5" fillId="3" borderId="2" xfId="3" applyFont="1" applyFill="1" applyBorder="1" applyAlignment="1">
      <alignment horizontal="left" vertical="center" wrapText="1"/>
    </xf>
    <xf numFmtId="3" fontId="2" fillId="0" borderId="2" xfId="3" applyNumberFormat="1" applyFont="1" applyBorder="1" applyAlignment="1">
      <alignment horizontal="center" vertical="center"/>
    </xf>
    <xf numFmtId="4" fontId="5" fillId="0" borderId="2" xfId="3" applyNumberFormat="1" applyFont="1" applyBorder="1" applyAlignment="1">
      <alignment vertical="center"/>
    </xf>
    <xf numFmtId="4" fontId="19" fillId="0" borderId="2" xfId="3" applyNumberFormat="1" applyFont="1" applyFill="1" applyBorder="1" applyAlignment="1">
      <alignment vertical="center"/>
    </xf>
    <xf numFmtId="0" fontId="20" fillId="0" borderId="2" xfId="3" applyFont="1" applyBorder="1" applyAlignment="1">
      <alignment vertical="center"/>
    </xf>
    <xf numFmtId="0" fontId="19" fillId="0" borderId="2" xfId="3" applyFont="1" applyBorder="1" applyAlignment="1">
      <alignment vertical="center"/>
    </xf>
    <xf numFmtId="4" fontId="21" fillId="0" borderId="2" xfId="3" applyNumberFormat="1" applyFont="1" applyBorder="1" applyAlignment="1">
      <alignment vertical="center"/>
    </xf>
    <xf numFmtId="4" fontId="19" fillId="0" borderId="2" xfId="3" applyNumberFormat="1" applyFont="1" applyBorder="1" applyAlignment="1">
      <alignment vertical="center"/>
    </xf>
    <xf numFmtId="4" fontId="19" fillId="5" borderId="2" xfId="3" applyNumberFormat="1" applyFont="1" applyFill="1" applyBorder="1" applyAlignment="1">
      <alignment vertical="center"/>
    </xf>
    <xf numFmtId="4" fontId="19" fillId="0" borderId="0" xfId="3" applyNumberFormat="1" applyFont="1" applyBorder="1" applyAlignment="1">
      <alignment vertical="center"/>
    </xf>
    <xf numFmtId="0" fontId="5" fillId="0" borderId="2" xfId="3" applyFont="1" applyBorder="1" applyAlignment="1">
      <alignment horizontal="center" vertical="center" wrapText="1"/>
    </xf>
    <xf numFmtId="0" fontId="9" fillId="3" borderId="2" xfId="3" applyFont="1" applyFill="1" applyBorder="1" applyAlignment="1">
      <alignment vertical="center" wrapText="1"/>
    </xf>
    <xf numFmtId="0" fontId="19" fillId="0" borderId="2" xfId="3" applyFont="1" applyFill="1" applyBorder="1" applyAlignment="1">
      <alignment vertical="center"/>
    </xf>
    <xf numFmtId="0" fontId="21" fillId="0" borderId="2" xfId="3" applyFont="1" applyBorder="1" applyAlignment="1">
      <alignment vertical="center"/>
    </xf>
    <xf numFmtId="4" fontId="0" fillId="0" borderId="0" xfId="0" applyNumberFormat="1"/>
    <xf numFmtId="0" fontId="2" fillId="0" borderId="2" xfId="3" applyFont="1" applyFill="1" applyBorder="1" applyAlignment="1">
      <alignment vertical="center"/>
    </xf>
    <xf numFmtId="0" fontId="5" fillId="3" borderId="2" xfId="3" applyFont="1" applyFill="1" applyBorder="1" applyAlignment="1">
      <alignment vertical="center"/>
    </xf>
    <xf numFmtId="164" fontId="5" fillId="3" borderId="2" xfId="3" applyNumberFormat="1" applyFont="1" applyFill="1" applyBorder="1" applyAlignment="1">
      <alignment horizontal="center" vertical="center"/>
    </xf>
    <xf numFmtId="4" fontId="5" fillId="3" borderId="2" xfId="3" applyNumberFormat="1" applyFont="1" applyFill="1" applyBorder="1" applyAlignment="1">
      <alignment horizontal="right" vertical="center"/>
    </xf>
    <xf numFmtId="4" fontId="19" fillId="3" borderId="2" xfId="3" applyNumberFormat="1" applyFont="1" applyFill="1" applyBorder="1" applyAlignment="1">
      <alignment vertical="center"/>
    </xf>
    <xf numFmtId="4" fontId="19" fillId="3" borderId="0" xfId="3" applyNumberFormat="1" applyFont="1" applyFill="1" applyBorder="1" applyAlignment="1">
      <alignment vertical="center"/>
    </xf>
    <xf numFmtId="0" fontId="5" fillId="3" borderId="2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" vertical="center"/>
    </xf>
    <xf numFmtId="4" fontId="5" fillId="3" borderId="2" xfId="3" applyNumberFormat="1" applyFont="1" applyFill="1" applyBorder="1" applyAlignment="1">
      <alignment vertical="center"/>
    </xf>
    <xf numFmtId="0" fontId="4" fillId="3" borderId="2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 vertical="center"/>
    </xf>
    <xf numFmtId="4" fontId="2" fillId="3" borderId="2" xfId="3" applyNumberFormat="1" applyFont="1" applyFill="1" applyBorder="1" applyAlignment="1">
      <alignment horizontal="centerContinuous" vertical="center"/>
    </xf>
    <xf numFmtId="165" fontId="2" fillId="3" borderId="2" xfId="2" applyNumberFormat="1" applyFont="1" applyFill="1" applyBorder="1" applyAlignment="1">
      <alignment horizontal="left" indent="2"/>
    </xf>
    <xf numFmtId="0" fontId="1" fillId="5" borderId="2" xfId="3" applyFont="1" applyFill="1" applyBorder="1" applyAlignment="1">
      <alignment horizontal="center"/>
    </xf>
    <xf numFmtId="4" fontId="2" fillId="3" borderId="0" xfId="3" applyNumberFormat="1" applyFont="1" applyFill="1" applyBorder="1" applyAlignment="1">
      <alignment horizontal="centerContinuous" vertical="center"/>
    </xf>
    <xf numFmtId="0" fontId="2" fillId="0" borderId="2" xfId="3" applyFont="1" applyBorder="1" applyAlignment="1">
      <alignment vertical="center"/>
    </xf>
    <xf numFmtId="49" fontId="2" fillId="3" borderId="2" xfId="3" applyNumberFormat="1" applyFont="1" applyFill="1" applyBorder="1" applyAlignment="1">
      <alignment vertical="center" wrapText="1"/>
    </xf>
    <xf numFmtId="49" fontId="5" fillId="3" borderId="2" xfId="3" applyNumberFormat="1" applyFont="1" applyFill="1" applyBorder="1" applyAlignment="1">
      <alignment vertical="center" wrapText="1"/>
    </xf>
    <xf numFmtId="0" fontId="20" fillId="0" borderId="2" xfId="3" applyFont="1" applyFill="1" applyBorder="1" applyAlignment="1">
      <alignment vertical="center"/>
    </xf>
    <xf numFmtId="0" fontId="9" fillId="3" borderId="2" xfId="3" applyFont="1" applyFill="1" applyBorder="1" applyAlignment="1">
      <alignment vertical="center"/>
    </xf>
    <xf numFmtId="0" fontId="2" fillId="3" borderId="2" xfId="3" applyFont="1" applyFill="1" applyBorder="1" applyAlignment="1">
      <alignment vertical="center"/>
    </xf>
    <xf numFmtId="3" fontId="2" fillId="0" borderId="2" xfId="3" applyNumberFormat="1" applyFont="1" applyFill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0" fillId="0" borderId="3" xfId="3" applyFont="1" applyFill="1" applyBorder="1" applyAlignment="1">
      <alignment vertical="center"/>
    </xf>
    <xf numFmtId="3" fontId="5" fillId="3" borderId="2" xfId="3" applyNumberFormat="1" applyFont="1" applyFill="1" applyBorder="1" applyAlignment="1">
      <alignment horizontal="center" vertical="center"/>
    </xf>
    <xf numFmtId="0" fontId="20" fillId="3" borderId="2" xfId="3" applyFont="1" applyFill="1" applyBorder="1" applyAlignment="1">
      <alignment vertical="center"/>
    </xf>
    <xf numFmtId="0" fontId="19" fillId="3" borderId="2" xfId="3" applyFont="1" applyFill="1" applyBorder="1" applyAlignment="1">
      <alignment vertical="center"/>
    </xf>
    <xf numFmtId="4" fontId="1" fillId="3" borderId="2" xfId="3" applyNumberFormat="1" applyFont="1" applyFill="1" applyBorder="1" applyAlignment="1">
      <alignment horizontal="center"/>
    </xf>
    <xf numFmtId="4" fontId="5" fillId="5" borderId="2" xfId="3" applyNumberFormat="1" applyFont="1" applyFill="1" applyBorder="1" applyAlignment="1">
      <alignment vertical="center"/>
    </xf>
    <xf numFmtId="4" fontId="5" fillId="3" borderId="0" xfId="3" applyNumberFormat="1" applyFont="1" applyFill="1" applyBorder="1" applyAlignment="1">
      <alignment vertical="center"/>
    </xf>
    <xf numFmtId="0" fontId="5" fillId="0" borderId="2" xfId="3" applyFont="1" applyFill="1" applyBorder="1" applyAlignment="1">
      <alignment horizontal="center" vertical="center" wrapText="1"/>
    </xf>
    <xf numFmtId="4" fontId="5" fillId="0" borderId="2" xfId="3" applyNumberFormat="1" applyFont="1" applyFill="1" applyBorder="1" applyAlignment="1">
      <alignment vertical="center"/>
    </xf>
    <xf numFmtId="0" fontId="22" fillId="3" borderId="2" xfId="3" applyFont="1" applyFill="1" applyBorder="1" applyAlignment="1">
      <alignment vertical="center"/>
    </xf>
    <xf numFmtId="0" fontId="2" fillId="3" borderId="2" xfId="3" applyFont="1" applyFill="1" applyBorder="1" applyAlignment="1">
      <alignment horizontal="left" vertical="center" wrapText="1"/>
    </xf>
    <xf numFmtId="4" fontId="1" fillId="5" borderId="2" xfId="3" applyNumberFormat="1" applyFont="1" applyFill="1" applyBorder="1" applyAlignment="1">
      <alignment horizontal="center"/>
    </xf>
    <xf numFmtId="0" fontId="2" fillId="3" borderId="2" xfId="3" quotePrefix="1" applyFont="1" applyFill="1" applyBorder="1" applyAlignment="1">
      <alignment horizontal="left" vertical="center" wrapText="1"/>
    </xf>
    <xf numFmtId="0" fontId="2" fillId="0" borderId="2" xfId="0" applyFont="1" applyBorder="1"/>
    <xf numFmtId="0" fontId="0" fillId="0" borderId="2" xfId="0" applyBorder="1"/>
    <xf numFmtId="4" fontId="5" fillId="5" borderId="2" xfId="3" applyNumberFormat="1" applyFont="1" applyFill="1" applyBorder="1" applyAlignment="1">
      <alignment horizontal="right" vertical="center"/>
    </xf>
    <xf numFmtId="4" fontId="5" fillId="3" borderId="0" xfId="3" applyNumberFormat="1" applyFont="1" applyFill="1" applyBorder="1" applyAlignment="1">
      <alignment horizontal="right" vertical="center"/>
    </xf>
    <xf numFmtId="0" fontId="2" fillId="0" borderId="2" xfId="3" applyFont="1" applyFill="1" applyBorder="1" applyAlignment="1">
      <alignment horizontal="center" vertical="center" wrapText="1"/>
    </xf>
    <xf numFmtId="0" fontId="20" fillId="2" borderId="2" xfId="3" applyFont="1" applyFill="1" applyBorder="1" applyAlignment="1">
      <alignment vertical="center"/>
    </xf>
    <xf numFmtId="0" fontId="5" fillId="3" borderId="2" xfId="3" applyFont="1" applyFill="1" applyBorder="1" applyAlignment="1">
      <alignment horizontal="left" vertical="center"/>
    </xf>
    <xf numFmtId="2" fontId="2" fillId="3" borderId="2" xfId="2" applyNumberFormat="1" applyFont="1" applyFill="1" applyBorder="1" applyAlignment="1">
      <alignment horizontal="left" indent="2"/>
    </xf>
    <xf numFmtId="0" fontId="2" fillId="3" borderId="2" xfId="3" applyFont="1" applyFill="1" applyBorder="1" applyAlignment="1">
      <alignment vertical="center" wrapText="1"/>
    </xf>
    <xf numFmtId="3" fontId="2" fillId="3" borderId="2" xfId="3" applyNumberFormat="1" applyFont="1" applyFill="1" applyBorder="1" applyAlignment="1">
      <alignment horizontal="center" vertical="center"/>
    </xf>
    <xf numFmtId="0" fontId="2" fillId="0" borderId="2" xfId="3" applyFont="1" applyBorder="1" applyAlignment="1">
      <alignment vertical="center" wrapText="1"/>
    </xf>
    <xf numFmtId="4" fontId="5" fillId="3" borderId="2" xfId="3" applyNumberFormat="1" applyFont="1" applyFill="1" applyBorder="1" applyAlignment="1">
      <alignment horizontal="center" vertical="center"/>
    </xf>
    <xf numFmtId="4" fontId="5" fillId="5" borderId="2" xfId="3" applyNumberFormat="1" applyFont="1" applyFill="1" applyBorder="1" applyAlignment="1">
      <alignment horizontal="center" vertical="center"/>
    </xf>
    <xf numFmtId="4" fontId="5" fillId="3" borderId="0" xfId="3" applyNumberFormat="1" applyFont="1" applyFill="1" applyBorder="1" applyAlignment="1">
      <alignment horizontal="center" vertical="center"/>
    </xf>
    <xf numFmtId="3" fontId="5" fillId="0" borderId="2" xfId="3" applyNumberFormat="1" applyFont="1" applyFill="1" applyBorder="1" applyAlignment="1">
      <alignment horizontal="center" vertical="center"/>
    </xf>
    <xf numFmtId="4" fontId="5" fillId="6" borderId="2" xfId="3" applyNumberFormat="1" applyFont="1" applyFill="1" applyBorder="1" applyAlignment="1">
      <alignment horizontal="center" vertical="center"/>
    </xf>
    <xf numFmtId="3" fontId="5" fillId="0" borderId="2" xfId="3" applyNumberFormat="1" applyFont="1" applyFill="1" applyBorder="1" applyAlignment="1">
      <alignment horizontal="right" vertical="center"/>
    </xf>
    <xf numFmtId="0" fontId="3" fillId="0" borderId="2" xfId="3" applyFont="1" applyBorder="1" applyAlignment="1">
      <alignment vertical="center"/>
    </xf>
    <xf numFmtId="0" fontId="23" fillId="0" borderId="2" xfId="3" applyFont="1" applyBorder="1" applyAlignment="1">
      <alignment vertical="center"/>
    </xf>
    <xf numFmtId="0" fontId="24" fillId="0" borderId="2" xfId="3" applyFont="1" applyBorder="1" applyAlignment="1">
      <alignment vertical="center"/>
    </xf>
    <xf numFmtId="0" fontId="2" fillId="0" borderId="2" xfId="3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Continuous" vertical="center"/>
    </xf>
    <xf numFmtId="0" fontId="5" fillId="0" borderId="2" xfId="3" applyFont="1" applyFill="1" applyBorder="1" applyAlignment="1">
      <alignment vertical="center"/>
    </xf>
    <xf numFmtId="0" fontId="19" fillId="0" borderId="3" xfId="3" applyFont="1" applyFill="1" applyBorder="1" applyAlignment="1">
      <alignment vertical="center"/>
    </xf>
    <xf numFmtId="166" fontId="5" fillId="5" borderId="2" xfId="1" applyFont="1" applyFill="1" applyBorder="1" applyAlignment="1">
      <alignment horizontal="right" vertical="center"/>
    </xf>
    <xf numFmtId="166" fontId="5" fillId="3" borderId="2" xfId="1" applyFont="1" applyFill="1" applyBorder="1" applyAlignment="1">
      <alignment horizontal="right" vertical="center"/>
    </xf>
    <xf numFmtId="166" fontId="5" fillId="3" borderId="0" xfId="1" applyFont="1" applyFill="1" applyBorder="1" applyAlignment="1">
      <alignment horizontal="right" vertical="center"/>
    </xf>
    <xf numFmtId="166" fontId="5" fillId="3" borderId="2" xfId="1" applyFont="1" applyFill="1" applyBorder="1" applyAlignment="1">
      <alignment horizontal="center" vertical="center"/>
    </xf>
    <xf numFmtId="0" fontId="5" fillId="3" borderId="2" xfId="3" applyFont="1" applyFill="1" applyBorder="1" applyAlignment="1">
      <alignment vertical="top" wrapText="1"/>
    </xf>
    <xf numFmtId="164" fontId="5" fillId="3" borderId="2" xfId="3" applyNumberFormat="1" applyFont="1" applyFill="1" applyBorder="1" applyAlignment="1">
      <alignment horizontal="center" vertical="top"/>
    </xf>
    <xf numFmtId="164" fontId="5" fillId="3" borderId="2" xfId="3" applyNumberFormat="1" applyFont="1" applyFill="1" applyBorder="1" applyAlignment="1">
      <alignment vertical="top"/>
    </xf>
    <xf numFmtId="166" fontId="5" fillId="3" borderId="2" xfId="1" applyFont="1" applyFill="1" applyBorder="1" applyAlignment="1">
      <alignment horizontal="right" vertical="top"/>
    </xf>
    <xf numFmtId="166" fontId="5" fillId="3" borderId="0" xfId="1" applyFont="1" applyFill="1" applyBorder="1" applyAlignment="1">
      <alignment horizontal="right" vertical="top"/>
    </xf>
    <xf numFmtId="0" fontId="2" fillId="0" borderId="4" xfId="3" applyFont="1" applyFill="1" applyBorder="1" applyAlignment="1">
      <alignment vertical="top"/>
    </xf>
    <xf numFmtId="0" fontId="5" fillId="0" borderId="4" xfId="3" applyFont="1" applyFill="1" applyBorder="1" applyAlignment="1">
      <alignment vertical="top" wrapText="1"/>
    </xf>
    <xf numFmtId="3" fontId="5" fillId="0" borderId="4" xfId="3" applyNumberFormat="1" applyFont="1" applyFill="1" applyBorder="1" applyAlignment="1">
      <alignment horizontal="center" vertical="top"/>
    </xf>
    <xf numFmtId="4" fontId="5" fillId="0" borderId="4" xfId="3" applyNumberFormat="1" applyFont="1" applyFill="1" applyBorder="1" applyAlignment="1">
      <alignment vertical="top"/>
    </xf>
    <xf numFmtId="3" fontId="23" fillId="0" borderId="4" xfId="3" applyNumberFormat="1" applyFont="1" applyFill="1" applyBorder="1" applyAlignment="1">
      <alignment vertical="top"/>
    </xf>
    <xf numFmtId="0" fontId="2" fillId="0" borderId="4" xfId="3" applyFont="1" applyFill="1" applyBorder="1" applyAlignment="1">
      <alignment vertical="center"/>
    </xf>
    <xf numFmtId="4" fontId="5" fillId="0" borderId="5" xfId="3" applyNumberFormat="1" applyFont="1" applyFill="1" applyBorder="1" applyAlignment="1">
      <alignment vertical="top"/>
    </xf>
    <xf numFmtId="4" fontId="5" fillId="5" borderId="0" xfId="3" applyNumberFormat="1" applyFont="1" applyFill="1" applyBorder="1" applyAlignment="1">
      <alignment vertical="top"/>
    </xf>
    <xf numFmtId="4" fontId="5" fillId="0" borderId="0" xfId="3" applyNumberFormat="1" applyFont="1" applyFill="1" applyBorder="1" applyAlignment="1">
      <alignment vertical="top"/>
    </xf>
    <xf numFmtId="0" fontId="2" fillId="0" borderId="1" xfId="3" applyFont="1" applyFill="1" applyBorder="1" applyAlignment="1">
      <alignment vertical="top"/>
    </xf>
    <xf numFmtId="0" fontId="5" fillId="0" borderId="1" xfId="3" applyFont="1" applyFill="1" applyBorder="1" applyAlignment="1">
      <alignment vertical="top" wrapText="1"/>
    </xf>
    <xf numFmtId="3" fontId="5" fillId="0" borderId="1" xfId="3" applyNumberFormat="1" applyFont="1" applyFill="1" applyBorder="1" applyAlignment="1">
      <alignment horizontal="center" vertical="top"/>
    </xf>
    <xf numFmtId="4" fontId="5" fillId="0" borderId="1" xfId="3" applyNumberFormat="1" applyFont="1" applyFill="1" applyBorder="1" applyAlignment="1">
      <alignment vertical="top"/>
    </xf>
    <xf numFmtId="3" fontId="23" fillId="0" borderId="1" xfId="3" applyNumberFormat="1" applyFont="1" applyFill="1" applyBorder="1" applyAlignment="1">
      <alignment vertical="top"/>
    </xf>
    <xf numFmtId="0" fontId="2" fillId="0" borderId="1" xfId="3" applyFont="1" applyFill="1" applyBorder="1" applyAlignment="1">
      <alignment vertical="center"/>
    </xf>
    <xf numFmtId="4" fontId="5" fillId="5" borderId="1" xfId="3" applyNumberFormat="1" applyFont="1" applyFill="1" applyBorder="1" applyAlignment="1">
      <alignment vertical="top"/>
    </xf>
    <xf numFmtId="0" fontId="5" fillId="3" borderId="6" xfId="3" applyFont="1" applyFill="1" applyBorder="1" applyAlignment="1">
      <alignment horizontal="left" wrapText="1"/>
    </xf>
    <xf numFmtId="0" fontId="2" fillId="3" borderId="6" xfId="3" applyFont="1" applyFill="1" applyBorder="1" applyAlignment="1">
      <alignment horizontal="centerContinuous"/>
    </xf>
    <xf numFmtId="0" fontId="2" fillId="3" borderId="6" xfId="3" applyFont="1" applyFill="1" applyBorder="1" applyAlignment="1">
      <alignment horizontal="center"/>
    </xf>
    <xf numFmtId="0" fontId="2" fillId="3" borderId="6" xfId="3" applyFont="1" applyFill="1" applyBorder="1" applyAlignment="1"/>
    <xf numFmtId="0" fontId="4" fillId="3" borderId="6" xfId="3" applyFont="1" applyFill="1" applyBorder="1" applyAlignment="1">
      <alignment horizontal="centerContinuous"/>
    </xf>
    <xf numFmtId="9" fontId="2" fillId="3" borderId="6" xfId="2" applyFont="1" applyFill="1" applyBorder="1" applyAlignment="1">
      <alignment horizontal="centerContinuous" vertical="center"/>
    </xf>
    <xf numFmtId="0" fontId="1" fillId="3" borderId="6" xfId="3" applyFill="1" applyBorder="1"/>
    <xf numFmtId="0" fontId="1" fillId="5" borderId="6" xfId="3" applyFill="1" applyBorder="1"/>
    <xf numFmtId="0" fontId="20" fillId="6" borderId="2" xfId="3" applyFont="1" applyFill="1" applyBorder="1" applyAlignment="1">
      <alignment vertical="center"/>
    </xf>
    <xf numFmtId="0" fontId="5" fillId="3" borderId="2" xfId="3" quotePrefix="1" applyFont="1" applyFill="1" applyBorder="1" applyAlignment="1">
      <alignment horizontal="left" vertical="center"/>
    </xf>
    <xf numFmtId="4" fontId="5" fillId="3" borderId="2" xfId="3" applyNumberFormat="1" applyFont="1" applyFill="1" applyBorder="1" applyAlignment="1">
      <alignment horizontal="left" vertical="center"/>
    </xf>
    <xf numFmtId="0" fontId="2" fillId="0" borderId="2" xfId="3" applyFont="1" applyBorder="1" applyAlignment="1">
      <alignment horizontal="left" vertical="center"/>
    </xf>
    <xf numFmtId="0" fontId="5" fillId="5" borderId="2" xfId="3" applyFont="1" applyFill="1" applyBorder="1" applyAlignment="1">
      <alignment horizontal="centerContinuous" vertical="center"/>
    </xf>
    <xf numFmtId="0" fontId="5" fillId="3" borderId="0" xfId="3" applyFont="1" applyFill="1" applyBorder="1" applyAlignment="1">
      <alignment horizontal="centerContinuous" vertical="center"/>
    </xf>
    <xf numFmtId="0" fontId="4" fillId="5" borderId="2" xfId="3" applyFont="1" applyFill="1" applyBorder="1" applyAlignment="1">
      <alignment horizontal="centerContinuous" vertical="center"/>
    </xf>
    <xf numFmtId="0" fontId="23" fillId="0" borderId="2" xfId="3" applyFont="1" applyFill="1" applyBorder="1" applyAlignment="1">
      <alignment vertical="center"/>
    </xf>
    <xf numFmtId="0" fontId="9" fillId="3" borderId="2" xfId="3" applyFont="1" applyFill="1" applyBorder="1"/>
    <xf numFmtId="164" fontId="5" fillId="3" borderId="2" xfId="3" applyNumberFormat="1" applyFont="1" applyFill="1" applyBorder="1" applyAlignment="1">
      <alignment horizontal="center"/>
    </xf>
    <xf numFmtId="0" fontId="5" fillId="7" borderId="2" xfId="3" applyFont="1" applyFill="1" applyBorder="1" applyAlignment="1">
      <alignment horizontal="centerContinuous"/>
    </xf>
    <xf numFmtId="0" fontId="10" fillId="7" borderId="2" xfId="3" applyFont="1" applyFill="1" applyBorder="1"/>
    <xf numFmtId="164" fontId="5" fillId="7" borderId="2" xfId="3" applyNumberFormat="1" applyFont="1" applyFill="1" applyBorder="1" applyAlignment="1">
      <alignment horizontal="center"/>
    </xf>
    <xf numFmtId="4" fontId="5" fillId="7" borderId="2" xfId="3" applyNumberFormat="1" applyFont="1" applyFill="1" applyBorder="1" applyAlignment="1">
      <alignment horizontal="right"/>
    </xf>
    <xf numFmtId="4" fontId="19" fillId="7" borderId="2" xfId="3" applyNumberFormat="1" applyFont="1" applyFill="1" applyBorder="1" applyAlignment="1">
      <alignment vertical="center"/>
    </xf>
    <xf numFmtId="0" fontId="10" fillId="7" borderId="2" xfId="3" applyFont="1" applyFill="1" applyBorder="1" applyAlignment="1">
      <alignment wrapText="1"/>
    </xf>
    <xf numFmtId="4" fontId="5" fillId="7" borderId="2" xfId="3" applyNumberFormat="1" applyFont="1" applyFill="1" applyBorder="1" applyAlignment="1">
      <alignment horizontal="center"/>
    </xf>
    <xf numFmtId="3" fontId="5" fillId="7" borderId="2" xfId="3" applyNumberFormat="1" applyFont="1" applyFill="1" applyBorder="1" applyAlignment="1">
      <alignment horizontal="right"/>
    </xf>
    <xf numFmtId="3" fontId="5" fillId="7" borderId="2" xfId="3" applyNumberFormat="1" applyFont="1" applyFill="1" applyBorder="1" applyAlignment="1">
      <alignment horizontal="center"/>
    </xf>
    <xf numFmtId="4" fontId="5" fillId="5" borderId="2" xfId="3" applyNumberFormat="1" applyFont="1" applyFill="1" applyBorder="1" applyAlignment="1">
      <alignment horizontal="center"/>
    </xf>
    <xf numFmtId="4" fontId="5" fillId="7" borderId="0" xfId="3" applyNumberFormat="1" applyFont="1" applyFill="1" applyBorder="1" applyAlignment="1">
      <alignment horizontal="center"/>
    </xf>
    <xf numFmtId="0" fontId="5" fillId="0" borderId="0" xfId="3" applyFont="1" applyFill="1" applyBorder="1" applyAlignment="1">
      <alignment horizontal="centerContinuous"/>
    </xf>
    <xf numFmtId="0" fontId="10" fillId="0" borderId="0" xfId="3" applyFont="1" applyFill="1" applyBorder="1" applyAlignment="1">
      <alignment wrapText="1"/>
    </xf>
    <xf numFmtId="164" fontId="5" fillId="0" borderId="0" xfId="3" applyNumberFormat="1" applyFont="1" applyFill="1" applyBorder="1" applyAlignment="1">
      <alignment horizontal="center"/>
    </xf>
    <xf numFmtId="4" fontId="5" fillId="0" borderId="0" xfId="3" applyNumberFormat="1" applyFont="1" applyFill="1" applyBorder="1" applyAlignment="1">
      <alignment horizontal="center"/>
    </xf>
    <xf numFmtId="3" fontId="5" fillId="0" borderId="0" xfId="3" applyNumberFormat="1" applyFont="1" applyFill="1" applyBorder="1" applyAlignment="1">
      <alignment horizontal="center"/>
    </xf>
    <xf numFmtId="4" fontId="5" fillId="0" borderId="0" xfId="3" applyNumberFormat="1" applyFont="1" applyFill="1" applyBorder="1" applyAlignment="1">
      <alignment horizontal="right"/>
    </xf>
    <xf numFmtId="0" fontId="2" fillId="0" borderId="0" xfId="3" applyFont="1" applyFill="1" applyBorder="1" applyAlignment="1">
      <alignment horizontal="left"/>
    </xf>
    <xf numFmtId="167" fontId="5" fillId="0" borderId="0" xfId="3" applyNumberFormat="1" applyFont="1" applyFill="1" applyBorder="1" applyAlignment="1">
      <alignment horizontal="right"/>
    </xf>
    <xf numFmtId="43" fontId="0" fillId="0" borderId="0" xfId="0" applyNumberFormat="1"/>
    <xf numFmtId="168" fontId="0" fillId="0" borderId="0" xfId="0" applyNumberFormat="1"/>
    <xf numFmtId="169" fontId="0" fillId="0" borderId="0" xfId="0" applyNumberFormat="1"/>
    <xf numFmtId="169" fontId="0" fillId="0" borderId="0" xfId="0" applyNumberFormat="1" applyFill="1"/>
    <xf numFmtId="0" fontId="1" fillId="5" borderId="1" xfId="3" applyFill="1" applyBorder="1"/>
    <xf numFmtId="4" fontId="0" fillId="0" borderId="0" xfId="0" applyNumberFormat="1" applyFill="1"/>
    <xf numFmtId="0" fontId="5" fillId="5" borderId="2" xfId="3" applyFont="1" applyFill="1" applyBorder="1" applyAlignment="1">
      <alignment vertical="center"/>
    </xf>
    <xf numFmtId="0" fontId="19" fillId="5" borderId="2" xfId="3" applyFont="1" applyFill="1" applyBorder="1" applyAlignment="1">
      <alignment vertical="center"/>
    </xf>
    <xf numFmtId="0" fontId="29" fillId="0" borderId="2" xfId="3" applyFont="1" applyFill="1" applyBorder="1" applyAlignment="1">
      <alignment vertical="center"/>
    </xf>
    <xf numFmtId="0" fontId="20" fillId="5" borderId="2" xfId="3" applyFont="1" applyFill="1" applyBorder="1" applyAlignment="1">
      <alignment vertical="center"/>
    </xf>
    <xf numFmtId="0" fontId="10" fillId="5" borderId="0" xfId="3" applyFont="1" applyFill="1" applyBorder="1" applyAlignment="1">
      <alignment horizontal="right" wrapText="1"/>
    </xf>
    <xf numFmtId="0" fontId="0" fillId="5" borderId="0" xfId="0" applyFill="1"/>
    <xf numFmtId="4" fontId="5" fillId="5" borderId="0" xfId="3" applyNumberFormat="1" applyFont="1" applyFill="1" applyBorder="1" applyAlignment="1">
      <alignment horizontal="right"/>
    </xf>
    <xf numFmtId="0" fontId="5" fillId="2" borderId="0" xfId="3" applyFont="1" applyFill="1" applyBorder="1" applyAlignment="1">
      <alignment horizontal="left" vertical="center" wrapText="1"/>
    </xf>
    <xf numFmtId="4" fontId="3" fillId="0" borderId="0" xfId="3" applyNumberFormat="1" applyFont="1" applyFill="1" applyAlignment="1">
      <alignment horizontal="centerContinuous"/>
    </xf>
    <xf numFmtId="4" fontId="2" fillId="0" borderId="0" xfId="3" applyNumberFormat="1" applyFont="1" applyFill="1" applyAlignment="1">
      <alignment horizontal="centerContinuous"/>
    </xf>
    <xf numFmtId="4" fontId="2" fillId="0" borderId="0" xfId="3" applyNumberFormat="1" applyFont="1" applyFill="1" applyBorder="1" applyAlignment="1">
      <alignment horizontal="left" vertical="center" wrapText="1"/>
    </xf>
    <xf numFmtId="4" fontId="2" fillId="0" borderId="0" xfId="3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 applyAlignment="1">
      <alignment horizontal="left" vertical="center"/>
    </xf>
    <xf numFmtId="4" fontId="2" fillId="3" borderId="2" xfId="3" applyNumberFormat="1" applyFont="1" applyFill="1" applyBorder="1" applyAlignment="1">
      <alignment horizontal="center" vertical="center" wrapText="1"/>
    </xf>
    <xf numFmtId="4" fontId="2" fillId="3" borderId="2" xfId="3" applyNumberFormat="1" applyFont="1" applyFill="1" applyBorder="1" applyAlignment="1">
      <alignment horizontal="center"/>
    </xf>
    <xf numFmtId="4" fontId="5" fillId="5" borderId="2" xfId="1" applyNumberFormat="1" applyFont="1" applyFill="1" applyBorder="1" applyAlignment="1">
      <alignment horizontal="right" vertical="center"/>
    </xf>
    <xf numFmtId="4" fontId="5" fillId="3" borderId="2" xfId="1" applyNumberFormat="1" applyFont="1" applyFill="1" applyBorder="1" applyAlignment="1">
      <alignment horizontal="right" vertical="top"/>
    </xf>
    <xf numFmtId="4" fontId="5" fillId="3" borderId="2" xfId="3" applyNumberFormat="1" applyFont="1" applyFill="1" applyBorder="1" applyAlignment="1">
      <alignment horizontal="centerContinuous" vertical="center"/>
    </xf>
    <xf numFmtId="0" fontId="5" fillId="2" borderId="0" xfId="3" applyFont="1" applyFill="1" applyBorder="1" applyAlignment="1">
      <alignment horizontal="left" vertical="center" wrapText="1"/>
    </xf>
    <xf numFmtId="0" fontId="2" fillId="5" borderId="2" xfId="3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left" vertical="center" wrapText="1"/>
    </xf>
    <xf numFmtId="0" fontId="5" fillId="2" borderId="0" xfId="3" applyFont="1" applyFill="1" applyBorder="1" applyAlignment="1">
      <alignment horizontal="left" vertical="center" wrapText="1"/>
    </xf>
    <xf numFmtId="0" fontId="22" fillId="3" borderId="2" xfId="3" applyFont="1" applyFill="1" applyBorder="1" applyAlignment="1">
      <alignment vertical="center" wrapText="1"/>
    </xf>
    <xf numFmtId="3" fontId="22" fillId="0" borderId="2" xfId="3" applyNumberFormat="1" applyFont="1" applyBorder="1" applyAlignment="1">
      <alignment horizontal="center" vertical="center"/>
    </xf>
    <xf numFmtId="4" fontId="30" fillId="0" borderId="2" xfId="3" applyNumberFormat="1" applyFont="1" applyBorder="1" applyAlignment="1">
      <alignment vertical="center"/>
    </xf>
    <xf numFmtId="4" fontId="31" fillId="0" borderId="2" xfId="3" applyNumberFormat="1" applyFont="1" applyFill="1" applyBorder="1" applyAlignment="1">
      <alignment vertical="center"/>
    </xf>
    <xf numFmtId="0" fontId="32" fillId="0" borderId="2" xfId="3" applyFont="1" applyFill="1" applyBorder="1" applyAlignment="1">
      <alignment vertical="center"/>
    </xf>
    <xf numFmtId="0" fontId="22" fillId="0" borderId="2" xfId="3" applyFont="1" applyBorder="1" applyAlignment="1">
      <alignment horizontal="center" vertical="center"/>
    </xf>
    <xf numFmtId="0" fontId="33" fillId="6" borderId="0" xfId="0" applyFont="1" applyFill="1" applyBorder="1"/>
    <xf numFmtId="0" fontId="33" fillId="0" borderId="0" xfId="0" applyFont="1"/>
    <xf numFmtId="0" fontId="36" fillId="6" borderId="0" xfId="4" applyFont="1" applyFill="1" applyBorder="1" applyAlignment="1">
      <alignment horizontal="center" wrapText="1"/>
    </xf>
    <xf numFmtId="0" fontId="33" fillId="6" borderId="0" xfId="0" applyFont="1" applyFill="1"/>
    <xf numFmtId="0" fontId="33" fillId="6" borderId="0" xfId="4" applyFont="1" applyFill="1" applyBorder="1" applyAlignment="1">
      <alignment horizontal="right"/>
    </xf>
    <xf numFmtId="0" fontId="33" fillId="6" borderId="0" xfId="4" applyFont="1" applyFill="1" applyBorder="1" applyAlignment="1">
      <alignment horizontal="center" vertical="center"/>
    </xf>
    <xf numFmtId="1" fontId="33" fillId="6" borderId="7" xfId="4" applyNumberFormat="1" applyFont="1" applyFill="1" applyBorder="1"/>
    <xf numFmtId="1" fontId="33" fillId="6" borderId="12" xfId="4" applyNumberFormat="1" applyFont="1" applyFill="1" applyBorder="1"/>
    <xf numFmtId="1" fontId="33" fillId="6" borderId="17" xfId="4" applyNumberFormat="1" applyFont="1" applyFill="1" applyBorder="1"/>
    <xf numFmtId="0" fontId="38" fillId="6" borderId="6" xfId="4" applyFont="1" applyFill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1" fontId="33" fillId="6" borderId="18" xfId="4" applyNumberFormat="1" applyFont="1" applyFill="1" applyBorder="1" applyAlignment="1">
      <alignment horizontal="center"/>
    </xf>
    <xf numFmtId="0" fontId="33" fillId="6" borderId="21" xfId="4" applyFont="1" applyFill="1" applyBorder="1" applyAlignment="1">
      <alignment horizontal="center"/>
    </xf>
    <xf numFmtId="3" fontId="33" fillId="6" borderId="2" xfId="4" applyNumberFormat="1" applyFont="1" applyFill="1" applyBorder="1" applyAlignment="1">
      <alignment horizontal="center" vertical="center"/>
    </xf>
    <xf numFmtId="3" fontId="33" fillId="6" borderId="21" xfId="4" applyNumberFormat="1" applyFont="1" applyFill="1" applyBorder="1" applyAlignment="1">
      <alignment horizontal="center" vertical="center"/>
    </xf>
    <xf numFmtId="3" fontId="33" fillId="6" borderId="19" xfId="4" applyNumberFormat="1" applyFont="1" applyFill="1" applyBorder="1" applyAlignment="1">
      <alignment horizontal="center" vertical="center"/>
    </xf>
    <xf numFmtId="1" fontId="35" fillId="6" borderId="18" xfId="4" applyNumberFormat="1" applyFont="1" applyFill="1" applyBorder="1"/>
    <xf numFmtId="0" fontId="35" fillId="6" borderId="19" xfId="4" applyFont="1" applyFill="1" applyBorder="1"/>
    <xf numFmtId="0" fontId="35" fillId="6" borderId="20" xfId="4" applyFont="1" applyFill="1" applyBorder="1"/>
    <xf numFmtId="4" fontId="35" fillId="6" borderId="2" xfId="5" applyNumberFormat="1" applyFont="1" applyFill="1" applyBorder="1" applyAlignment="1">
      <alignment horizontal="center"/>
    </xf>
    <xf numFmtId="4" fontId="35" fillId="6" borderId="21" xfId="5" applyNumberFormat="1" applyFont="1" applyFill="1" applyBorder="1" applyAlignment="1">
      <alignment horizontal="center"/>
    </xf>
    <xf numFmtId="4" fontId="35" fillId="6" borderId="19" xfId="5" applyNumberFormat="1" applyFont="1" applyFill="1" applyBorder="1" applyAlignment="1">
      <alignment horizontal="center"/>
    </xf>
    <xf numFmtId="4" fontId="33" fillId="0" borderId="0" xfId="0" applyNumberFormat="1" applyFont="1"/>
    <xf numFmtId="0" fontId="36" fillId="6" borderId="13" xfId="4" applyFont="1" applyFill="1" applyBorder="1"/>
    <xf numFmtId="0" fontId="36" fillId="6" borderId="0" xfId="4" applyFont="1" applyFill="1" applyBorder="1"/>
    <xf numFmtId="0" fontId="33" fillId="6" borderId="0" xfId="4" applyFont="1" applyFill="1" applyBorder="1"/>
    <xf numFmtId="4" fontId="36" fillId="6" borderId="3" xfId="5" applyNumberFormat="1" applyFont="1" applyFill="1" applyBorder="1" applyAlignment="1">
      <alignment horizontal="center"/>
    </xf>
    <xf numFmtId="4" fontId="36" fillId="6" borderId="14" xfId="5" applyNumberFormat="1" applyFont="1" applyFill="1" applyBorder="1" applyAlignment="1">
      <alignment horizontal="center"/>
    </xf>
    <xf numFmtId="4" fontId="36" fillId="6" borderId="13" xfId="5" applyNumberFormat="1" applyFont="1" applyFill="1" applyBorder="1" applyAlignment="1">
      <alignment horizontal="center"/>
    </xf>
    <xf numFmtId="1" fontId="36" fillId="6" borderId="12" xfId="4" applyNumberFormat="1" applyFont="1" applyFill="1" applyBorder="1"/>
    <xf numFmtId="4" fontId="33" fillId="6" borderId="3" xfId="5" applyNumberFormat="1" applyFont="1" applyFill="1" applyBorder="1" applyAlignment="1">
      <alignment horizontal="center"/>
    </xf>
    <xf numFmtId="4" fontId="33" fillId="6" borderId="14" xfId="5" applyNumberFormat="1" applyFont="1" applyFill="1" applyBorder="1" applyAlignment="1">
      <alignment horizontal="center"/>
    </xf>
    <xf numFmtId="4" fontId="33" fillId="6" borderId="13" xfId="5" applyNumberFormat="1" applyFont="1" applyFill="1" applyBorder="1" applyAlignment="1">
      <alignment horizontal="center"/>
    </xf>
    <xf numFmtId="0" fontId="39" fillId="6" borderId="13" xfId="4" applyFont="1" applyFill="1" applyBorder="1"/>
    <xf numFmtId="0" fontId="39" fillId="6" borderId="0" xfId="4" applyFont="1" applyFill="1" applyBorder="1"/>
    <xf numFmtId="0" fontId="33" fillId="6" borderId="13" xfId="4" applyFont="1" applyFill="1" applyBorder="1"/>
    <xf numFmtId="0" fontId="33" fillId="6" borderId="0" xfId="4" applyFont="1" applyFill="1" applyBorder="1" applyAlignment="1">
      <alignment horizontal="center"/>
    </xf>
    <xf numFmtId="0" fontId="36" fillId="6" borderId="0" xfId="4" applyFont="1" applyFill="1" applyBorder="1" applyAlignment="1">
      <alignment horizontal="center"/>
    </xf>
    <xf numFmtId="1" fontId="35" fillId="0" borderId="22" xfId="0" applyNumberFormat="1" applyFont="1" applyBorder="1"/>
    <xf numFmtId="4" fontId="35" fillId="6" borderId="23" xfId="5" applyNumberFormat="1" applyFont="1" applyFill="1" applyBorder="1" applyAlignment="1">
      <alignment horizontal="center"/>
    </xf>
    <xf numFmtId="4" fontId="35" fillId="6" borderId="24" xfId="5" applyNumberFormat="1" applyFont="1" applyFill="1" applyBorder="1" applyAlignment="1">
      <alignment horizontal="center"/>
    </xf>
    <xf numFmtId="0" fontId="40" fillId="0" borderId="0" xfId="0" applyFont="1"/>
    <xf numFmtId="1" fontId="35" fillId="0" borderId="25" xfId="0" applyNumberFormat="1" applyFont="1" applyBorder="1"/>
    <xf numFmtId="4" fontId="35" fillId="6" borderId="26" xfId="5" applyNumberFormat="1" applyFont="1" applyFill="1" applyBorder="1" applyAlignment="1">
      <alignment horizontal="center"/>
    </xf>
    <xf numFmtId="4" fontId="35" fillId="6" borderId="27" xfId="5" applyNumberFormat="1" applyFont="1" applyFill="1" applyBorder="1" applyAlignment="1">
      <alignment horizontal="center"/>
    </xf>
    <xf numFmtId="4" fontId="35" fillId="6" borderId="0" xfId="5" applyNumberFormat="1" applyFont="1" applyFill="1" applyBorder="1" applyAlignment="1">
      <alignment horizontal="center"/>
    </xf>
    <xf numFmtId="43" fontId="33" fillId="0" borderId="0" xfId="0" applyNumberFormat="1" applyFont="1"/>
    <xf numFmtId="166" fontId="33" fillId="0" borderId="0" xfId="1" applyFont="1"/>
    <xf numFmtId="171" fontId="33" fillId="0" borderId="0" xfId="0" applyNumberFormat="1" applyFont="1"/>
    <xf numFmtId="0" fontId="35" fillId="6" borderId="0" xfId="4" applyFont="1" applyFill="1" applyBorder="1" applyAlignment="1">
      <alignment horizontal="center" vertical="center" wrapText="1"/>
    </xf>
    <xf numFmtId="0" fontId="2" fillId="5" borderId="2" xfId="3" applyFont="1" applyFill="1" applyBorder="1" applyAlignment="1">
      <alignment vertical="center"/>
    </xf>
    <xf numFmtId="0" fontId="22" fillId="5" borderId="2" xfId="3" applyFont="1" applyFill="1" applyBorder="1" applyAlignment="1">
      <alignment vertical="center"/>
    </xf>
    <xf numFmtId="0" fontId="33" fillId="8" borderId="15" xfId="0" applyFont="1" applyFill="1" applyBorder="1" applyAlignment="1">
      <alignment horizontal="center" vertical="center" wrapText="1"/>
    </xf>
    <xf numFmtId="0" fontId="33" fillId="8" borderId="6" xfId="0" applyFont="1" applyFill="1" applyBorder="1" applyAlignment="1">
      <alignment horizontal="center" vertical="center" wrapText="1"/>
    </xf>
    <xf numFmtId="3" fontId="33" fillId="8" borderId="19" xfId="4" applyNumberFormat="1" applyFont="1" applyFill="1" applyBorder="1" applyAlignment="1">
      <alignment horizontal="center" vertical="center"/>
    </xf>
    <xf numFmtId="3" fontId="33" fillId="8" borderId="2" xfId="4" applyNumberFormat="1" applyFont="1" applyFill="1" applyBorder="1" applyAlignment="1">
      <alignment horizontal="center" vertical="center"/>
    </xf>
    <xf numFmtId="4" fontId="35" fillId="8" borderId="19" xfId="5" applyNumberFormat="1" applyFont="1" applyFill="1" applyBorder="1" applyAlignment="1">
      <alignment horizontal="center"/>
    </xf>
    <xf numFmtId="4" fontId="35" fillId="8" borderId="2" xfId="5" applyNumberFormat="1" applyFont="1" applyFill="1" applyBorder="1" applyAlignment="1">
      <alignment horizontal="center"/>
    </xf>
    <xf numFmtId="4" fontId="36" fillId="8" borderId="13" xfId="5" applyNumberFormat="1" applyFont="1" applyFill="1" applyBorder="1" applyAlignment="1">
      <alignment horizontal="center"/>
    </xf>
    <xf numFmtId="4" fontId="36" fillId="8" borderId="3" xfId="5" applyNumberFormat="1" applyFont="1" applyFill="1" applyBorder="1" applyAlignment="1">
      <alignment horizontal="center"/>
    </xf>
    <xf numFmtId="4" fontId="33" fillId="8" borderId="13" xfId="5" applyNumberFormat="1" applyFont="1" applyFill="1" applyBorder="1" applyAlignment="1">
      <alignment horizontal="center"/>
    </xf>
    <xf numFmtId="4" fontId="33" fillId="8" borderId="3" xfId="5" applyNumberFormat="1" applyFont="1" applyFill="1" applyBorder="1" applyAlignment="1">
      <alignment horizontal="center"/>
    </xf>
    <xf numFmtId="4" fontId="35" fillId="8" borderId="24" xfId="5" applyNumberFormat="1" applyFont="1" applyFill="1" applyBorder="1" applyAlignment="1">
      <alignment horizontal="center"/>
    </xf>
    <xf numFmtId="4" fontId="35" fillId="8" borderId="23" xfId="5" applyNumberFormat="1" applyFont="1" applyFill="1" applyBorder="1" applyAlignment="1">
      <alignment horizontal="center"/>
    </xf>
    <xf numFmtId="4" fontId="35" fillId="8" borderId="27" xfId="5" applyNumberFormat="1" applyFont="1" applyFill="1" applyBorder="1" applyAlignment="1">
      <alignment horizontal="center"/>
    </xf>
    <xf numFmtId="4" fontId="35" fillId="8" borderId="26" xfId="5" applyNumberFormat="1" applyFont="1" applyFill="1" applyBorder="1" applyAlignment="1">
      <alignment horizontal="center"/>
    </xf>
    <xf numFmtId="4" fontId="35" fillId="0" borderId="36" xfId="0" applyNumberFormat="1" applyFont="1" applyFill="1" applyBorder="1" applyAlignment="1">
      <alignment horizontal="center" vertical="center" wrapText="1"/>
    </xf>
    <xf numFmtId="4" fontId="35" fillId="0" borderId="39" xfId="0" applyNumberFormat="1" applyFont="1" applyFill="1" applyBorder="1" applyAlignment="1">
      <alignment horizontal="center" vertical="center" wrapText="1"/>
    </xf>
    <xf numFmtId="0" fontId="42" fillId="0" borderId="17" xfId="0" applyFont="1" applyFill="1" applyBorder="1" applyAlignment="1">
      <alignment wrapText="1"/>
    </xf>
    <xf numFmtId="4" fontId="42" fillId="0" borderId="40" xfId="0" applyNumberFormat="1" applyFont="1" applyFill="1" applyBorder="1" applyAlignment="1">
      <alignment wrapText="1"/>
    </xf>
    <xf numFmtId="0" fontId="42" fillId="0" borderId="12" xfId="0" applyFont="1" applyFill="1" applyBorder="1" applyAlignment="1">
      <alignment wrapText="1"/>
    </xf>
    <xf numFmtId="0" fontId="41" fillId="6" borderId="41" xfId="0" applyFont="1" applyFill="1" applyBorder="1" applyAlignment="1">
      <alignment wrapText="1"/>
    </xf>
    <xf numFmtId="0" fontId="42" fillId="6" borderId="18" xfId="0" applyFont="1" applyFill="1" applyBorder="1" applyAlignment="1">
      <alignment wrapText="1"/>
    </xf>
    <xf numFmtId="0" fontId="42" fillId="6" borderId="44" xfId="0" applyFont="1" applyFill="1" applyBorder="1" applyAlignment="1">
      <alignment wrapText="1"/>
    </xf>
    <xf numFmtId="0" fontId="42" fillId="0" borderId="18" xfId="0" applyFont="1" applyFill="1" applyBorder="1" applyAlignment="1">
      <alignment wrapText="1"/>
    </xf>
    <xf numFmtId="0" fontId="42" fillId="0" borderId="44" xfId="0" applyFont="1" applyFill="1" applyBorder="1" applyAlignment="1">
      <alignment wrapText="1"/>
    </xf>
    <xf numFmtId="0" fontId="41" fillId="0" borderId="41" xfId="0" applyFont="1" applyFill="1" applyBorder="1" applyAlignment="1">
      <alignment wrapText="1"/>
    </xf>
    <xf numFmtId="4" fontId="41" fillId="0" borderId="35" xfId="0" applyNumberFormat="1" applyFont="1" applyFill="1" applyBorder="1" applyAlignment="1">
      <alignment wrapText="1"/>
    </xf>
    <xf numFmtId="0" fontId="41" fillId="0" borderId="47" xfId="0" applyFont="1" applyFill="1" applyBorder="1" applyAlignment="1">
      <alignment wrapText="1"/>
    </xf>
    <xf numFmtId="4" fontId="41" fillId="0" borderId="39" xfId="0" applyNumberFormat="1" applyFont="1" applyFill="1" applyBorder="1" applyAlignment="1">
      <alignment wrapText="1"/>
    </xf>
    <xf numFmtId="4" fontId="42" fillId="0" borderId="48" xfId="0" applyNumberFormat="1" applyFont="1" applyFill="1" applyBorder="1" applyAlignment="1">
      <alignment wrapText="1"/>
    </xf>
    <xf numFmtId="4" fontId="35" fillId="0" borderId="32" xfId="0" applyNumberFormat="1" applyFont="1" applyFill="1" applyBorder="1" applyAlignment="1">
      <alignment horizontal="center" vertical="center" wrapText="1"/>
    </xf>
    <xf numFmtId="4" fontId="35" fillId="0" borderId="38" xfId="1" applyNumberFormat="1" applyFont="1" applyFill="1" applyBorder="1" applyAlignment="1">
      <alignment horizontal="center" vertical="center" wrapText="1"/>
    </xf>
    <xf numFmtId="4" fontId="42" fillId="0" borderId="6" xfId="0" applyNumberFormat="1" applyFont="1" applyFill="1" applyBorder="1" applyAlignment="1">
      <alignment wrapText="1"/>
    </xf>
    <xf numFmtId="4" fontId="42" fillId="0" borderId="6" xfId="1" applyNumberFormat="1" applyFont="1" applyFill="1" applyBorder="1" applyAlignment="1">
      <alignment wrapText="1"/>
    </xf>
    <xf numFmtId="4" fontId="42" fillId="0" borderId="3" xfId="0" applyNumberFormat="1" applyFont="1" applyFill="1" applyBorder="1" applyAlignment="1">
      <alignment wrapText="1"/>
    </xf>
    <xf numFmtId="4" fontId="41" fillId="0" borderId="34" xfId="0" applyNumberFormat="1" applyFont="1" applyFill="1" applyBorder="1" applyAlignment="1">
      <alignment wrapText="1"/>
    </xf>
    <xf numFmtId="4" fontId="42" fillId="0" borderId="2" xfId="0" applyNumberFormat="1" applyFont="1" applyFill="1" applyBorder="1" applyAlignment="1">
      <alignment wrapText="1"/>
    </xf>
    <xf numFmtId="4" fontId="42" fillId="0" borderId="4" xfId="0" applyNumberFormat="1" applyFont="1" applyFill="1" applyBorder="1" applyAlignment="1">
      <alignment wrapText="1"/>
    </xf>
    <xf numFmtId="4" fontId="41" fillId="0" borderId="38" xfId="0" applyNumberFormat="1" applyFont="1" applyFill="1" applyBorder="1" applyAlignment="1">
      <alignment wrapText="1"/>
    </xf>
    <xf numFmtId="4" fontId="42" fillId="0" borderId="26" xfId="0" applyNumberFormat="1" applyFont="1" applyFill="1" applyBorder="1" applyAlignment="1">
      <alignment wrapText="1"/>
    </xf>
    <xf numFmtId="4" fontId="42" fillId="0" borderId="43" xfId="0" applyNumberFormat="1" applyFont="1" applyFill="1" applyBorder="1" applyAlignment="1">
      <alignment wrapText="1"/>
    </xf>
    <xf numFmtId="4" fontId="41" fillId="0" borderId="32" xfId="0" applyNumberFormat="1" applyFont="1" applyFill="1" applyBorder="1" applyAlignment="1">
      <alignment wrapText="1"/>
    </xf>
    <xf numFmtId="4" fontId="42" fillId="6" borderId="46" xfId="0" applyNumberFormat="1" applyFont="1" applyFill="1" applyBorder="1" applyAlignment="1">
      <alignment wrapText="1"/>
    </xf>
    <xf numFmtId="4" fontId="42" fillId="0" borderId="46" xfId="0" applyNumberFormat="1" applyFont="1" applyFill="1" applyBorder="1" applyAlignment="1">
      <alignment wrapText="1"/>
    </xf>
    <xf numFmtId="4" fontId="41" fillId="0" borderId="37" xfId="0" applyNumberFormat="1" applyFont="1" applyFill="1" applyBorder="1" applyAlignment="1">
      <alignment wrapText="1"/>
    </xf>
    <xf numFmtId="4" fontId="42" fillId="0" borderId="56" xfId="0" applyNumberFormat="1" applyFont="1" applyFill="1" applyBorder="1" applyAlignment="1">
      <alignment wrapText="1"/>
    </xf>
    <xf numFmtId="4" fontId="42" fillId="0" borderId="46" xfId="1" applyNumberFormat="1" applyFont="1" applyFill="1" applyBorder="1" applyAlignment="1">
      <alignment wrapText="1"/>
    </xf>
    <xf numFmtId="4" fontId="42" fillId="0" borderId="56" xfId="1" applyNumberFormat="1" applyFont="1" applyFill="1" applyBorder="1" applyAlignment="1">
      <alignment wrapText="1"/>
    </xf>
    <xf numFmtId="4" fontId="42" fillId="0" borderId="57" xfId="0" applyNumberFormat="1" applyFont="1" applyFill="1" applyBorder="1" applyAlignment="1">
      <alignment wrapText="1"/>
    </xf>
    <xf numFmtId="4" fontId="42" fillId="6" borderId="2" xfId="0" applyNumberFormat="1" applyFont="1" applyFill="1" applyBorder="1" applyAlignment="1">
      <alignment wrapText="1"/>
    </xf>
    <xf numFmtId="4" fontId="42" fillId="0" borderId="2" xfId="1" applyNumberFormat="1" applyFont="1" applyFill="1" applyBorder="1" applyAlignment="1">
      <alignment wrapText="1"/>
    </xf>
    <xf numFmtId="4" fontId="42" fillId="0" borderId="4" xfId="1" applyNumberFormat="1" applyFont="1" applyFill="1" applyBorder="1" applyAlignment="1">
      <alignment wrapText="1"/>
    </xf>
    <xf numFmtId="1" fontId="46" fillId="0" borderId="17" xfId="0" applyNumberFormat="1" applyFont="1" applyFill="1" applyBorder="1" applyAlignment="1">
      <alignment horizontal="center" vertical="center" wrapText="1"/>
    </xf>
    <xf numFmtId="1" fontId="46" fillId="0" borderId="6" xfId="0" applyNumberFormat="1" applyFont="1" applyFill="1" applyBorder="1" applyAlignment="1">
      <alignment horizontal="center" vertical="center" wrapText="1"/>
    </xf>
    <xf numFmtId="1" fontId="46" fillId="0" borderId="23" xfId="0" applyNumberFormat="1" applyFont="1" applyFill="1" applyBorder="1" applyAlignment="1">
      <alignment horizontal="center" vertical="center" wrapText="1"/>
    </xf>
    <xf numFmtId="1" fontId="46" fillId="0" borderId="43" xfId="0" applyNumberFormat="1" applyFont="1" applyFill="1" applyBorder="1" applyAlignment="1">
      <alignment horizontal="center" vertical="center" wrapText="1"/>
    </xf>
    <xf numFmtId="1" fontId="46" fillId="0" borderId="40" xfId="0" applyNumberFormat="1" applyFont="1" applyFill="1" applyBorder="1" applyAlignment="1">
      <alignment horizontal="center" vertical="center" wrapText="1"/>
    </xf>
    <xf numFmtId="1" fontId="46" fillId="0" borderId="6" xfId="1" applyNumberFormat="1" applyFont="1" applyFill="1" applyBorder="1" applyAlignment="1">
      <alignment horizontal="center" vertical="center" wrapText="1"/>
    </xf>
    <xf numFmtId="0" fontId="41" fillId="0" borderId="41" xfId="0" applyFont="1" applyFill="1" applyBorder="1" applyAlignment="1">
      <alignment horizontal="right" wrapText="1"/>
    </xf>
    <xf numFmtId="4" fontId="42" fillId="0" borderId="34" xfId="0" applyNumberFormat="1" applyFont="1" applyFill="1" applyBorder="1" applyAlignment="1">
      <alignment wrapText="1"/>
    </xf>
    <xf numFmtId="4" fontId="42" fillId="0" borderId="32" xfId="0" applyNumberFormat="1" applyFont="1" applyFill="1" applyBorder="1" applyAlignment="1">
      <alignment wrapText="1"/>
    </xf>
    <xf numFmtId="0" fontId="33" fillId="6" borderId="59" xfId="4" applyFont="1" applyFill="1" applyBorder="1"/>
    <xf numFmtId="0" fontId="42" fillId="5" borderId="18" xfId="0" applyFont="1" applyFill="1" applyBorder="1" applyAlignment="1">
      <alignment wrapText="1"/>
    </xf>
    <xf numFmtId="0" fontId="42" fillId="5" borderId="44" xfId="0" applyFont="1" applyFill="1" applyBorder="1" applyAlignment="1">
      <alignment wrapText="1"/>
    </xf>
    <xf numFmtId="0" fontId="42" fillId="5" borderId="25" xfId="0" applyFont="1" applyFill="1" applyBorder="1" applyAlignment="1">
      <alignment wrapText="1"/>
    </xf>
    <xf numFmtId="0" fontId="37" fillId="0" borderId="0" xfId="0" applyFont="1" applyAlignment="1">
      <alignment wrapText="1"/>
    </xf>
    <xf numFmtId="0" fontId="40" fillId="0" borderId="17" xfId="0" applyFont="1" applyFill="1" applyBorder="1" applyAlignment="1">
      <alignment horizontal="left" vertical="center" wrapText="1"/>
    </xf>
    <xf numFmtId="0" fontId="40" fillId="0" borderId="62" xfId="0" applyFont="1" applyFill="1" applyBorder="1" applyAlignment="1">
      <alignment horizontal="center" wrapText="1"/>
    </xf>
    <xf numFmtId="170" fontId="40" fillId="0" borderId="40" xfId="1" applyNumberFormat="1" applyFont="1" applyFill="1" applyBorder="1" applyAlignment="1">
      <alignment horizontal="center" wrapText="1"/>
    </xf>
    <xf numFmtId="43" fontId="40" fillId="0" borderId="62" xfId="0" applyNumberFormat="1" applyFont="1" applyFill="1" applyBorder="1" applyAlignment="1">
      <alignment horizontal="center" wrapText="1"/>
    </xf>
    <xf numFmtId="0" fontId="40" fillId="0" borderId="18" xfId="0" applyFont="1" applyFill="1" applyBorder="1" applyAlignment="1">
      <alignment horizontal="left" vertical="center" wrapText="1"/>
    </xf>
    <xf numFmtId="0" fontId="40" fillId="0" borderId="63" xfId="0" applyFont="1" applyFill="1" applyBorder="1" applyAlignment="1">
      <alignment horizontal="center" wrapText="1"/>
    </xf>
    <xf numFmtId="170" fontId="40" fillId="0" borderId="58" xfId="1" applyNumberFormat="1" applyFont="1" applyFill="1" applyBorder="1" applyAlignment="1">
      <alignment horizontal="center" wrapText="1"/>
    </xf>
    <xf numFmtId="0" fontId="40" fillId="6" borderId="63" xfId="0" applyFont="1" applyFill="1" applyBorder="1" applyAlignment="1">
      <alignment horizontal="center" wrapText="1"/>
    </xf>
    <xf numFmtId="170" fontId="40" fillId="6" borderId="58" xfId="1" applyNumberFormat="1" applyFont="1" applyFill="1" applyBorder="1" applyAlignment="1">
      <alignment horizontal="center" wrapText="1"/>
    </xf>
    <xf numFmtId="43" fontId="40" fillId="6" borderId="62" xfId="0" applyNumberFormat="1" applyFont="1" applyFill="1" applyBorder="1" applyAlignment="1">
      <alignment horizontal="center" wrapText="1"/>
    </xf>
    <xf numFmtId="0" fontId="40" fillId="0" borderId="63" xfId="0" applyFont="1" applyFill="1" applyBorder="1" applyAlignment="1">
      <alignment horizontal="center" vertical="center" wrapText="1"/>
    </xf>
    <xf numFmtId="170" fontId="40" fillId="0" borderId="58" xfId="1" applyNumberFormat="1" applyFont="1" applyFill="1" applyBorder="1" applyAlignment="1">
      <alignment horizontal="center" vertical="center" wrapText="1"/>
    </xf>
    <xf numFmtId="43" fontId="40" fillId="0" borderId="62" xfId="0" applyNumberFormat="1" applyFont="1" applyFill="1" applyBorder="1" applyAlignment="1">
      <alignment horizontal="center" vertical="center" wrapText="1"/>
    </xf>
    <xf numFmtId="0" fontId="40" fillId="6" borderId="63" xfId="0" applyFont="1" applyFill="1" applyBorder="1" applyAlignment="1">
      <alignment horizontal="center" vertical="center" wrapText="1"/>
    </xf>
    <xf numFmtId="170" fontId="40" fillId="6" borderId="58" xfId="1" applyNumberFormat="1" applyFont="1" applyFill="1" applyBorder="1" applyAlignment="1">
      <alignment horizontal="center" vertical="center" wrapText="1"/>
    </xf>
    <xf numFmtId="43" fontId="40" fillId="6" borderId="62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40" fillId="6" borderId="18" xfId="0" applyFont="1" applyFill="1" applyBorder="1" applyAlignment="1">
      <alignment horizontal="left" vertical="center" wrapText="1"/>
    </xf>
    <xf numFmtId="0" fontId="48" fillId="0" borderId="0" xfId="0" applyFont="1"/>
    <xf numFmtId="0" fontId="48" fillId="6" borderId="0" xfId="0" applyFont="1" applyFill="1"/>
    <xf numFmtId="0" fontId="40" fillId="0" borderId="44" xfId="0" applyFont="1" applyFill="1" applyBorder="1" applyAlignment="1">
      <alignment horizontal="left" vertical="center" wrapText="1"/>
    </xf>
    <xf numFmtId="0" fontId="40" fillId="0" borderId="64" xfId="0" applyFont="1" applyFill="1" applyBorder="1" applyAlignment="1">
      <alignment horizontal="center" wrapText="1"/>
    </xf>
    <xf numFmtId="170" fontId="40" fillId="0" borderId="48" xfId="1" applyNumberFormat="1" applyFont="1" applyFill="1" applyBorder="1" applyAlignment="1">
      <alignment horizontal="center" wrapText="1"/>
    </xf>
    <xf numFmtId="43" fontId="40" fillId="0" borderId="60" xfId="0" applyNumberFormat="1" applyFont="1" applyFill="1" applyBorder="1" applyAlignment="1">
      <alignment horizontal="center" wrapText="1"/>
    </xf>
    <xf numFmtId="170" fontId="33" fillId="0" borderId="0" xfId="0" applyNumberFormat="1" applyFont="1"/>
    <xf numFmtId="0" fontId="35" fillId="5" borderId="41" xfId="0" applyFont="1" applyFill="1" applyBorder="1" applyAlignment="1">
      <alignment wrapText="1"/>
    </xf>
    <xf numFmtId="0" fontId="35" fillId="5" borderId="36" xfId="0" applyFont="1" applyFill="1" applyBorder="1" applyAlignment="1">
      <alignment horizontal="center" wrapText="1"/>
    </xf>
    <xf numFmtId="43" fontId="35" fillId="5" borderId="36" xfId="0" applyNumberFormat="1" applyFont="1" applyFill="1" applyBorder="1" applyAlignment="1">
      <alignment horizontal="center" wrapText="1"/>
    </xf>
    <xf numFmtId="0" fontId="40" fillId="0" borderId="42" xfId="0" applyFont="1" applyFill="1" applyBorder="1" applyAlignment="1">
      <alignment horizontal="center" wrapText="1"/>
    </xf>
    <xf numFmtId="0" fontId="40" fillId="6" borderId="42" xfId="0" applyFont="1" applyFill="1" applyBorder="1" applyAlignment="1">
      <alignment horizontal="center" wrapText="1"/>
    </xf>
    <xf numFmtId="43" fontId="40" fillId="0" borderId="43" xfId="0" applyNumberFormat="1" applyFont="1" applyFill="1" applyBorder="1" applyAlignment="1">
      <alignment horizontal="center" wrapText="1"/>
    </xf>
    <xf numFmtId="43" fontId="40" fillId="0" borderId="43" xfId="0" applyNumberFormat="1" applyFont="1" applyFill="1" applyBorder="1" applyAlignment="1">
      <alignment horizontal="center" vertical="center" wrapText="1"/>
    </xf>
    <xf numFmtId="43" fontId="40" fillId="6" borderId="43" xfId="0" applyNumberFormat="1" applyFont="1" applyFill="1" applyBorder="1" applyAlignment="1">
      <alignment horizontal="center" wrapText="1"/>
    </xf>
    <xf numFmtId="43" fontId="40" fillId="0" borderId="52" xfId="0" applyNumberFormat="1" applyFont="1" applyFill="1" applyBorder="1" applyAlignment="1">
      <alignment horizontal="center" wrapText="1"/>
    </xf>
    <xf numFmtId="170" fontId="40" fillId="0" borderId="23" xfId="1" applyNumberFormat="1" applyFont="1" applyFill="1" applyBorder="1" applyAlignment="1">
      <alignment horizontal="center" wrapText="1"/>
    </xf>
    <xf numFmtId="170" fontId="40" fillId="0" borderId="2" xfId="1" applyNumberFormat="1" applyFont="1" applyFill="1" applyBorder="1" applyAlignment="1">
      <alignment horizontal="center" wrapText="1"/>
    </xf>
    <xf numFmtId="170" fontId="40" fillId="0" borderId="2" xfId="1" applyNumberFormat="1" applyFont="1" applyFill="1" applyBorder="1" applyAlignment="1">
      <alignment horizontal="center" vertical="center" wrapText="1"/>
    </xf>
    <xf numFmtId="170" fontId="40" fillId="6" borderId="2" xfId="1" applyNumberFormat="1" applyFont="1" applyFill="1" applyBorder="1" applyAlignment="1">
      <alignment horizontal="center" wrapText="1"/>
    </xf>
    <xf numFmtId="170" fontId="40" fillId="0" borderId="26" xfId="1" applyNumberFormat="1" applyFont="1" applyFill="1" applyBorder="1" applyAlignment="1">
      <alignment horizontal="center" wrapText="1"/>
    </xf>
    <xf numFmtId="43" fontId="40" fillId="0" borderId="22" xfId="0" applyNumberFormat="1" applyFont="1" applyFill="1" applyBorder="1" applyAlignment="1">
      <alignment horizontal="center" wrapText="1"/>
    </xf>
    <xf numFmtId="43" fontId="40" fillId="0" borderId="17" xfId="0" applyNumberFormat="1" applyFont="1" applyFill="1" applyBorder="1" applyAlignment="1">
      <alignment horizontal="center" wrapText="1"/>
    </xf>
    <xf numFmtId="43" fontId="40" fillId="0" borderId="47" xfId="0" applyNumberFormat="1" applyFont="1" applyFill="1" applyBorder="1" applyAlignment="1">
      <alignment horizontal="center" wrapText="1"/>
    </xf>
    <xf numFmtId="170" fontId="40" fillId="0" borderId="6" xfId="1" applyNumberFormat="1" applyFont="1" applyFill="1" applyBorder="1" applyAlignment="1">
      <alignment horizontal="center" wrapText="1"/>
    </xf>
    <xf numFmtId="170" fontId="40" fillId="0" borderId="38" xfId="1" applyNumberFormat="1" applyFont="1" applyFill="1" applyBorder="1" applyAlignment="1">
      <alignment horizontal="center" wrapText="1"/>
    </xf>
    <xf numFmtId="43" fontId="35" fillId="5" borderId="31" xfId="0" applyNumberFormat="1" applyFont="1" applyFill="1" applyBorder="1" applyAlignment="1">
      <alignment horizontal="center" wrapText="1"/>
    </xf>
    <xf numFmtId="0" fontId="35" fillId="5" borderId="29" xfId="0" applyFont="1" applyFill="1" applyBorder="1" applyAlignment="1">
      <alignment horizontal="center" wrapText="1"/>
    </xf>
    <xf numFmtId="0" fontId="35" fillId="5" borderId="34" xfId="0" applyFont="1" applyFill="1" applyBorder="1" applyAlignment="1">
      <alignment horizontal="center" wrapText="1"/>
    </xf>
    <xf numFmtId="43" fontId="40" fillId="5" borderId="31" xfId="0" applyNumberFormat="1" applyFont="1" applyFill="1" applyBorder="1" applyAlignment="1">
      <alignment horizontal="center" wrapText="1"/>
    </xf>
    <xf numFmtId="43" fontId="40" fillId="5" borderId="41" xfId="0" applyNumberFormat="1" applyFont="1" applyFill="1" applyBorder="1" applyAlignment="1">
      <alignment horizontal="center" wrapText="1"/>
    </xf>
    <xf numFmtId="0" fontId="41" fillId="0" borderId="33" xfId="0" applyFont="1" applyFill="1" applyBorder="1" applyAlignment="1">
      <alignment vertical="center" wrapText="1"/>
    </xf>
    <xf numFmtId="1" fontId="33" fillId="6" borderId="51" xfId="4" applyNumberFormat="1" applyFont="1" applyFill="1" applyBorder="1"/>
    <xf numFmtId="1" fontId="36" fillId="6" borderId="51" xfId="4" applyNumberFormat="1" applyFont="1" applyFill="1" applyBorder="1"/>
    <xf numFmtId="1" fontId="33" fillId="6" borderId="66" xfId="4" applyNumberFormat="1" applyFont="1" applyFill="1" applyBorder="1"/>
    <xf numFmtId="0" fontId="36" fillId="6" borderId="51" xfId="4" applyFont="1" applyFill="1" applyBorder="1"/>
    <xf numFmtId="0" fontId="39" fillId="6" borderId="51" xfId="4" applyFont="1" applyFill="1" applyBorder="1"/>
    <xf numFmtId="0" fontId="33" fillId="6" borderId="51" xfId="4" applyFont="1" applyFill="1" applyBorder="1"/>
    <xf numFmtId="0" fontId="33" fillId="6" borderId="66" xfId="4" applyFont="1" applyFill="1" applyBorder="1"/>
    <xf numFmtId="1" fontId="33" fillId="6" borderId="29" xfId="4" applyNumberFormat="1" applyFont="1" applyFill="1" applyBorder="1" applyAlignment="1">
      <alignment horizontal="center"/>
    </xf>
    <xf numFmtId="3" fontId="33" fillId="8" borderId="36" xfId="4" applyNumberFormat="1" applyFont="1" applyFill="1" applyBorder="1" applyAlignment="1">
      <alignment horizontal="center" vertical="center"/>
    </xf>
    <xf numFmtId="1" fontId="35" fillId="6" borderId="29" xfId="4" applyNumberFormat="1" applyFont="1" applyFill="1" applyBorder="1"/>
    <xf numFmtId="0" fontId="35" fillId="6" borderId="29" xfId="4" applyFont="1" applyFill="1" applyBorder="1"/>
    <xf numFmtId="0" fontId="35" fillId="6" borderId="30" xfId="4" applyFont="1" applyFill="1" applyBorder="1"/>
    <xf numFmtId="0" fontId="40" fillId="0" borderId="42" xfId="0" applyFont="1" applyFill="1" applyBorder="1" applyAlignment="1">
      <alignment horizontal="left" vertical="center" wrapText="1"/>
    </xf>
    <xf numFmtId="0" fontId="40" fillId="0" borderId="53" xfId="0" applyFont="1" applyFill="1" applyBorder="1" applyAlignment="1">
      <alignment horizontal="center" wrapText="1"/>
    </xf>
    <xf numFmtId="43" fontId="40" fillId="0" borderId="69" xfId="0" applyNumberFormat="1" applyFont="1" applyFill="1" applyBorder="1" applyAlignment="1">
      <alignment horizontal="center" wrapText="1"/>
    </xf>
    <xf numFmtId="170" fontId="40" fillId="0" borderId="42" xfId="1" applyNumberFormat="1" applyFont="1" applyFill="1" applyBorder="1" applyAlignment="1">
      <alignment horizontal="center" vertical="center" wrapText="1"/>
    </xf>
    <xf numFmtId="43" fontId="40" fillId="0" borderId="58" xfId="0" applyNumberFormat="1" applyFont="1" applyFill="1" applyBorder="1" applyAlignment="1">
      <alignment horizontal="center" wrapText="1"/>
    </xf>
    <xf numFmtId="170" fontId="40" fillId="0" borderId="45" xfId="1" applyNumberFormat="1" applyFont="1" applyFill="1" applyBorder="1" applyAlignment="1">
      <alignment horizontal="center" vertical="center" wrapText="1"/>
    </xf>
    <xf numFmtId="0" fontId="40" fillId="0" borderId="45" xfId="0" applyFont="1" applyFill="1" applyBorder="1" applyAlignment="1">
      <alignment horizontal="left" vertical="center" wrapText="1"/>
    </xf>
    <xf numFmtId="0" fontId="40" fillId="0" borderId="70" xfId="0" applyFont="1" applyFill="1" applyBorder="1" applyAlignment="1">
      <alignment horizontal="left" vertical="center" wrapText="1"/>
    </xf>
    <xf numFmtId="43" fontId="40" fillId="0" borderId="61" xfId="0" applyNumberFormat="1" applyFont="1" applyFill="1" applyBorder="1" applyAlignment="1">
      <alignment horizontal="center" wrapText="1"/>
    </xf>
    <xf numFmtId="0" fontId="35" fillId="5" borderId="29" xfId="0" applyFont="1" applyFill="1" applyBorder="1" applyAlignment="1">
      <alignment wrapText="1"/>
    </xf>
    <xf numFmtId="0" fontId="35" fillId="5" borderId="66" xfId="0" applyFont="1" applyFill="1" applyBorder="1" applyAlignment="1">
      <alignment horizontal="center" wrapText="1"/>
    </xf>
    <xf numFmtId="0" fontId="35" fillId="5" borderId="38" xfId="0" applyFont="1" applyFill="1" applyBorder="1" applyAlignment="1">
      <alignment horizontal="center" wrapText="1"/>
    </xf>
    <xf numFmtId="43" fontId="35" fillId="5" borderId="71" xfId="0" applyNumberFormat="1" applyFont="1" applyFill="1" applyBorder="1" applyAlignment="1">
      <alignment horizontal="center" wrapText="1"/>
    </xf>
    <xf numFmtId="43" fontId="40" fillId="0" borderId="40" xfId="0" applyNumberFormat="1" applyFont="1" applyFill="1" applyBorder="1" applyAlignment="1">
      <alignment horizontal="center" wrapText="1"/>
    </xf>
    <xf numFmtId="0" fontId="40" fillId="0" borderId="66" xfId="0" applyFont="1" applyFill="1" applyBorder="1" applyAlignment="1">
      <alignment horizontal="center" wrapText="1"/>
    </xf>
    <xf numFmtId="4" fontId="33" fillId="8" borderId="0" xfId="5" applyNumberFormat="1" applyFont="1" applyFill="1" applyBorder="1" applyAlignment="1">
      <alignment horizontal="center"/>
    </xf>
    <xf numFmtId="4" fontId="35" fillId="8" borderId="36" xfId="5" applyNumberFormat="1" applyFont="1" applyFill="1" applyBorder="1" applyAlignment="1">
      <alignment horizontal="center"/>
    </xf>
    <xf numFmtId="4" fontId="36" fillId="8" borderId="60" xfId="5" applyNumberFormat="1" applyFont="1" applyFill="1" applyBorder="1" applyAlignment="1">
      <alignment horizontal="center"/>
    </xf>
    <xf numFmtId="4" fontId="33" fillId="8" borderId="60" xfId="5" applyNumberFormat="1" applyFont="1" applyFill="1" applyBorder="1" applyAlignment="1">
      <alignment horizontal="center"/>
    </xf>
    <xf numFmtId="4" fontId="35" fillId="8" borderId="72" xfId="5" applyNumberFormat="1" applyFont="1" applyFill="1" applyBorder="1" applyAlignment="1">
      <alignment horizontal="center"/>
    </xf>
    <xf numFmtId="4" fontId="35" fillId="8" borderId="73" xfId="5" applyNumberFormat="1" applyFont="1" applyFill="1" applyBorder="1" applyAlignment="1">
      <alignment horizontal="center"/>
    </xf>
    <xf numFmtId="3" fontId="33" fillId="8" borderId="30" xfId="4" applyNumberFormat="1" applyFont="1" applyFill="1" applyBorder="1" applyAlignment="1">
      <alignment horizontal="center" vertical="center"/>
    </xf>
    <xf numFmtId="4" fontId="35" fillId="8" borderId="30" xfId="5" applyNumberFormat="1" applyFont="1" applyFill="1" applyBorder="1" applyAlignment="1">
      <alignment horizontal="center"/>
    </xf>
    <xf numFmtId="4" fontId="36" fillId="8" borderId="0" xfId="5" applyNumberFormat="1" applyFont="1" applyFill="1" applyBorder="1" applyAlignment="1">
      <alignment horizontal="center"/>
    </xf>
    <xf numFmtId="4" fontId="35" fillId="8" borderId="54" xfId="5" applyNumberFormat="1" applyFont="1" applyFill="1" applyBorder="1" applyAlignment="1">
      <alignment horizontal="center"/>
    </xf>
    <xf numFmtId="4" fontId="35" fillId="8" borderId="74" xfId="5" applyNumberFormat="1" applyFont="1" applyFill="1" applyBorder="1" applyAlignment="1">
      <alignment horizontal="center"/>
    </xf>
    <xf numFmtId="4" fontId="35" fillId="8" borderId="33" xfId="5" applyNumberFormat="1" applyFont="1" applyFill="1" applyBorder="1" applyAlignment="1">
      <alignment horizontal="center"/>
    </xf>
    <xf numFmtId="0" fontId="40" fillId="9" borderId="53" xfId="0" applyFont="1" applyFill="1" applyBorder="1" applyAlignment="1">
      <alignment horizontal="center" wrapText="1"/>
    </xf>
    <xf numFmtId="170" fontId="40" fillId="9" borderId="23" xfId="1" applyNumberFormat="1" applyFont="1" applyFill="1" applyBorder="1" applyAlignment="1">
      <alignment horizontal="center" wrapText="1"/>
    </xf>
    <xf numFmtId="43" fontId="40" fillId="9" borderId="69" xfId="0" applyNumberFormat="1" applyFont="1" applyFill="1" applyBorder="1" applyAlignment="1">
      <alignment horizontal="center" wrapText="1"/>
    </xf>
    <xf numFmtId="0" fontId="40" fillId="9" borderId="42" xfId="0" applyFont="1" applyFill="1" applyBorder="1" applyAlignment="1">
      <alignment horizontal="center" wrapText="1"/>
    </xf>
    <xf numFmtId="170" fontId="40" fillId="9" borderId="6" xfId="1" applyNumberFormat="1" applyFont="1" applyFill="1" applyBorder="1" applyAlignment="1">
      <alignment horizontal="center" wrapText="1"/>
    </xf>
    <xf numFmtId="43" fontId="40" fillId="9" borderId="40" xfId="0" applyNumberFormat="1" applyFont="1" applyFill="1" applyBorder="1" applyAlignment="1">
      <alignment horizontal="center" wrapText="1"/>
    </xf>
    <xf numFmtId="170" fontId="40" fillId="9" borderId="2" xfId="1" applyNumberFormat="1" applyFont="1" applyFill="1" applyBorder="1" applyAlignment="1">
      <alignment horizontal="center" wrapText="1"/>
    </xf>
    <xf numFmtId="43" fontId="40" fillId="9" borderId="58" xfId="0" applyNumberFormat="1" applyFont="1" applyFill="1" applyBorder="1" applyAlignment="1">
      <alignment horizontal="center" wrapText="1"/>
    </xf>
    <xf numFmtId="0" fontId="40" fillId="9" borderId="66" xfId="0" applyFont="1" applyFill="1" applyBorder="1" applyAlignment="1">
      <alignment horizontal="center" wrapText="1"/>
    </xf>
    <xf numFmtId="170" fontId="40" fillId="9" borderId="26" xfId="1" applyNumberFormat="1" applyFont="1" applyFill="1" applyBorder="1" applyAlignment="1">
      <alignment horizontal="center" wrapText="1"/>
    </xf>
    <xf numFmtId="43" fontId="40" fillId="9" borderId="61" xfId="0" applyNumberFormat="1" applyFont="1" applyFill="1" applyBorder="1" applyAlignment="1">
      <alignment horizontal="center" wrapText="1"/>
    </xf>
    <xf numFmtId="0" fontId="7" fillId="0" borderId="0" xfId="0" applyFont="1"/>
    <xf numFmtId="43" fontId="49" fillId="0" borderId="0" xfId="0" applyNumberFormat="1" applyFont="1"/>
    <xf numFmtId="0" fontId="49" fillId="0" borderId="0" xfId="0" applyFont="1"/>
    <xf numFmtId="0" fontId="5" fillId="2" borderId="0" xfId="3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2" borderId="0" xfId="3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9" fillId="0" borderId="0" xfId="3" applyFont="1" applyFill="1" applyBorder="1" applyAlignment="1">
      <alignment wrapText="1"/>
    </xf>
    <xf numFmtId="0" fontId="0" fillId="0" borderId="0" xfId="0" applyFill="1" applyAlignment="1">
      <alignment wrapText="1"/>
    </xf>
    <xf numFmtId="0" fontId="33" fillId="8" borderId="8" xfId="0" applyFont="1" applyFill="1" applyBorder="1" applyAlignment="1">
      <alignment horizontal="center" vertical="center" wrapText="1"/>
    </xf>
    <xf numFmtId="0" fontId="33" fillId="8" borderId="9" xfId="0" applyFont="1" applyFill="1" applyBorder="1" applyAlignment="1">
      <alignment horizontal="center" vertical="center" wrapText="1"/>
    </xf>
    <xf numFmtId="0" fontId="33" fillId="8" borderId="10" xfId="0" applyFont="1" applyFill="1" applyBorder="1" applyAlignment="1">
      <alignment horizontal="center" vertical="center" wrapText="1"/>
    </xf>
    <xf numFmtId="0" fontId="33" fillId="8" borderId="15" xfId="0" applyFont="1" applyFill="1" applyBorder="1" applyAlignment="1">
      <alignment horizontal="center" vertical="center" wrapText="1"/>
    </xf>
    <xf numFmtId="0" fontId="33" fillId="8" borderId="1" xfId="0" applyFont="1" applyFill="1" applyBorder="1" applyAlignment="1">
      <alignment horizontal="center" vertical="center" wrapText="1"/>
    </xf>
    <xf numFmtId="0" fontId="33" fillId="8" borderId="16" xfId="0" applyFont="1" applyFill="1" applyBorder="1" applyAlignment="1">
      <alignment horizontal="center" vertical="center" wrapText="1"/>
    </xf>
    <xf numFmtId="0" fontId="33" fillId="6" borderId="19" xfId="4" applyFont="1" applyFill="1" applyBorder="1" applyAlignment="1">
      <alignment horizontal="center"/>
    </xf>
    <xf numFmtId="0" fontId="33" fillId="6" borderId="20" xfId="4" applyFont="1" applyFill="1" applyBorder="1" applyAlignment="1">
      <alignment horizontal="center"/>
    </xf>
    <xf numFmtId="0" fontId="35" fillId="0" borderId="23" xfId="0" applyFont="1" applyBorder="1" applyAlignment="1">
      <alignment horizontal="left"/>
    </xf>
    <xf numFmtId="0" fontId="35" fillId="0" borderId="26" xfId="0" applyFont="1" applyBorder="1" applyAlignment="1">
      <alignment horizontal="left"/>
    </xf>
    <xf numFmtId="0" fontId="35" fillId="6" borderId="0" xfId="4" applyFont="1" applyFill="1" applyBorder="1" applyAlignment="1">
      <alignment horizontal="center" vertical="center" wrapText="1"/>
    </xf>
    <xf numFmtId="0" fontId="36" fillId="6" borderId="8" xfId="4" applyFont="1" applyFill="1" applyBorder="1" applyAlignment="1">
      <alignment horizontal="left"/>
    </xf>
    <xf numFmtId="0" fontId="37" fillId="6" borderId="9" xfId="4" applyFont="1" applyFill="1" applyBorder="1" applyAlignment="1"/>
    <xf numFmtId="0" fontId="36" fillId="6" borderId="13" xfId="4" applyFont="1" applyFill="1" applyBorder="1" applyAlignment="1">
      <alignment horizontal="left"/>
    </xf>
    <xf numFmtId="0" fontId="37" fillId="6" borderId="0" xfId="4" applyFont="1" applyFill="1" applyBorder="1" applyAlignment="1"/>
    <xf numFmtId="0" fontId="37" fillId="6" borderId="15" xfId="4" applyFont="1" applyFill="1" applyBorder="1" applyAlignment="1"/>
    <xf numFmtId="0" fontId="37" fillId="6" borderId="1" xfId="4" applyFont="1" applyFill="1" applyBorder="1" applyAlignment="1"/>
    <xf numFmtId="0" fontId="38" fillId="6" borderId="11" xfId="4" applyFont="1" applyFill="1" applyBorder="1" applyAlignment="1">
      <alignment horizontal="center" vertical="center" wrapText="1"/>
    </xf>
    <xf numFmtId="0" fontId="38" fillId="6" borderId="3" xfId="4" applyFont="1" applyFill="1" applyBorder="1" applyAlignment="1">
      <alignment horizontal="center" vertical="center" wrapText="1"/>
    </xf>
    <xf numFmtId="0" fontId="38" fillId="6" borderId="6" xfId="4" applyFont="1" applyFill="1" applyBorder="1" applyAlignment="1">
      <alignment horizontal="center" vertical="center" wrapText="1"/>
    </xf>
    <xf numFmtId="0" fontId="38" fillId="6" borderId="8" xfId="4" applyFont="1" applyFill="1" applyBorder="1" applyAlignment="1">
      <alignment horizontal="center" vertical="center" wrapText="1"/>
    </xf>
    <xf numFmtId="0" fontId="38" fillId="6" borderId="9" xfId="4" applyFont="1" applyFill="1" applyBorder="1" applyAlignment="1">
      <alignment horizontal="center" vertical="center" wrapText="1"/>
    </xf>
    <xf numFmtId="0" fontId="38" fillId="6" borderId="10" xfId="4" applyFont="1" applyFill="1" applyBorder="1" applyAlignment="1">
      <alignment horizontal="center" vertical="center" wrapText="1"/>
    </xf>
    <xf numFmtId="0" fontId="38" fillId="6" borderId="15" xfId="4" applyFont="1" applyFill="1" applyBorder="1" applyAlignment="1">
      <alignment horizontal="center" vertical="center" wrapText="1"/>
    </xf>
    <xf numFmtId="0" fontId="38" fillId="6" borderId="1" xfId="4" applyFont="1" applyFill="1" applyBorder="1" applyAlignment="1">
      <alignment horizontal="center" vertical="center" wrapText="1"/>
    </xf>
    <xf numFmtId="0" fontId="38" fillId="6" borderId="16" xfId="4" applyFont="1" applyFill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40" fillId="0" borderId="41" xfId="0" applyFont="1" applyBorder="1" applyAlignment="1">
      <alignment horizontal="center" vertical="center" wrapText="1"/>
    </xf>
    <xf numFmtId="0" fontId="40" fillId="0" borderId="35" xfId="0" applyFont="1" applyBorder="1" applyAlignment="1">
      <alignment horizontal="center" vertical="center" wrapText="1"/>
    </xf>
    <xf numFmtId="0" fontId="40" fillId="0" borderId="17" xfId="0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0" fontId="40" fillId="0" borderId="40" xfId="0" applyFont="1" applyFill="1" applyBorder="1" applyAlignment="1">
      <alignment horizontal="center" vertical="center" wrapText="1"/>
    </xf>
    <xf numFmtId="0" fontId="40" fillId="0" borderId="61" xfId="0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40" fillId="0" borderId="27" xfId="0" applyFont="1" applyFill="1" applyBorder="1" applyAlignment="1">
      <alignment horizontal="center"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40" fillId="0" borderId="26" xfId="0" applyFont="1" applyFill="1" applyBorder="1" applyAlignment="1">
      <alignment horizontal="center" vertical="center" wrapText="1"/>
    </xf>
    <xf numFmtId="0" fontId="40" fillId="0" borderId="19" xfId="0" applyFont="1" applyFill="1" applyBorder="1" applyAlignment="1">
      <alignment horizontal="center" vertical="center" wrapText="1"/>
    </xf>
    <xf numFmtId="0" fontId="40" fillId="0" borderId="18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wrapText="1"/>
    </xf>
    <xf numFmtId="0" fontId="40" fillId="0" borderId="28" xfId="0" applyFont="1" applyFill="1" applyBorder="1" applyAlignment="1">
      <alignment horizontal="center" vertical="center" wrapText="1"/>
    </xf>
    <xf numFmtId="0" fontId="40" fillId="0" borderId="60" xfId="0" applyFont="1" applyFill="1" applyBorder="1" applyAlignment="1">
      <alignment horizontal="center" vertical="center" wrapText="1"/>
    </xf>
    <xf numFmtId="0" fontId="40" fillId="0" borderId="33" xfId="0" applyFont="1" applyFill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40" fillId="6" borderId="41" xfId="0" applyFont="1" applyFill="1" applyBorder="1" applyAlignment="1">
      <alignment horizontal="center" vertical="center" wrapText="1"/>
    </xf>
    <xf numFmtId="0" fontId="40" fillId="6" borderId="34" xfId="0" applyFont="1" applyFill="1" applyBorder="1" applyAlignment="1">
      <alignment horizontal="center" vertical="center" wrapText="1"/>
    </xf>
    <xf numFmtId="0" fontId="40" fillId="6" borderId="65" xfId="0" applyFont="1" applyFill="1" applyBorder="1" applyAlignment="1">
      <alignment horizontal="center" vertical="center" wrapText="1"/>
    </xf>
    <xf numFmtId="0" fontId="41" fillId="0" borderId="51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1" fillId="0" borderId="53" xfId="0" applyFont="1" applyFill="1" applyBorder="1" applyAlignment="1">
      <alignment horizontal="center" vertical="center" wrapText="1"/>
    </xf>
    <xf numFmtId="0" fontId="41" fillId="0" borderId="54" xfId="0" applyFont="1" applyFill="1" applyBorder="1" applyAlignment="1">
      <alignment horizontal="center" vertical="center" wrapText="1"/>
    </xf>
    <xf numFmtId="0" fontId="41" fillId="0" borderId="55" xfId="0" applyFont="1" applyFill="1" applyBorder="1" applyAlignment="1">
      <alignment horizontal="center" vertical="center" wrapText="1"/>
    </xf>
    <xf numFmtId="4" fontId="35" fillId="0" borderId="29" xfId="0" applyNumberFormat="1" applyFont="1" applyFill="1" applyBorder="1" applyAlignment="1">
      <alignment horizontal="center" vertical="center" wrapText="1"/>
    </xf>
    <xf numFmtId="4" fontId="35" fillId="0" borderId="30" xfId="0" applyNumberFormat="1" applyFont="1" applyFill="1" applyBorder="1" applyAlignment="1">
      <alignment horizontal="center" vertical="center" wrapText="1"/>
    </xf>
    <xf numFmtId="4" fontId="35" fillId="0" borderId="32" xfId="0" applyNumberFormat="1" applyFont="1" applyFill="1" applyBorder="1" applyAlignment="1">
      <alignment horizontal="center" vertical="center" wrapText="1"/>
    </xf>
    <xf numFmtId="4" fontId="35" fillId="0" borderId="31" xfId="0" applyNumberFormat="1" applyFont="1" applyFill="1" applyBorder="1" applyAlignment="1">
      <alignment horizontal="center" vertical="center" wrapText="1"/>
    </xf>
    <xf numFmtId="0" fontId="41" fillId="6" borderId="53" xfId="0" applyFont="1" applyFill="1" applyBorder="1" applyAlignment="1">
      <alignment horizontal="center" vertical="center" wrapText="1"/>
    </xf>
    <xf numFmtId="0" fontId="41" fillId="6" borderId="54" xfId="0" applyFont="1" applyFill="1" applyBorder="1" applyAlignment="1">
      <alignment horizontal="center" vertical="center" wrapText="1"/>
    </xf>
    <xf numFmtId="0" fontId="41" fillId="6" borderId="55" xfId="0" applyFont="1" applyFill="1" applyBorder="1" applyAlignment="1">
      <alignment horizontal="center" vertical="center" wrapText="1"/>
    </xf>
    <xf numFmtId="0" fontId="43" fillId="0" borderId="45" xfId="0" applyFont="1" applyFill="1" applyBorder="1" applyAlignment="1">
      <alignment horizontal="center" vertical="center" wrapText="1"/>
    </xf>
    <xf numFmtId="0" fontId="43" fillId="0" borderId="20" xfId="0" applyFont="1" applyFill="1" applyBorder="1" applyAlignment="1">
      <alignment horizontal="center" vertical="center" wrapText="1"/>
    </xf>
    <xf numFmtId="0" fontId="43" fillId="0" borderId="46" xfId="0" applyFont="1" applyFill="1" applyBorder="1" applyAlignment="1">
      <alignment horizontal="center" vertical="center" wrapText="1"/>
    </xf>
    <xf numFmtId="0" fontId="43" fillId="0" borderId="53" xfId="0" applyFont="1" applyFill="1" applyBorder="1" applyAlignment="1">
      <alignment horizontal="center" vertical="center" wrapText="1"/>
    </xf>
    <xf numFmtId="0" fontId="43" fillId="0" borderId="54" xfId="0" applyFont="1" applyFill="1" applyBorder="1" applyAlignment="1">
      <alignment horizontal="center" vertical="center" wrapText="1"/>
    </xf>
    <xf numFmtId="0" fontId="43" fillId="0" borderId="55" xfId="0" applyFont="1" applyFill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0" fontId="41" fillId="0" borderId="33" xfId="0" applyFont="1" applyFill="1" applyBorder="1" applyAlignment="1">
      <alignment horizontal="center" vertical="center" wrapText="1"/>
    </xf>
    <xf numFmtId="0" fontId="41" fillId="0" borderId="53" xfId="0" applyFont="1" applyFill="1" applyBorder="1" applyAlignment="1">
      <alignment horizontal="center" wrapText="1"/>
    </xf>
    <xf numFmtId="0" fontId="41" fillId="0" borderId="54" xfId="0" applyFont="1" applyFill="1" applyBorder="1" applyAlignment="1">
      <alignment horizontal="center" wrapText="1"/>
    </xf>
    <xf numFmtId="0" fontId="41" fillId="0" borderId="55" xfId="0" applyFont="1" applyFill="1" applyBorder="1" applyAlignment="1">
      <alignment horizontal="center" wrapText="1"/>
    </xf>
    <xf numFmtId="0" fontId="43" fillId="0" borderId="53" xfId="0" applyFont="1" applyFill="1" applyBorder="1" applyAlignment="1">
      <alignment horizontal="center" wrapText="1"/>
    </xf>
    <xf numFmtId="0" fontId="43" fillId="0" borderId="54" xfId="0" applyFont="1" applyFill="1" applyBorder="1" applyAlignment="1">
      <alignment horizontal="center" wrapText="1"/>
    </xf>
    <xf numFmtId="0" fontId="43" fillId="0" borderId="55" xfId="0" applyFont="1" applyFill="1" applyBorder="1" applyAlignment="1">
      <alignment horizontal="center" wrapText="1"/>
    </xf>
    <xf numFmtId="0" fontId="44" fillId="0" borderId="49" xfId="0" applyFont="1" applyFill="1" applyBorder="1" applyAlignment="1">
      <alignment horizontal="left" wrapText="1"/>
    </xf>
    <xf numFmtId="0" fontId="44" fillId="0" borderId="9" xfId="0" applyFont="1" applyFill="1" applyBorder="1" applyAlignment="1">
      <alignment horizontal="left" wrapText="1"/>
    </xf>
    <xf numFmtId="0" fontId="44" fillId="0" borderId="50" xfId="0" applyFont="1" applyFill="1" applyBorder="1" applyAlignment="1">
      <alignment horizontal="left" wrapText="1"/>
    </xf>
    <xf numFmtId="0" fontId="44" fillId="0" borderId="51" xfId="0" applyFont="1" applyFill="1" applyBorder="1" applyAlignment="1">
      <alignment horizontal="left" vertical="center" wrapText="1"/>
    </xf>
    <xf numFmtId="0" fontId="44" fillId="0" borderId="0" xfId="0" applyFont="1" applyFill="1" applyBorder="1" applyAlignment="1">
      <alignment horizontal="left" vertical="center" wrapText="1"/>
    </xf>
    <xf numFmtId="0" fontId="44" fillId="0" borderId="52" xfId="0" applyFont="1" applyFill="1" applyBorder="1" applyAlignment="1">
      <alignment horizontal="left" vertical="center" wrapText="1"/>
    </xf>
    <xf numFmtId="0" fontId="45" fillId="0" borderId="5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45" fillId="0" borderId="52" xfId="0" applyFont="1" applyFill="1" applyBorder="1" applyAlignment="1">
      <alignment horizontal="center" vertical="center" wrapText="1"/>
    </xf>
    <xf numFmtId="0" fontId="41" fillId="0" borderId="42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43" xfId="0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left" wrapText="1"/>
    </xf>
    <xf numFmtId="0" fontId="35" fillId="0" borderId="24" xfId="0" applyFont="1" applyBorder="1" applyAlignment="1">
      <alignment horizontal="left" wrapText="1"/>
    </xf>
    <xf numFmtId="0" fontId="35" fillId="0" borderId="26" xfId="0" applyFont="1" applyBorder="1" applyAlignment="1">
      <alignment horizontal="left" wrapText="1"/>
    </xf>
    <xf numFmtId="0" fontId="35" fillId="0" borderId="27" xfId="0" applyFont="1" applyBorder="1" applyAlignment="1">
      <alignment horizontal="left" wrapText="1"/>
    </xf>
    <xf numFmtId="0" fontId="38" fillId="8" borderId="28" xfId="4" applyFont="1" applyFill="1" applyBorder="1" applyAlignment="1">
      <alignment horizontal="center" vertical="center" wrapText="1"/>
    </xf>
    <xf numFmtId="0" fontId="38" fillId="8" borderId="60" xfId="4" applyFont="1" applyFill="1" applyBorder="1" applyAlignment="1">
      <alignment horizontal="center" vertical="center" wrapText="1"/>
    </xf>
    <xf numFmtId="1" fontId="36" fillId="6" borderId="28" xfId="4" applyNumberFormat="1" applyFont="1" applyFill="1" applyBorder="1" applyAlignment="1">
      <alignment horizontal="center" vertical="center"/>
    </xf>
    <xf numFmtId="1" fontId="36" fillId="6" borderId="60" xfId="4" applyNumberFormat="1" applyFont="1" applyFill="1" applyBorder="1" applyAlignment="1">
      <alignment horizontal="center" vertical="center"/>
    </xf>
    <xf numFmtId="0" fontId="33" fillId="6" borderId="29" xfId="4" applyFont="1" applyFill="1" applyBorder="1" applyAlignment="1">
      <alignment horizontal="center"/>
    </xf>
    <xf numFmtId="0" fontId="33" fillId="6" borderId="30" xfId="4" applyFont="1" applyFill="1" applyBorder="1" applyAlignment="1">
      <alignment horizontal="center"/>
    </xf>
    <xf numFmtId="0" fontId="36" fillId="6" borderId="49" xfId="4" applyFont="1" applyFill="1" applyBorder="1" applyAlignment="1">
      <alignment horizontal="center" vertical="center"/>
    </xf>
    <xf numFmtId="0" fontId="37" fillId="6" borderId="9" xfId="4" applyFont="1" applyFill="1" applyBorder="1" applyAlignment="1">
      <alignment horizontal="center" vertical="center"/>
    </xf>
    <xf numFmtId="0" fontId="36" fillId="6" borderId="51" xfId="4" applyFont="1" applyFill="1" applyBorder="1" applyAlignment="1">
      <alignment horizontal="center" vertical="center"/>
    </xf>
    <xf numFmtId="0" fontId="37" fillId="6" borderId="0" xfId="4" applyFont="1" applyFill="1" applyBorder="1" applyAlignment="1">
      <alignment horizontal="center" vertical="center"/>
    </xf>
    <xf numFmtId="0" fontId="37" fillId="6" borderId="51" xfId="4" applyFont="1" applyFill="1" applyBorder="1" applyAlignment="1">
      <alignment horizontal="center" vertical="center"/>
    </xf>
    <xf numFmtId="0" fontId="38" fillId="8" borderId="9" xfId="4" applyFont="1" applyFill="1" applyBorder="1" applyAlignment="1">
      <alignment horizontal="center" vertical="center" wrapText="1"/>
    </xf>
    <xf numFmtId="0" fontId="38" fillId="8" borderId="0" xfId="4" applyFont="1" applyFill="1" applyBorder="1" applyAlignment="1">
      <alignment horizontal="center" vertical="center" wrapText="1"/>
    </xf>
    <xf numFmtId="0" fontId="33" fillId="6" borderId="51" xfId="4" applyFont="1" applyFill="1" applyBorder="1" applyAlignment="1">
      <alignment horizontal="left" wrapText="1"/>
    </xf>
    <xf numFmtId="0" fontId="33" fillId="6" borderId="0" xfId="4" applyFont="1" applyFill="1" applyBorder="1" applyAlignment="1">
      <alignment horizontal="left" wrapText="1"/>
    </xf>
    <xf numFmtId="0" fontId="33" fillId="6" borderId="52" xfId="4" applyFont="1" applyFill="1" applyBorder="1" applyAlignment="1">
      <alignment horizontal="left" wrapText="1"/>
    </xf>
    <xf numFmtId="0" fontId="40" fillId="0" borderId="30" xfId="0" applyFont="1" applyFill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 wrapText="1"/>
    </xf>
    <xf numFmtId="0" fontId="40" fillId="0" borderId="23" xfId="0" applyFont="1" applyFill="1" applyBorder="1" applyAlignment="1">
      <alignment horizontal="center" vertical="center" wrapText="1"/>
    </xf>
    <xf numFmtId="0" fontId="40" fillId="0" borderId="69" xfId="0" applyFont="1" applyFill="1" applyBorder="1" applyAlignment="1">
      <alignment horizontal="center" vertical="center" wrapText="1"/>
    </xf>
    <xf numFmtId="0" fontId="40" fillId="0" borderId="58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0" fillId="9" borderId="30" xfId="0" applyFont="1" applyFill="1" applyBorder="1" applyAlignment="1">
      <alignment horizontal="center" vertical="center" wrapText="1"/>
    </xf>
    <xf numFmtId="0" fontId="40" fillId="9" borderId="31" xfId="0" applyFont="1" applyFill="1" applyBorder="1" applyAlignment="1">
      <alignment horizontal="center" vertical="center" wrapText="1"/>
    </xf>
    <xf numFmtId="0" fontId="40" fillId="9" borderId="7" xfId="0" applyFont="1" applyFill="1" applyBorder="1" applyAlignment="1">
      <alignment horizontal="center" vertical="center" wrapText="1"/>
    </xf>
    <xf numFmtId="0" fontId="40" fillId="9" borderId="12" xfId="0" applyFont="1" applyFill="1" applyBorder="1" applyAlignment="1">
      <alignment horizontal="center" vertical="center" wrapText="1"/>
    </xf>
    <xf numFmtId="0" fontId="40" fillId="9" borderId="11" xfId="0" applyFont="1" applyFill="1" applyBorder="1" applyAlignment="1">
      <alignment horizontal="center" vertical="center" wrapText="1"/>
    </xf>
    <xf numFmtId="0" fontId="40" fillId="9" borderId="3" xfId="0" applyFont="1" applyFill="1" applyBorder="1" applyAlignment="1">
      <alignment horizontal="center" vertical="center" wrapText="1"/>
    </xf>
    <xf numFmtId="0" fontId="40" fillId="9" borderId="8" xfId="0" applyFont="1" applyFill="1" applyBorder="1" applyAlignment="1">
      <alignment horizontal="center" vertical="center" wrapText="1"/>
    </xf>
    <xf numFmtId="0" fontId="40" fillId="9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0" fillId="9" borderId="67" xfId="0" applyFont="1" applyFill="1" applyBorder="1" applyAlignment="1">
      <alignment horizontal="center" vertical="center" wrapText="1"/>
    </xf>
    <xf numFmtId="0" fontId="40" fillId="9" borderId="68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0" fillId="0" borderId="31" xfId="0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40" fillId="0" borderId="8" xfId="0" applyFont="1" applyFill="1" applyBorder="1" applyAlignment="1">
      <alignment horizontal="center" vertical="center" wrapText="1"/>
    </xf>
    <xf numFmtId="0" fontId="40" fillId="0" borderId="13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4"/>
    <cellStyle name="Обычный_Лист1" xfId="3"/>
    <cellStyle name="Процентный" xfId="2" builtinId="5"/>
    <cellStyle name="Финансовый" xfId="1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212"/>
  <sheetViews>
    <sheetView topLeftCell="A160" zoomScaleNormal="100" workbookViewId="0">
      <selection activeCell="K205" sqref="K205:K207"/>
    </sheetView>
  </sheetViews>
  <sheetFormatPr defaultRowHeight="12.75" x14ac:dyDescent="0.2"/>
  <cols>
    <col min="1" max="1" width="26.28515625" customWidth="1"/>
    <col min="2" max="2" width="4.140625" customWidth="1"/>
    <col min="3" max="3" width="28.7109375" customWidth="1"/>
    <col min="4" max="4" width="11.28515625" bestFit="1" customWidth="1"/>
    <col min="5" max="5" width="0.140625" hidden="1" customWidth="1"/>
    <col min="6" max="6" width="13.7109375" hidden="1" customWidth="1"/>
    <col min="7" max="7" width="10.140625" hidden="1" customWidth="1"/>
    <col min="8" max="8" width="10.5703125" hidden="1" customWidth="1"/>
    <col min="9" max="9" width="12" hidden="1" customWidth="1"/>
    <col min="10" max="10" width="0.140625" customWidth="1"/>
    <col min="11" max="11" width="12.5703125" customWidth="1"/>
    <col min="12" max="12" width="17.7109375" customWidth="1"/>
    <col min="13" max="13" width="6" customWidth="1"/>
    <col min="14" max="14" width="8.42578125" hidden="1" customWidth="1"/>
    <col min="15" max="15" width="12.28515625" bestFit="1" customWidth="1"/>
    <col min="16" max="16" width="16.28515625" customWidth="1"/>
    <col min="17" max="17" width="13.5703125" customWidth="1"/>
    <col min="18" max="18" width="13" style="38" customWidth="1"/>
    <col min="19" max="19" width="12.28515625" bestFit="1" customWidth="1"/>
    <col min="20" max="20" width="14" customWidth="1"/>
    <col min="21" max="21" width="14.85546875" customWidth="1"/>
    <col min="22" max="22" width="13" customWidth="1"/>
    <col min="23" max="23" width="12.28515625" bestFit="1" customWidth="1"/>
    <col min="24" max="24" width="12.28515625" customWidth="1"/>
    <col min="25" max="25" width="15.85546875" bestFit="1" customWidth="1"/>
    <col min="26" max="26" width="12.28515625" customWidth="1"/>
    <col min="27" max="27" width="14.28515625" customWidth="1"/>
    <col min="28" max="29" width="12.28515625" customWidth="1"/>
    <col min="30" max="30" width="14.140625" customWidth="1"/>
    <col min="31" max="31" width="12.28515625" bestFit="1" customWidth="1"/>
    <col min="32" max="32" width="14.140625" customWidth="1"/>
    <col min="33" max="33" width="13.42578125" bestFit="1" customWidth="1"/>
    <col min="34" max="34" width="10.140625" bestFit="1" customWidth="1"/>
  </cols>
  <sheetData>
    <row r="1" spans="1:34" ht="15.75" x14ac:dyDescent="0.25">
      <c r="A1" s="1" t="s">
        <v>0</v>
      </c>
      <c r="B1" s="2"/>
      <c r="C1" s="1"/>
      <c r="D1" s="1"/>
      <c r="E1" s="3"/>
      <c r="F1" s="4"/>
      <c r="G1" s="5"/>
      <c r="H1" s="5"/>
      <c r="I1" s="5"/>
      <c r="J1" s="5"/>
      <c r="K1" s="5"/>
      <c r="L1" s="6"/>
      <c r="M1" s="7"/>
      <c r="N1" s="1"/>
      <c r="O1" s="1"/>
      <c r="P1" s="7" t="s">
        <v>1</v>
      </c>
      <c r="Q1" s="8"/>
      <c r="R1" s="9"/>
      <c r="S1" s="1"/>
      <c r="T1" s="7"/>
      <c r="U1" s="1"/>
      <c r="W1" s="1"/>
      <c r="X1" s="1"/>
      <c r="Y1" s="1"/>
      <c r="Z1" s="1"/>
      <c r="AA1" s="1"/>
      <c r="AB1" s="1"/>
      <c r="AC1" s="1"/>
      <c r="AE1" s="1"/>
      <c r="AG1" s="1"/>
    </row>
    <row r="2" spans="1:34" x14ac:dyDescent="0.2">
      <c r="A2" s="7" t="s">
        <v>2</v>
      </c>
      <c r="B2" s="2"/>
      <c r="C2" s="7"/>
      <c r="D2" s="1"/>
      <c r="E2" s="3"/>
      <c r="F2" s="4"/>
      <c r="G2" s="4"/>
      <c r="H2" s="4"/>
      <c r="I2" s="4"/>
      <c r="J2" s="4"/>
      <c r="K2" s="4"/>
      <c r="L2" s="10"/>
      <c r="M2" s="1"/>
      <c r="N2" s="1"/>
      <c r="O2" s="1"/>
      <c r="P2" s="11" t="s">
        <v>3</v>
      </c>
      <c r="Q2" s="12"/>
      <c r="R2" s="13"/>
      <c r="S2" s="1"/>
      <c r="T2" s="11"/>
      <c r="U2" s="1"/>
      <c r="W2" s="1"/>
      <c r="X2" s="1"/>
      <c r="Y2" s="1"/>
      <c r="Z2" s="1"/>
      <c r="AA2" s="1"/>
      <c r="AB2" s="1"/>
      <c r="AC2" s="1"/>
      <c r="AE2" s="1"/>
      <c r="AG2" s="1"/>
    </row>
    <row r="3" spans="1:34" ht="15.75" x14ac:dyDescent="0.2">
      <c r="A3" s="463" t="s">
        <v>4</v>
      </c>
      <c r="B3" s="464"/>
      <c r="C3" s="464"/>
      <c r="D3" s="14"/>
      <c r="E3" s="15"/>
      <c r="F3" s="16"/>
      <c r="G3" s="16"/>
      <c r="H3" s="16"/>
      <c r="I3" s="16"/>
      <c r="J3" s="16"/>
      <c r="K3" s="16"/>
      <c r="L3" s="17"/>
      <c r="M3" s="18"/>
      <c r="N3" s="19"/>
      <c r="O3" s="20"/>
      <c r="P3" s="21" t="s">
        <v>5</v>
      </c>
      <c r="Q3" s="22"/>
      <c r="R3" s="23"/>
      <c r="S3" s="20"/>
      <c r="T3" s="21"/>
      <c r="U3" s="20"/>
      <c r="W3" s="20"/>
      <c r="X3" s="20"/>
      <c r="Y3" s="20"/>
      <c r="Z3" s="20"/>
      <c r="AA3" s="20"/>
      <c r="AB3" s="20"/>
      <c r="AC3" s="20"/>
      <c r="AE3" s="20"/>
      <c r="AG3" s="20"/>
    </row>
    <row r="4" spans="1:34" ht="9.75" customHeight="1" x14ac:dyDescent="0.2">
      <c r="A4" s="24"/>
      <c r="B4" s="25"/>
      <c r="C4" s="26"/>
      <c r="D4" s="14"/>
      <c r="E4" s="15"/>
      <c r="F4" s="16"/>
      <c r="G4" s="16"/>
      <c r="H4" s="16"/>
      <c r="I4" s="16"/>
      <c r="J4" s="16"/>
      <c r="K4" s="16"/>
      <c r="L4" s="17"/>
      <c r="M4" s="18"/>
      <c r="N4" s="19"/>
      <c r="O4" s="20"/>
      <c r="P4" s="21"/>
      <c r="Q4" s="22"/>
      <c r="R4" s="23"/>
      <c r="S4" s="20"/>
      <c r="T4" s="21"/>
      <c r="U4" s="20"/>
      <c r="W4" s="20"/>
      <c r="X4" s="20"/>
      <c r="Y4" s="20"/>
      <c r="Z4" s="20"/>
      <c r="AA4" s="20"/>
      <c r="AB4" s="20"/>
      <c r="AC4" s="20"/>
      <c r="AE4" s="20"/>
      <c r="AG4" s="20"/>
    </row>
    <row r="5" spans="1:34" ht="19.5" hidden="1" x14ac:dyDescent="0.2">
      <c r="A5" s="19"/>
      <c r="B5" s="25"/>
      <c r="C5" s="27"/>
      <c r="D5" s="28"/>
      <c r="E5" s="465"/>
      <c r="F5" s="465"/>
      <c r="G5" s="465"/>
      <c r="H5" s="465"/>
      <c r="I5" s="465"/>
      <c r="J5" s="465"/>
      <c r="K5" s="465"/>
      <c r="L5" s="466"/>
      <c r="M5" s="19"/>
      <c r="N5" s="19"/>
      <c r="P5" s="29"/>
      <c r="Q5" s="30"/>
      <c r="R5" s="31"/>
      <c r="T5" s="29"/>
    </row>
    <row r="6" spans="1:34" ht="19.5" x14ac:dyDescent="0.2">
      <c r="A6" s="19"/>
      <c r="B6" s="25"/>
      <c r="C6" s="32"/>
      <c r="D6" s="28"/>
      <c r="E6" s="15"/>
      <c r="F6" s="16"/>
      <c r="G6" s="16"/>
      <c r="H6" s="16"/>
      <c r="I6" s="16"/>
      <c r="J6" s="16"/>
      <c r="K6" s="16"/>
      <c r="L6" s="465"/>
      <c r="M6" s="466"/>
      <c r="N6" s="19"/>
      <c r="O6" s="33"/>
      <c r="P6" s="33" t="s">
        <v>6</v>
      </c>
      <c r="Q6" s="33"/>
      <c r="R6" s="31"/>
      <c r="S6" s="33"/>
      <c r="T6" s="33"/>
      <c r="U6" s="33"/>
      <c r="W6" s="33"/>
      <c r="X6" s="33"/>
      <c r="Y6" s="33"/>
      <c r="Z6" s="33"/>
      <c r="AA6" s="33"/>
      <c r="AB6" s="33"/>
      <c r="AC6" s="33"/>
      <c r="AE6" s="33"/>
      <c r="AG6" s="33"/>
    </row>
    <row r="7" spans="1:34" ht="15.75" customHeight="1" x14ac:dyDescent="0.25">
      <c r="A7" s="34" t="s">
        <v>217</v>
      </c>
      <c r="B7" s="35"/>
      <c r="C7" s="34"/>
      <c r="D7" s="35"/>
      <c r="E7" s="36"/>
      <c r="F7" s="36"/>
      <c r="G7" s="36"/>
      <c r="H7" s="36"/>
      <c r="I7" s="36"/>
      <c r="J7" s="36"/>
      <c r="K7" s="36"/>
      <c r="L7" s="37"/>
      <c r="M7" s="19"/>
      <c r="N7" s="19"/>
      <c r="O7" s="467" t="s">
        <v>188</v>
      </c>
      <c r="P7" s="468"/>
      <c r="Q7" s="468"/>
      <c r="R7" s="468"/>
      <c r="T7" s="38"/>
    </row>
    <row r="8" spans="1:34" ht="19.5" customHeight="1" x14ac:dyDescent="0.2">
      <c r="A8" s="19"/>
      <c r="B8" s="25"/>
      <c r="C8" s="27"/>
      <c r="D8" s="39"/>
      <c r="E8" s="40"/>
      <c r="F8" s="41"/>
      <c r="G8" s="41"/>
      <c r="H8" s="41"/>
      <c r="I8" s="41"/>
      <c r="J8" s="41"/>
      <c r="K8" s="41"/>
      <c r="L8" s="42"/>
      <c r="M8" s="19"/>
      <c r="N8" s="19"/>
      <c r="O8" s="467"/>
      <c r="P8" s="468"/>
      <c r="Q8" s="468"/>
      <c r="R8" s="468"/>
      <c r="T8" s="214"/>
    </row>
    <row r="9" spans="1:34" ht="13.5" x14ac:dyDescent="0.25">
      <c r="A9" s="43"/>
      <c r="B9" s="44"/>
      <c r="C9" s="45"/>
      <c r="D9" s="43"/>
      <c r="E9" s="46"/>
      <c r="F9" s="47"/>
      <c r="G9" s="47"/>
      <c r="H9" s="47"/>
      <c r="I9" s="47"/>
      <c r="J9" s="47"/>
      <c r="K9" s="47"/>
      <c r="L9" s="48"/>
      <c r="M9" s="43"/>
      <c r="N9" s="43"/>
      <c r="O9" s="43"/>
      <c r="P9" s="43"/>
      <c r="Q9" s="44"/>
      <c r="R9" s="213" t="s">
        <v>179</v>
      </c>
      <c r="S9" s="43"/>
      <c r="T9" s="43"/>
      <c r="U9" s="43"/>
      <c r="W9" s="43"/>
      <c r="X9" s="49"/>
      <c r="Y9" s="43"/>
      <c r="Z9" s="49"/>
      <c r="AA9" s="49"/>
      <c r="AB9" s="49"/>
      <c r="AC9" s="49"/>
      <c r="AE9" s="43"/>
      <c r="AG9" s="43"/>
    </row>
    <row r="10" spans="1:34" ht="102" customHeight="1" x14ac:dyDescent="0.2">
      <c r="A10" s="50" t="s">
        <v>7</v>
      </c>
      <c r="B10" s="50" t="s">
        <v>8</v>
      </c>
      <c r="C10" s="50" t="s">
        <v>9</v>
      </c>
      <c r="D10" s="50" t="s">
        <v>10</v>
      </c>
      <c r="E10" s="50" t="s">
        <v>11</v>
      </c>
      <c r="F10" s="50" t="s">
        <v>11</v>
      </c>
      <c r="G10" s="50" t="s">
        <v>11</v>
      </c>
      <c r="H10" s="51" t="s">
        <v>12</v>
      </c>
      <c r="I10" s="50" t="s">
        <v>13</v>
      </c>
      <c r="J10" s="50"/>
      <c r="K10" s="50" t="s">
        <v>11</v>
      </c>
      <c r="L10" s="52" t="s">
        <v>14</v>
      </c>
      <c r="M10" s="53" t="s">
        <v>15</v>
      </c>
      <c r="N10" s="54" t="s">
        <v>16</v>
      </c>
      <c r="O10" s="55" t="s">
        <v>17</v>
      </c>
      <c r="P10" s="53" t="s">
        <v>18</v>
      </c>
      <c r="Q10" s="53" t="s">
        <v>19</v>
      </c>
      <c r="R10" s="56" t="s">
        <v>20</v>
      </c>
      <c r="S10" s="55" t="s">
        <v>21</v>
      </c>
      <c r="T10" s="53" t="s">
        <v>22</v>
      </c>
      <c r="U10" s="55" t="s">
        <v>20</v>
      </c>
      <c r="V10" s="56" t="s">
        <v>23</v>
      </c>
      <c r="W10" s="55" t="s">
        <v>24</v>
      </c>
      <c r="X10" s="57" t="s">
        <v>25</v>
      </c>
      <c r="Y10" s="55" t="s">
        <v>26</v>
      </c>
      <c r="Z10" s="57"/>
      <c r="AA10" s="57"/>
      <c r="AB10" s="57"/>
      <c r="AC10" s="57"/>
      <c r="AE10" s="55"/>
      <c r="AG10" s="55"/>
    </row>
    <row r="11" spans="1:34" ht="13.5" x14ac:dyDescent="0.2">
      <c r="A11" s="50" t="s">
        <v>27</v>
      </c>
      <c r="B11" s="50" t="s">
        <v>28</v>
      </c>
      <c r="C11" s="50" t="s">
        <v>29</v>
      </c>
      <c r="D11" s="50" t="s">
        <v>30</v>
      </c>
      <c r="E11" s="50"/>
      <c r="F11" s="50"/>
      <c r="G11" s="50"/>
      <c r="H11" s="50"/>
      <c r="I11" s="50"/>
      <c r="J11" s="50"/>
      <c r="K11" s="50" t="s">
        <v>31</v>
      </c>
      <c r="L11" s="52">
        <v>6</v>
      </c>
      <c r="M11" s="53">
        <v>7</v>
      </c>
      <c r="N11" s="54"/>
      <c r="O11" s="55">
        <v>8</v>
      </c>
      <c r="P11" s="53">
        <v>9</v>
      </c>
      <c r="Q11" s="53">
        <v>10</v>
      </c>
      <c r="R11" s="58">
        <v>11</v>
      </c>
      <c r="S11" s="55">
        <v>12</v>
      </c>
      <c r="T11" s="53">
        <v>13</v>
      </c>
      <c r="U11" s="55">
        <v>14</v>
      </c>
      <c r="V11" s="58">
        <v>15</v>
      </c>
      <c r="W11" s="55">
        <v>16</v>
      </c>
      <c r="X11" s="57"/>
      <c r="Y11" s="55"/>
      <c r="Z11" s="57"/>
      <c r="AA11" s="57"/>
      <c r="AB11" s="57"/>
      <c r="AC11" s="57"/>
      <c r="AE11" s="55"/>
      <c r="AG11" s="55"/>
    </row>
    <row r="12" spans="1:34" x14ac:dyDescent="0.2">
      <c r="A12" s="59" t="s">
        <v>32</v>
      </c>
      <c r="B12" s="60"/>
      <c r="C12" s="60"/>
      <c r="D12" s="60"/>
      <c r="E12" s="61"/>
      <c r="F12" s="62">
        <v>1.1000000000000001</v>
      </c>
      <c r="G12" s="62">
        <v>1.1000000000000001</v>
      </c>
      <c r="H12" s="62">
        <v>1.1000000000000001</v>
      </c>
      <c r="I12" s="62">
        <v>1.1000000000000001</v>
      </c>
      <c r="J12" s="62">
        <v>1.06</v>
      </c>
      <c r="K12" s="62"/>
      <c r="L12" s="63"/>
      <c r="M12" s="64"/>
      <c r="N12" s="64"/>
      <c r="O12" s="64"/>
      <c r="P12" s="65">
        <v>1.24</v>
      </c>
      <c r="Q12" s="66" t="s">
        <v>33</v>
      </c>
      <c r="R12" s="67"/>
      <c r="S12" s="64">
        <v>0.25</v>
      </c>
      <c r="T12" s="65"/>
      <c r="U12" s="64"/>
      <c r="V12" s="67"/>
      <c r="W12" s="64"/>
      <c r="X12" s="68"/>
      <c r="Y12" s="64"/>
      <c r="Z12" s="68"/>
      <c r="AA12" s="68"/>
      <c r="AB12" s="68"/>
      <c r="AC12" s="68"/>
      <c r="AE12" s="64"/>
      <c r="AG12" s="64"/>
    </row>
    <row r="13" spans="1:34" ht="15.75" customHeight="1" x14ac:dyDescent="0.2">
      <c r="A13" s="69"/>
      <c r="B13" s="70"/>
      <c r="C13" s="71" t="s">
        <v>34</v>
      </c>
      <c r="D13" s="72">
        <v>1</v>
      </c>
      <c r="E13" s="73">
        <v>12000</v>
      </c>
      <c r="F13" s="74">
        <f>ROUND(E13*F$12,2)</f>
        <v>13200</v>
      </c>
      <c r="G13" s="74">
        <f>F13*1.1*1.1</f>
        <v>15972.000000000004</v>
      </c>
      <c r="H13" s="74">
        <v>19740.75</v>
      </c>
      <c r="I13" s="74">
        <f>H13*$I$12</f>
        <v>21714.825000000001</v>
      </c>
      <c r="J13" s="74">
        <v>23017.714500000002</v>
      </c>
      <c r="K13" s="74">
        <v>31768.48</v>
      </c>
      <c r="L13" s="75" t="s">
        <v>35</v>
      </c>
      <c r="M13" s="76">
        <v>20</v>
      </c>
      <c r="N13" s="77"/>
      <c r="O13" s="78">
        <f>ROUND((K13*M13/100),2)</f>
        <v>6353.7</v>
      </c>
      <c r="P13" s="78">
        <f>ROUND(K13*P$12,2)</f>
        <v>39392.92</v>
      </c>
      <c r="Q13" s="78">
        <f>K13*T13</f>
        <v>42569.763200000001</v>
      </c>
      <c r="R13" s="79">
        <f>K13+O13+P13+Q13</f>
        <v>120084.86320000001</v>
      </c>
      <c r="S13" s="78">
        <f>ROUND(K13*S$12,2)</f>
        <v>7942.12</v>
      </c>
      <c r="T13" s="78">
        <v>1.34</v>
      </c>
      <c r="U13" s="78">
        <f>K13+O13+P13+Q13+S13</f>
        <v>128026.9832</v>
      </c>
      <c r="V13" s="79">
        <f>R13*0.87</f>
        <v>104473.830984</v>
      </c>
      <c r="W13" s="78">
        <f>U13*0.87</f>
        <v>111383.475384</v>
      </c>
      <c r="X13" s="80">
        <v>3</v>
      </c>
      <c r="Y13" s="78">
        <v>3</v>
      </c>
      <c r="Z13" s="80">
        <f>X13-Y13</f>
        <v>0</v>
      </c>
      <c r="AA13" s="80">
        <f>K13*Z13</f>
        <v>0</v>
      </c>
      <c r="AB13" s="80">
        <f>K13*Y13</f>
        <v>95305.44</v>
      </c>
      <c r="AC13" s="80"/>
      <c r="AD13">
        <v>0.1</v>
      </c>
      <c r="AE13" s="78">
        <f>K13*AD13</f>
        <v>3176.848</v>
      </c>
      <c r="AF13">
        <v>0.2</v>
      </c>
      <c r="AG13" s="78">
        <f>AF13*K13</f>
        <v>6353.6959999999999</v>
      </c>
    </row>
    <row r="14" spans="1:34" ht="16.5" customHeight="1" x14ac:dyDescent="0.2">
      <c r="A14" s="81"/>
      <c r="B14" s="82"/>
      <c r="C14" s="82" t="s">
        <v>36</v>
      </c>
      <c r="D14" s="72">
        <v>0</v>
      </c>
      <c r="E14" s="73">
        <v>11500</v>
      </c>
      <c r="F14" s="74">
        <f>ROUND(E14*F$12,2)</f>
        <v>12650</v>
      </c>
      <c r="G14" s="74">
        <f>F14*1.1*1.1+0.5</f>
        <v>15307.000000000004</v>
      </c>
      <c r="H14" s="74">
        <v>18918.22</v>
      </c>
      <c r="I14" s="74">
        <f>H14*$I$12</f>
        <v>20810.042000000001</v>
      </c>
      <c r="J14" s="74">
        <v>22058.644520000002</v>
      </c>
      <c r="K14" s="74"/>
      <c r="L14" s="75"/>
      <c r="M14" s="83"/>
      <c r="N14" s="84"/>
      <c r="O14" s="78">
        <f>ROUND((K14*M14/100),2)</f>
        <v>0</v>
      </c>
      <c r="P14" s="78">
        <f>ROUND(K14*P$12,2)</f>
        <v>0</v>
      </c>
      <c r="Q14" s="78">
        <f>K14*T14</f>
        <v>0</v>
      </c>
      <c r="R14" s="79">
        <f>K14+O14+P14+Q14</f>
        <v>0</v>
      </c>
      <c r="S14" s="78">
        <f>ROUND(K14*S$12,2)</f>
        <v>0</v>
      </c>
      <c r="T14" s="78">
        <v>1.1399999999999999</v>
      </c>
      <c r="U14" s="78">
        <f>K14+O14+P14+Q14+S14</f>
        <v>0</v>
      </c>
      <c r="V14" s="79">
        <f>R14*0.87</f>
        <v>0</v>
      </c>
      <c r="W14" s="78">
        <f t="shared" ref="W14:W86" si="0">U14*0.87</f>
        <v>0</v>
      </c>
      <c r="X14" s="80">
        <v>3</v>
      </c>
      <c r="Y14" s="78">
        <v>3</v>
      </c>
      <c r="Z14" s="80">
        <f t="shared" ref="Z14:Z91" si="1">X14-Y14</f>
        <v>0</v>
      </c>
      <c r="AA14" s="80">
        <f t="shared" ref="AA14:AA91" si="2">K14*Z14</f>
        <v>0</v>
      </c>
      <c r="AB14" s="80">
        <f t="shared" ref="AB14:AB91" si="3">K14*Y14</f>
        <v>0</v>
      </c>
      <c r="AC14" s="80"/>
      <c r="AD14">
        <v>0.1</v>
      </c>
      <c r="AE14" s="78">
        <f t="shared" ref="AE14:AE91" si="4">K14*AD14</f>
        <v>0</v>
      </c>
      <c r="AF14">
        <v>0.2</v>
      </c>
      <c r="AG14" s="78">
        <f t="shared" ref="AG14:AG91" si="5">AF14*K14</f>
        <v>0</v>
      </c>
      <c r="AH14" s="85">
        <f>R14+AG14</f>
        <v>0</v>
      </c>
    </row>
    <row r="15" spans="1:34" ht="16.5" customHeight="1" x14ac:dyDescent="0.2">
      <c r="A15" s="81"/>
      <c r="B15" s="82"/>
      <c r="C15" s="82" t="s">
        <v>37</v>
      </c>
      <c r="D15" s="72">
        <v>1</v>
      </c>
      <c r="E15" s="73"/>
      <c r="F15" s="74"/>
      <c r="G15" s="74"/>
      <c r="H15" s="74"/>
      <c r="I15" s="74"/>
      <c r="J15" s="74"/>
      <c r="K15" s="74">
        <v>17207.939999999999</v>
      </c>
      <c r="L15" s="75" t="s">
        <v>187</v>
      </c>
      <c r="M15" s="83">
        <v>10</v>
      </c>
      <c r="N15" s="84"/>
      <c r="O15" s="78">
        <f>ROUND((K15*M15/100),2)</f>
        <v>1720.79</v>
      </c>
      <c r="P15" s="78">
        <f>ROUND(K15*1.14,2)</f>
        <v>19617.05</v>
      </c>
      <c r="Q15" s="78">
        <f>K15*T15</f>
        <v>26500.227599999998</v>
      </c>
      <c r="R15" s="79">
        <f>K15+O15+P15+Q15</f>
        <v>65046.007599999997</v>
      </c>
      <c r="S15" s="78">
        <f>ROUND(K15*S$12,2)</f>
        <v>4301.99</v>
      </c>
      <c r="T15" s="78">
        <v>1.54</v>
      </c>
      <c r="U15" s="78">
        <f>K15+O15+P15+Q15+S15</f>
        <v>69347.997600000002</v>
      </c>
      <c r="V15" s="79">
        <f>R15*0.87</f>
        <v>56590.026611999994</v>
      </c>
      <c r="W15" s="78">
        <f t="shared" ref="W15" si="6">U15*0.87</f>
        <v>60332.757912000001</v>
      </c>
      <c r="X15" s="80">
        <v>3</v>
      </c>
      <c r="Y15" s="78">
        <v>3</v>
      </c>
      <c r="Z15" s="80">
        <f t="shared" ref="Z15" si="7">X15-Y15</f>
        <v>0</v>
      </c>
      <c r="AA15" s="80">
        <f t="shared" ref="AA15" si="8">K15*Z15</f>
        <v>0</v>
      </c>
      <c r="AB15" s="80">
        <f t="shared" ref="AB15" si="9">K15*Y15</f>
        <v>51623.819999999992</v>
      </c>
      <c r="AC15" s="80"/>
      <c r="AD15">
        <v>1.1000000000000001</v>
      </c>
      <c r="AE15" s="78">
        <f t="shared" ref="AE15" si="10">K15*AD15</f>
        <v>18928.734</v>
      </c>
      <c r="AF15">
        <v>1.2</v>
      </c>
      <c r="AG15" s="78">
        <f t="shared" ref="AG15" si="11">AF15*K15</f>
        <v>20649.527999999998</v>
      </c>
      <c r="AH15" s="85">
        <f>R15+AG15</f>
        <v>85695.535600000003</v>
      </c>
    </row>
    <row r="16" spans="1:34" x14ac:dyDescent="0.2">
      <c r="A16" s="86"/>
      <c r="B16" s="87"/>
      <c r="C16" s="87" t="s">
        <v>38</v>
      </c>
      <c r="D16" s="88">
        <f>SUM(D13:D15)</f>
        <v>2</v>
      </c>
      <c r="E16" s="89">
        <f>SUM(E13:E14)</f>
        <v>23500</v>
      </c>
      <c r="F16" s="89">
        <f>SUM(F13:F14)</f>
        <v>25850</v>
      </c>
      <c r="G16" s="89">
        <f>SUM(G13:G14)</f>
        <v>31279.000000000007</v>
      </c>
      <c r="H16" s="89">
        <f>SUM(H13:H14)</f>
        <v>38658.97</v>
      </c>
      <c r="I16" s="89">
        <f>SUM(I13:I14)</f>
        <v>42524.866999999998</v>
      </c>
      <c r="J16" s="89">
        <v>45076.359020000004</v>
      </c>
      <c r="K16" s="90">
        <f>SUM(K13:K15)</f>
        <v>48976.42</v>
      </c>
      <c r="L16" s="90"/>
      <c r="M16" s="90"/>
      <c r="N16" s="90">
        <f t="shared" ref="N16" si="12">SUM(N13:N14)</f>
        <v>0</v>
      </c>
      <c r="O16" s="90">
        <f>SUM(O13:O15)</f>
        <v>8074.49</v>
      </c>
      <c r="P16" s="90">
        <f>SUM(P13:P15)</f>
        <v>59009.97</v>
      </c>
      <c r="Q16" s="90">
        <f t="shared" ref="Q16:AH16" si="13">SUM(Q13:Q15)</f>
        <v>69069.9908</v>
      </c>
      <c r="R16" s="90">
        <f t="shared" si="13"/>
        <v>185130.8708</v>
      </c>
      <c r="S16" s="90">
        <f t="shared" si="13"/>
        <v>12244.11</v>
      </c>
      <c r="T16" s="90"/>
      <c r="U16" s="90">
        <f t="shared" si="13"/>
        <v>197374.98080000002</v>
      </c>
      <c r="V16" s="90">
        <f t="shared" si="13"/>
        <v>161063.85759599999</v>
      </c>
      <c r="W16" s="90">
        <f t="shared" si="13"/>
        <v>171716.23329599999</v>
      </c>
      <c r="X16" s="90">
        <f t="shared" si="13"/>
        <v>9</v>
      </c>
      <c r="Y16" s="90">
        <f t="shared" si="13"/>
        <v>9</v>
      </c>
      <c r="Z16" s="90">
        <f t="shared" si="13"/>
        <v>0</v>
      </c>
      <c r="AA16" s="90">
        <f t="shared" si="13"/>
        <v>0</v>
      </c>
      <c r="AB16" s="90">
        <f t="shared" si="13"/>
        <v>146929.26</v>
      </c>
      <c r="AC16" s="90">
        <f t="shared" si="13"/>
        <v>0</v>
      </c>
      <c r="AD16" s="90">
        <f t="shared" si="13"/>
        <v>1.3</v>
      </c>
      <c r="AE16" s="90">
        <f t="shared" si="13"/>
        <v>22105.582000000002</v>
      </c>
      <c r="AF16" s="90">
        <f t="shared" si="13"/>
        <v>1.6</v>
      </c>
      <c r="AG16" s="90">
        <f t="shared" si="13"/>
        <v>27003.223999999998</v>
      </c>
      <c r="AH16" s="90">
        <f t="shared" si="13"/>
        <v>85695.535600000003</v>
      </c>
    </row>
    <row r="17" spans="1:34" x14ac:dyDescent="0.2">
      <c r="A17" s="92" t="s">
        <v>39</v>
      </c>
      <c r="B17" s="93"/>
      <c r="C17" s="93"/>
      <c r="D17" s="94"/>
      <c r="E17" s="95"/>
      <c r="F17" s="95"/>
      <c r="G17" s="95"/>
      <c r="H17" s="95"/>
      <c r="I17" s="95"/>
      <c r="J17" s="95"/>
      <c r="K17" s="90"/>
      <c r="L17" s="96"/>
      <c r="M17" s="97"/>
      <c r="N17" s="97"/>
      <c r="O17" s="98"/>
      <c r="P17" s="99" t="s">
        <v>40</v>
      </c>
      <c r="Q17" s="66" t="s">
        <v>41</v>
      </c>
      <c r="R17" s="79"/>
      <c r="S17" s="98"/>
      <c r="T17" s="99"/>
      <c r="U17" s="98"/>
      <c r="V17" s="100"/>
      <c r="W17" s="98"/>
      <c r="X17" s="80"/>
      <c r="Y17" s="98"/>
      <c r="Z17" s="80"/>
      <c r="AA17" s="80">
        <f t="shared" si="2"/>
        <v>0</v>
      </c>
      <c r="AB17" s="80">
        <f t="shared" si="3"/>
        <v>0</v>
      </c>
      <c r="AC17" s="101"/>
      <c r="AD17">
        <v>0.1</v>
      </c>
      <c r="AE17" s="98"/>
      <c r="AG17" s="98"/>
    </row>
    <row r="18" spans="1:34" x14ac:dyDescent="0.2">
      <c r="A18" s="102"/>
      <c r="B18" s="103"/>
      <c r="C18" s="104" t="s">
        <v>42</v>
      </c>
      <c r="D18" s="72">
        <v>1</v>
      </c>
      <c r="E18" s="73">
        <v>8500</v>
      </c>
      <c r="F18" s="74">
        <f t="shared" ref="F18:F23" si="14">ROUND(E18*F$12,2)</f>
        <v>9350</v>
      </c>
      <c r="G18" s="74">
        <f>F18*1.1*1.1+0.5</f>
        <v>11314.000000000002</v>
      </c>
      <c r="H18" s="74">
        <v>13983.03</v>
      </c>
      <c r="I18" s="74">
        <f t="shared" ref="I18:I23" si="15">H18*$I$12</f>
        <v>15381.333000000002</v>
      </c>
      <c r="J18" s="74">
        <v>16304.212980000004</v>
      </c>
      <c r="K18" s="74">
        <v>22502.66</v>
      </c>
      <c r="L18" s="105" t="s">
        <v>44</v>
      </c>
      <c r="M18" s="76">
        <v>30</v>
      </c>
      <c r="N18" s="76"/>
      <c r="O18" s="78">
        <f t="shared" ref="O18:O23" si="16">ROUND((K18*M18/100),2)</f>
        <v>6750.8</v>
      </c>
      <c r="P18" s="78">
        <f>ROUND(K18*1.24,2)</f>
        <v>27903.3</v>
      </c>
      <c r="Q18" s="78">
        <f t="shared" ref="Q18:Q22" si="17">K18*T18</f>
        <v>36904.362399999998</v>
      </c>
      <c r="R18" s="79">
        <f t="shared" ref="R18:R23" si="18">K18+O18+P18+Q18</f>
        <v>94061.122399999993</v>
      </c>
      <c r="S18" s="78">
        <f t="shared" ref="S18:S23" si="19">ROUND(K18*S$12,2)</f>
        <v>5625.67</v>
      </c>
      <c r="T18" s="78">
        <v>1.64</v>
      </c>
      <c r="U18" s="78">
        <f t="shared" ref="U18:U23" si="20">K18+O18+P18+Q18+S18</f>
        <v>99686.792399999991</v>
      </c>
      <c r="V18" s="79">
        <f t="shared" ref="V18:V86" si="21">R18*0.87</f>
        <v>81833.176487999997</v>
      </c>
      <c r="W18" s="78">
        <f t="shared" si="0"/>
        <v>86727.509387999991</v>
      </c>
      <c r="X18" s="80">
        <v>3</v>
      </c>
      <c r="Y18" s="78">
        <v>3</v>
      </c>
      <c r="Z18" s="80">
        <f t="shared" si="1"/>
        <v>0</v>
      </c>
      <c r="AA18" s="80">
        <f t="shared" si="2"/>
        <v>0</v>
      </c>
      <c r="AB18" s="80">
        <f t="shared" si="3"/>
        <v>67507.98</v>
      </c>
      <c r="AC18" s="80"/>
      <c r="AD18">
        <v>0.1</v>
      </c>
      <c r="AE18" s="78">
        <f t="shared" si="4"/>
        <v>2250.2660000000001</v>
      </c>
      <c r="AF18">
        <v>0.2</v>
      </c>
      <c r="AG18" s="78">
        <f t="shared" si="5"/>
        <v>4500.5320000000002</v>
      </c>
    </row>
    <row r="19" spans="1:34" x14ac:dyDescent="0.2">
      <c r="A19" s="102"/>
      <c r="B19" s="106"/>
      <c r="C19" s="82" t="s">
        <v>43</v>
      </c>
      <c r="D19" s="72">
        <v>1</v>
      </c>
      <c r="E19" s="73">
        <v>7700</v>
      </c>
      <c r="F19" s="74">
        <f t="shared" si="14"/>
        <v>8470</v>
      </c>
      <c r="G19" s="74">
        <f>F19*1.1*1.1+0.3</f>
        <v>10249</v>
      </c>
      <c r="H19" s="74">
        <v>12666.98</v>
      </c>
      <c r="I19" s="74">
        <f t="shared" si="15"/>
        <v>13933.678</v>
      </c>
      <c r="J19" s="74">
        <v>14769.698680000001</v>
      </c>
      <c r="K19" s="74">
        <v>20384.77</v>
      </c>
      <c r="L19" s="75" t="s">
        <v>46</v>
      </c>
      <c r="M19" s="76">
        <v>30</v>
      </c>
      <c r="N19" s="76"/>
      <c r="O19" s="78">
        <f t="shared" si="16"/>
        <v>6115.43</v>
      </c>
      <c r="P19" s="78">
        <f>ROUND(K19*1.14,2)</f>
        <v>23238.639999999999</v>
      </c>
      <c r="Q19" s="78">
        <f t="shared" si="17"/>
        <v>31392.5458</v>
      </c>
      <c r="R19" s="79">
        <f t="shared" si="18"/>
        <v>81131.385799999989</v>
      </c>
      <c r="S19" s="78">
        <f t="shared" si="19"/>
        <v>5096.1899999999996</v>
      </c>
      <c r="T19" s="78">
        <v>1.54</v>
      </c>
      <c r="U19" s="78">
        <f t="shared" si="20"/>
        <v>86227.575799999991</v>
      </c>
      <c r="V19" s="79">
        <f t="shared" si="21"/>
        <v>70584.305645999993</v>
      </c>
      <c r="W19" s="78">
        <f t="shared" si="0"/>
        <v>75017.990945999991</v>
      </c>
      <c r="X19" s="80">
        <v>3</v>
      </c>
      <c r="Y19" s="78"/>
      <c r="Z19" s="80">
        <f t="shared" si="1"/>
        <v>3</v>
      </c>
      <c r="AA19" s="80">
        <f t="shared" si="2"/>
        <v>61154.31</v>
      </c>
      <c r="AB19" s="80">
        <f t="shared" si="3"/>
        <v>0</v>
      </c>
      <c r="AC19" s="80"/>
      <c r="AD19">
        <v>0.1</v>
      </c>
      <c r="AE19" s="78">
        <f t="shared" si="4"/>
        <v>2038.4770000000001</v>
      </c>
      <c r="AF19">
        <v>0.2</v>
      </c>
      <c r="AG19" s="78">
        <f t="shared" si="5"/>
        <v>4076.9540000000002</v>
      </c>
    </row>
    <row r="20" spans="1:34" x14ac:dyDescent="0.2">
      <c r="A20" s="86"/>
      <c r="B20" s="107"/>
      <c r="C20" s="107" t="s">
        <v>182</v>
      </c>
      <c r="D20" s="108">
        <v>1</v>
      </c>
      <c r="E20" s="73">
        <v>6500</v>
      </c>
      <c r="F20" s="74">
        <f t="shared" si="14"/>
        <v>7150</v>
      </c>
      <c r="G20" s="74">
        <f>F20*1.1*1.1+0.5</f>
        <v>8652.0000000000018</v>
      </c>
      <c r="H20" s="74">
        <v>10692.91</v>
      </c>
      <c r="I20" s="74">
        <f t="shared" si="15"/>
        <v>11762.201000000001</v>
      </c>
      <c r="J20" s="74">
        <v>12467.933060000001</v>
      </c>
      <c r="K20" s="74">
        <v>17207.939999999999</v>
      </c>
      <c r="L20" s="75" t="s">
        <v>207</v>
      </c>
      <c r="M20" s="83">
        <v>30</v>
      </c>
      <c r="N20" s="83"/>
      <c r="O20" s="78">
        <f t="shared" si="16"/>
        <v>5162.38</v>
      </c>
      <c r="P20" s="78">
        <f>ROUND(K20*1.14,2)</f>
        <v>19617.05</v>
      </c>
      <c r="Q20" s="78">
        <f t="shared" si="17"/>
        <v>26500.227599999998</v>
      </c>
      <c r="R20" s="79">
        <f t="shared" si="18"/>
        <v>68487.597599999994</v>
      </c>
      <c r="S20" s="78">
        <f t="shared" si="19"/>
        <v>4301.99</v>
      </c>
      <c r="T20" s="78">
        <v>1.54</v>
      </c>
      <c r="U20" s="78">
        <f t="shared" si="20"/>
        <v>72789.587599999999</v>
      </c>
      <c r="V20" s="79">
        <f t="shared" si="21"/>
        <v>59584.209911999991</v>
      </c>
      <c r="W20" s="78">
        <f t="shared" si="0"/>
        <v>63326.941211999998</v>
      </c>
      <c r="X20" s="80">
        <v>3</v>
      </c>
      <c r="Y20" s="78">
        <v>3</v>
      </c>
      <c r="Z20" s="80">
        <f t="shared" si="1"/>
        <v>0</v>
      </c>
      <c r="AA20" s="80">
        <f t="shared" si="2"/>
        <v>0</v>
      </c>
      <c r="AB20" s="80">
        <f t="shared" si="3"/>
        <v>51623.819999999992</v>
      </c>
      <c r="AC20" s="80"/>
      <c r="AD20">
        <v>0.1</v>
      </c>
      <c r="AE20" s="78">
        <f t="shared" si="4"/>
        <v>1720.7939999999999</v>
      </c>
      <c r="AF20">
        <v>0.2</v>
      </c>
      <c r="AG20" s="78">
        <f t="shared" si="5"/>
        <v>3441.5879999999997</v>
      </c>
    </row>
    <row r="21" spans="1:34" x14ac:dyDescent="0.2">
      <c r="A21" s="86"/>
      <c r="B21" s="107"/>
      <c r="C21" s="107" t="s">
        <v>182</v>
      </c>
      <c r="D21" s="108">
        <v>1</v>
      </c>
      <c r="E21" s="73">
        <v>6500</v>
      </c>
      <c r="F21" s="74">
        <f t="shared" si="14"/>
        <v>7150</v>
      </c>
      <c r="G21" s="74">
        <f>F21*1.1*1.1+0.5</f>
        <v>8652.0000000000018</v>
      </c>
      <c r="H21" s="74">
        <v>10692.91</v>
      </c>
      <c r="I21" s="74">
        <f t="shared" si="15"/>
        <v>11762.201000000001</v>
      </c>
      <c r="J21" s="74">
        <v>12467.933060000001</v>
      </c>
      <c r="K21" s="74">
        <v>17207.939999999999</v>
      </c>
      <c r="L21" s="75" t="s">
        <v>47</v>
      </c>
      <c r="M21" s="76">
        <v>20</v>
      </c>
      <c r="N21" s="83"/>
      <c r="O21" s="78">
        <f t="shared" si="16"/>
        <v>3441.59</v>
      </c>
      <c r="P21" s="78">
        <f>ROUND(K21*1.14,2)</f>
        <v>19617.05</v>
      </c>
      <c r="Q21" s="78">
        <f t="shared" si="17"/>
        <v>26500.227599999998</v>
      </c>
      <c r="R21" s="79">
        <f t="shared" si="18"/>
        <v>66766.8076</v>
      </c>
      <c r="S21" s="78">
        <f t="shared" si="19"/>
        <v>4301.99</v>
      </c>
      <c r="T21" s="78">
        <v>1.54</v>
      </c>
      <c r="U21" s="78">
        <f t="shared" si="20"/>
        <v>71068.797600000005</v>
      </c>
      <c r="V21" s="79">
        <f t="shared" si="21"/>
        <v>58087.122611999999</v>
      </c>
      <c r="W21" s="78">
        <f t="shared" si="0"/>
        <v>61829.853912000006</v>
      </c>
      <c r="X21" s="80">
        <v>3</v>
      </c>
      <c r="Y21" s="78">
        <v>2</v>
      </c>
      <c r="Z21" s="80">
        <f t="shared" si="1"/>
        <v>1</v>
      </c>
      <c r="AA21" s="80">
        <f t="shared" si="2"/>
        <v>17207.939999999999</v>
      </c>
      <c r="AB21" s="80">
        <f t="shared" si="3"/>
        <v>34415.879999999997</v>
      </c>
      <c r="AC21" s="80"/>
      <c r="AD21">
        <v>0.1</v>
      </c>
      <c r="AE21" s="78">
        <f t="shared" si="4"/>
        <v>1720.7939999999999</v>
      </c>
      <c r="AF21">
        <v>0.2</v>
      </c>
      <c r="AG21" s="78">
        <f t="shared" si="5"/>
        <v>3441.5879999999997</v>
      </c>
    </row>
    <row r="22" spans="1:34" x14ac:dyDescent="0.2">
      <c r="A22" s="102"/>
      <c r="B22" s="107"/>
      <c r="C22" s="107" t="s">
        <v>183</v>
      </c>
      <c r="D22" s="109">
        <v>1</v>
      </c>
      <c r="E22" s="73">
        <v>5600</v>
      </c>
      <c r="F22" s="74">
        <f t="shared" si="14"/>
        <v>6160</v>
      </c>
      <c r="G22" s="74">
        <f>F22*1.1*1.1+0.4</f>
        <v>7454.0000000000009</v>
      </c>
      <c r="H22" s="74">
        <v>9212.35</v>
      </c>
      <c r="I22" s="74">
        <f t="shared" si="15"/>
        <v>10133.585000000001</v>
      </c>
      <c r="J22" s="74">
        <v>10741.600100000001</v>
      </c>
      <c r="K22" s="74">
        <v>14825.32</v>
      </c>
      <c r="L22" s="110" t="s">
        <v>49</v>
      </c>
      <c r="M22" s="83"/>
      <c r="N22" s="76"/>
      <c r="O22" s="78">
        <f t="shared" si="16"/>
        <v>0</v>
      </c>
      <c r="P22" s="78">
        <f>ROUND(K22*1.14,2)</f>
        <v>16900.86</v>
      </c>
      <c r="Q22" s="78">
        <f t="shared" si="17"/>
        <v>21348.460799999997</v>
      </c>
      <c r="R22" s="79">
        <f t="shared" si="18"/>
        <v>53074.640799999994</v>
      </c>
      <c r="S22" s="78">
        <f t="shared" si="19"/>
        <v>3706.33</v>
      </c>
      <c r="T22" s="78">
        <v>1.44</v>
      </c>
      <c r="U22" s="78">
        <f t="shared" si="20"/>
        <v>56780.970799999996</v>
      </c>
      <c r="V22" s="79">
        <f t="shared" si="21"/>
        <v>46174.937495999991</v>
      </c>
      <c r="W22" s="78">
        <f t="shared" si="0"/>
        <v>49399.444595999994</v>
      </c>
      <c r="X22" s="80">
        <v>3</v>
      </c>
      <c r="Y22" s="78">
        <v>3</v>
      </c>
      <c r="Z22" s="80">
        <f t="shared" si="1"/>
        <v>0</v>
      </c>
      <c r="AA22" s="80">
        <f t="shared" si="2"/>
        <v>0</v>
      </c>
      <c r="AB22" s="80">
        <f t="shared" si="3"/>
        <v>44475.96</v>
      </c>
      <c r="AC22" s="80"/>
      <c r="AD22">
        <v>0.1</v>
      </c>
      <c r="AE22" s="78">
        <f t="shared" si="4"/>
        <v>1482.5320000000002</v>
      </c>
      <c r="AF22">
        <v>0.2</v>
      </c>
      <c r="AG22" s="78">
        <f t="shared" si="5"/>
        <v>2965.0640000000003</v>
      </c>
    </row>
    <row r="23" spans="1:34" x14ac:dyDescent="0.2">
      <c r="A23" s="102"/>
      <c r="B23" s="107"/>
      <c r="C23" s="107" t="s">
        <v>182</v>
      </c>
      <c r="D23" s="109">
        <v>1</v>
      </c>
      <c r="E23" s="73">
        <v>5600</v>
      </c>
      <c r="F23" s="74">
        <f t="shared" si="14"/>
        <v>6160</v>
      </c>
      <c r="G23" s="74">
        <f>F23*1.1*1.1+0.4</f>
        <v>7454.0000000000009</v>
      </c>
      <c r="H23" s="74">
        <v>9212.35</v>
      </c>
      <c r="I23" s="74">
        <f t="shared" si="15"/>
        <v>10133.585000000001</v>
      </c>
      <c r="J23" s="74">
        <v>10741.600100000001</v>
      </c>
      <c r="K23" s="74">
        <v>17207.939999999999</v>
      </c>
      <c r="L23" s="75" t="s">
        <v>50</v>
      </c>
      <c r="M23" s="83">
        <v>30</v>
      </c>
      <c r="N23" s="76"/>
      <c r="O23" s="78">
        <f t="shared" si="16"/>
        <v>5162.38</v>
      </c>
      <c r="P23" s="78">
        <f>ROUND(K23*1.14,2)</f>
        <v>19617.05</v>
      </c>
      <c r="Q23" s="78">
        <f>K23*T23</f>
        <v>26500.227599999998</v>
      </c>
      <c r="R23" s="79">
        <f t="shared" si="18"/>
        <v>68487.597599999994</v>
      </c>
      <c r="S23" s="78">
        <f t="shared" si="19"/>
        <v>4301.99</v>
      </c>
      <c r="T23" s="78">
        <v>1.54</v>
      </c>
      <c r="U23" s="78">
        <f t="shared" si="20"/>
        <v>72789.587599999999</v>
      </c>
      <c r="V23" s="79">
        <f t="shared" si="21"/>
        <v>59584.209911999991</v>
      </c>
      <c r="W23" s="78">
        <f t="shared" si="0"/>
        <v>63326.941211999998</v>
      </c>
      <c r="X23" s="80">
        <v>3</v>
      </c>
      <c r="Y23" s="78">
        <v>3</v>
      </c>
      <c r="Z23" s="80">
        <f t="shared" si="1"/>
        <v>0</v>
      </c>
      <c r="AA23" s="80">
        <f t="shared" si="2"/>
        <v>0</v>
      </c>
      <c r="AB23" s="80">
        <f t="shared" si="3"/>
        <v>51623.819999999992</v>
      </c>
      <c r="AC23" s="80"/>
      <c r="AD23">
        <v>0.1</v>
      </c>
      <c r="AE23" s="78">
        <f t="shared" si="4"/>
        <v>1720.7939999999999</v>
      </c>
      <c r="AF23">
        <v>0.2</v>
      </c>
      <c r="AG23" s="78">
        <f t="shared" si="5"/>
        <v>3441.5879999999997</v>
      </c>
    </row>
    <row r="24" spans="1:34" x14ac:dyDescent="0.2">
      <c r="A24" s="102"/>
      <c r="B24" s="87"/>
      <c r="C24" s="87" t="s">
        <v>51</v>
      </c>
      <c r="D24" s="88">
        <f>SUM(D18:D23)</f>
        <v>6</v>
      </c>
      <c r="E24" s="95">
        <f t="shared" ref="E24:I24" si="22">SUM(E18:E23)</f>
        <v>40400</v>
      </c>
      <c r="F24" s="95">
        <f t="shared" si="22"/>
        <v>44440</v>
      </c>
      <c r="G24" s="95">
        <f t="shared" si="22"/>
        <v>53775</v>
      </c>
      <c r="H24" s="95">
        <f t="shared" si="22"/>
        <v>66460.53</v>
      </c>
      <c r="I24" s="95">
        <f t="shared" si="22"/>
        <v>73106.582999999999</v>
      </c>
      <c r="J24" s="95">
        <v>77492.977979999996</v>
      </c>
      <c r="K24" s="90">
        <f>SUM(K18:K23)</f>
        <v>109336.57</v>
      </c>
      <c r="L24" s="90"/>
      <c r="M24" s="90"/>
      <c r="N24" s="90">
        <f t="shared" ref="N24" si="23">SUM(N18:N23)</f>
        <v>0</v>
      </c>
      <c r="O24" s="90">
        <f>SUM(O18:O23)</f>
        <v>26632.58</v>
      </c>
      <c r="P24" s="90">
        <f t="shared" ref="P24:W24" si="24">SUM(P18:P23)</f>
        <v>126893.95000000001</v>
      </c>
      <c r="Q24" s="90">
        <f t="shared" si="24"/>
        <v>169146.05180000002</v>
      </c>
      <c r="R24" s="90">
        <f t="shared" si="24"/>
        <v>432009.15179999993</v>
      </c>
      <c r="S24" s="90">
        <f t="shared" si="24"/>
        <v>27334.159999999996</v>
      </c>
      <c r="T24" s="90">
        <f t="shared" si="24"/>
        <v>9.2399999999999984</v>
      </c>
      <c r="U24" s="90">
        <f t="shared" si="24"/>
        <v>459343.31180000002</v>
      </c>
      <c r="V24" s="90">
        <f t="shared" si="24"/>
        <v>375847.96206599992</v>
      </c>
      <c r="W24" s="90">
        <f t="shared" si="24"/>
        <v>399628.68126599997</v>
      </c>
      <c r="X24" s="80"/>
      <c r="Y24" s="90"/>
      <c r="Z24" s="80"/>
      <c r="AA24" s="80">
        <f t="shared" si="2"/>
        <v>0</v>
      </c>
      <c r="AB24" s="80">
        <f t="shared" si="3"/>
        <v>0</v>
      </c>
      <c r="AC24" s="91"/>
      <c r="AD24">
        <v>0.1</v>
      </c>
      <c r="AE24" s="95">
        <f t="shared" si="4"/>
        <v>10933.657000000001</v>
      </c>
      <c r="AF24">
        <v>0.2</v>
      </c>
      <c r="AG24" s="95">
        <f t="shared" si="5"/>
        <v>21867.314000000002</v>
      </c>
    </row>
    <row r="25" spans="1:34" ht="51" x14ac:dyDescent="0.2">
      <c r="A25" s="59" t="s">
        <v>52</v>
      </c>
      <c r="B25" s="87"/>
      <c r="C25" s="87"/>
      <c r="D25" s="111"/>
      <c r="E25" s="95"/>
      <c r="F25" s="95"/>
      <c r="G25" s="95"/>
      <c r="H25" s="95"/>
      <c r="I25" s="95"/>
      <c r="J25" s="95"/>
      <c r="K25" s="90"/>
      <c r="L25" s="112"/>
      <c r="M25" s="113"/>
      <c r="N25" s="113"/>
      <c r="O25" s="95"/>
      <c r="P25" s="114">
        <v>1.19</v>
      </c>
      <c r="Q25" s="95"/>
      <c r="R25" s="79"/>
      <c r="S25" s="95"/>
      <c r="T25" s="114"/>
      <c r="U25" s="95"/>
      <c r="V25" s="115"/>
      <c r="W25" s="95"/>
      <c r="X25" s="80"/>
      <c r="Y25" s="95"/>
      <c r="Z25" s="80"/>
      <c r="AA25" s="80">
        <f t="shared" si="2"/>
        <v>0</v>
      </c>
      <c r="AB25" s="80">
        <f t="shared" si="3"/>
        <v>0</v>
      </c>
      <c r="AC25" s="116"/>
      <c r="AD25">
        <v>0.1</v>
      </c>
      <c r="AE25" s="95"/>
      <c r="AG25" s="95"/>
    </row>
    <row r="26" spans="1:34" ht="25.5" x14ac:dyDescent="0.2">
      <c r="A26" s="117"/>
      <c r="B26" s="87"/>
      <c r="C26" s="59" t="s">
        <v>193</v>
      </c>
      <c r="D26" s="108">
        <v>1</v>
      </c>
      <c r="E26" s="118"/>
      <c r="F26" s="118"/>
      <c r="G26" s="118">
        <f>11616*1.1+0.4</f>
        <v>12778</v>
      </c>
      <c r="H26" s="74">
        <v>15792.6</v>
      </c>
      <c r="I26" s="74">
        <f>H26*$I$12</f>
        <v>17371.86</v>
      </c>
      <c r="J26" s="74">
        <v>18414.171600000001</v>
      </c>
      <c r="K26" s="74">
        <v>29121.1</v>
      </c>
      <c r="L26" s="75" t="s">
        <v>53</v>
      </c>
      <c r="M26" s="83">
        <v>30</v>
      </c>
      <c r="N26" s="83"/>
      <c r="O26" s="78">
        <f>ROUND((K26*M26/100),2)</f>
        <v>8736.33</v>
      </c>
      <c r="P26" s="118">
        <f>ROUND(K26*1.19,2)</f>
        <v>34654.11</v>
      </c>
      <c r="Q26" s="78">
        <f>K26*T26</f>
        <v>44846.493999999999</v>
      </c>
      <c r="R26" s="79">
        <f>K26+O26+P26+Q26</f>
        <v>117358.03400000001</v>
      </c>
      <c r="S26" s="78">
        <f>ROUND(K26*S$12,2)</f>
        <v>7280.28</v>
      </c>
      <c r="T26" s="118">
        <v>1.54</v>
      </c>
      <c r="U26" s="78">
        <f>K26+O26+P26+Q26+S26</f>
        <v>124638.31400000001</v>
      </c>
      <c r="V26" s="79">
        <f t="shared" si="21"/>
        <v>102101.48958000001</v>
      </c>
      <c r="W26" s="78">
        <f t="shared" si="0"/>
        <v>108435.33318000002</v>
      </c>
      <c r="X26" s="80">
        <v>3</v>
      </c>
      <c r="Y26" s="78">
        <v>3</v>
      </c>
      <c r="Z26" s="80">
        <f t="shared" si="1"/>
        <v>0</v>
      </c>
      <c r="AA26" s="80">
        <f t="shared" si="2"/>
        <v>0</v>
      </c>
      <c r="AB26" s="80">
        <f t="shared" si="3"/>
        <v>87363.299999999988</v>
      </c>
      <c r="AC26" s="80"/>
      <c r="AD26">
        <v>0.1</v>
      </c>
      <c r="AE26" s="78">
        <f t="shared" si="4"/>
        <v>2912.11</v>
      </c>
      <c r="AF26">
        <v>0.2</v>
      </c>
      <c r="AG26" s="78">
        <f t="shared" si="5"/>
        <v>5824.22</v>
      </c>
    </row>
    <row r="27" spans="1:34" ht="15" customHeight="1" x14ac:dyDescent="0.2">
      <c r="A27" s="117"/>
      <c r="B27" s="87"/>
      <c r="C27" s="119" t="s">
        <v>54</v>
      </c>
      <c r="D27" s="108">
        <v>1</v>
      </c>
      <c r="E27" s="118"/>
      <c r="F27" s="118"/>
      <c r="G27" s="118">
        <f>10527*1.1+0.3</f>
        <v>11580</v>
      </c>
      <c r="H27" s="74">
        <v>14312.05</v>
      </c>
      <c r="I27" s="74">
        <f>H27*$I$12</f>
        <v>15743.255000000001</v>
      </c>
      <c r="J27" s="74">
        <v>16687.850300000002</v>
      </c>
      <c r="K27" s="74">
        <v>23032.18</v>
      </c>
      <c r="L27" s="75" t="s">
        <v>210</v>
      </c>
      <c r="M27" s="76">
        <v>30</v>
      </c>
      <c r="N27" s="83"/>
      <c r="O27" s="78">
        <f>ROUND((K27*M27/100),2)</f>
        <v>6909.65</v>
      </c>
      <c r="P27" s="118">
        <f>ROUND(K27*1.19,2)</f>
        <v>27408.29</v>
      </c>
      <c r="Q27" s="78">
        <f>K27*T27</f>
        <v>35469.557200000003</v>
      </c>
      <c r="R27" s="79">
        <f>K27+O27+P27+Q27</f>
        <v>92819.677200000006</v>
      </c>
      <c r="S27" s="78">
        <f>ROUND(K27*S$12,2)</f>
        <v>5758.05</v>
      </c>
      <c r="T27" s="118">
        <v>1.54</v>
      </c>
      <c r="U27" s="78">
        <f>K27+O27+P27+Q27+S27</f>
        <v>98577.727200000008</v>
      </c>
      <c r="V27" s="79">
        <f>R27*0.87</f>
        <v>80753.119164000003</v>
      </c>
      <c r="W27" s="78">
        <f>U27*0.87</f>
        <v>85762.62266400001</v>
      </c>
      <c r="X27" s="80">
        <v>3</v>
      </c>
      <c r="Y27" s="78">
        <v>3</v>
      </c>
      <c r="Z27" s="80">
        <f t="shared" si="1"/>
        <v>0</v>
      </c>
      <c r="AA27" s="80">
        <f t="shared" si="2"/>
        <v>0</v>
      </c>
      <c r="AB27" s="80">
        <f t="shared" si="3"/>
        <v>69096.540000000008</v>
      </c>
      <c r="AC27" s="80"/>
      <c r="AD27">
        <v>0.1</v>
      </c>
      <c r="AE27" s="78">
        <f t="shared" si="4"/>
        <v>2303.2180000000003</v>
      </c>
      <c r="AF27">
        <v>0.2</v>
      </c>
      <c r="AG27" s="78">
        <f t="shared" si="5"/>
        <v>4606.4360000000006</v>
      </c>
    </row>
    <row r="28" spans="1:34" ht="54" customHeight="1" x14ac:dyDescent="0.2">
      <c r="A28" s="120" t="s">
        <v>56</v>
      </c>
      <c r="B28" s="93"/>
      <c r="C28" s="93"/>
      <c r="D28" s="94"/>
      <c r="E28" s="95"/>
      <c r="F28" s="95"/>
      <c r="G28" s="95"/>
      <c r="H28" s="95"/>
      <c r="I28" s="95"/>
      <c r="J28" s="95"/>
      <c r="K28" s="90"/>
      <c r="L28" s="90"/>
      <c r="M28" s="90"/>
      <c r="N28" s="90"/>
      <c r="O28" s="90"/>
      <c r="P28" s="99" t="s">
        <v>40</v>
      </c>
      <c r="Q28" s="66" t="s">
        <v>57</v>
      </c>
      <c r="R28" s="79"/>
      <c r="S28" s="90"/>
      <c r="T28" s="99"/>
      <c r="U28" s="90"/>
      <c r="V28" s="121"/>
      <c r="W28" s="90"/>
      <c r="X28" s="80"/>
      <c r="Y28" s="90"/>
      <c r="Z28" s="80"/>
      <c r="AA28" s="80">
        <f t="shared" si="2"/>
        <v>0</v>
      </c>
      <c r="AB28" s="80">
        <f t="shared" si="3"/>
        <v>0</v>
      </c>
      <c r="AC28" s="91"/>
      <c r="AD28">
        <v>0.1</v>
      </c>
      <c r="AE28" s="90"/>
      <c r="AG28" s="90"/>
      <c r="AH28" s="85"/>
    </row>
    <row r="29" spans="1:34" x14ac:dyDescent="0.2">
      <c r="A29" s="102"/>
      <c r="B29" s="87"/>
      <c r="C29" s="87" t="s">
        <v>58</v>
      </c>
      <c r="D29" s="72">
        <v>1</v>
      </c>
      <c r="E29" s="73">
        <v>8500</v>
      </c>
      <c r="F29" s="74">
        <f t="shared" ref="F29:F48" si="25">ROUND(E29*F$12,2)</f>
        <v>9350</v>
      </c>
      <c r="G29" s="74">
        <f>9075*1.1+0.5</f>
        <v>9983</v>
      </c>
      <c r="H29" s="74">
        <v>12337.98</v>
      </c>
      <c r="I29" s="74">
        <f t="shared" ref="I29:I39" si="26">H29*$I$12</f>
        <v>13571.778</v>
      </c>
      <c r="J29" s="74">
        <v>14386.084680000002</v>
      </c>
      <c r="K29" s="74">
        <v>22502.66</v>
      </c>
      <c r="L29" s="105" t="s">
        <v>59</v>
      </c>
      <c r="M29" s="76">
        <v>30</v>
      </c>
      <c r="N29" s="76"/>
      <c r="O29" s="78">
        <f>ROUND((K29*M29/100),2)</f>
        <v>6750.8</v>
      </c>
      <c r="P29" s="78">
        <f>ROUND(K29*1.24,2)</f>
        <v>27903.3</v>
      </c>
      <c r="Q29" s="78">
        <f>K29*T29</f>
        <v>34654.096400000002</v>
      </c>
      <c r="R29" s="79">
        <f>K29+O29+P29+Q29</f>
        <v>91810.85639999999</v>
      </c>
      <c r="S29" s="78">
        <f>ROUND(K29*S$12,2)</f>
        <v>5625.67</v>
      </c>
      <c r="T29" s="78">
        <v>1.54</v>
      </c>
      <c r="U29" s="78">
        <f>K29+O29+P29+Q29+S29</f>
        <v>97436.526399999988</v>
      </c>
      <c r="V29" s="79">
        <f t="shared" si="21"/>
        <v>79875.445067999986</v>
      </c>
      <c r="W29" s="78">
        <f t="shared" si="0"/>
        <v>84769.777967999995</v>
      </c>
      <c r="X29" s="80">
        <v>3</v>
      </c>
      <c r="Y29" s="78">
        <v>3</v>
      </c>
      <c r="Z29" s="80">
        <f t="shared" si="1"/>
        <v>0</v>
      </c>
      <c r="AA29" s="80">
        <f t="shared" si="2"/>
        <v>0</v>
      </c>
      <c r="AB29" s="80">
        <f t="shared" si="3"/>
        <v>67507.98</v>
      </c>
      <c r="AC29" s="80"/>
      <c r="AD29">
        <v>0.1</v>
      </c>
      <c r="AE29" s="78">
        <f t="shared" si="4"/>
        <v>2250.2660000000001</v>
      </c>
      <c r="AF29">
        <v>0.2</v>
      </c>
      <c r="AG29" s="78">
        <f t="shared" si="5"/>
        <v>4500.5320000000002</v>
      </c>
    </row>
    <row r="30" spans="1:34" x14ac:dyDescent="0.2">
      <c r="A30" s="102"/>
      <c r="B30" s="87"/>
      <c r="C30" s="122" t="s">
        <v>60</v>
      </c>
      <c r="D30" s="72">
        <v>1</v>
      </c>
      <c r="E30" s="73"/>
      <c r="F30" s="74"/>
      <c r="G30" s="74"/>
      <c r="H30" s="74"/>
      <c r="I30" s="74"/>
      <c r="J30" s="74"/>
      <c r="K30" s="74">
        <v>20384.77</v>
      </c>
      <c r="L30" s="75" t="s">
        <v>61</v>
      </c>
      <c r="M30" s="76">
        <v>30</v>
      </c>
      <c r="N30" s="76"/>
      <c r="O30" s="78">
        <f>ROUND((K30*M30/100),2)</f>
        <v>6115.43</v>
      </c>
      <c r="P30" s="78">
        <f t="shared" ref="P30:P40" si="27">ROUND(K30*1.14,2)</f>
        <v>23238.639999999999</v>
      </c>
      <c r="Q30" s="78">
        <f>K30*T30</f>
        <v>31392.5458</v>
      </c>
      <c r="R30" s="79">
        <f>K30+O30+P30+Q30</f>
        <v>81131.385799999989</v>
      </c>
      <c r="S30" s="78">
        <f>ROUND(K30*S$12,2)</f>
        <v>5096.1899999999996</v>
      </c>
      <c r="T30" s="78">
        <v>1.54</v>
      </c>
      <c r="U30" s="78">
        <f>K30+O30+P30+Q30+S30</f>
        <v>86227.575799999991</v>
      </c>
      <c r="V30" s="79">
        <f>R30*0.87</f>
        <v>70584.305645999993</v>
      </c>
      <c r="W30" s="78">
        <f>U30*0.87</f>
        <v>75017.990945999991</v>
      </c>
      <c r="X30" s="80"/>
      <c r="Y30" s="78"/>
      <c r="Z30" s="80"/>
      <c r="AA30" s="80"/>
      <c r="AB30" s="80"/>
      <c r="AC30" s="80"/>
      <c r="AE30" s="78"/>
      <c r="AG30" s="78"/>
    </row>
    <row r="31" spans="1:34" x14ac:dyDescent="0.2">
      <c r="A31" s="102"/>
      <c r="B31" s="87"/>
      <c r="C31" s="107" t="s">
        <v>45</v>
      </c>
      <c r="D31" s="72">
        <v>1</v>
      </c>
      <c r="E31" s="73">
        <v>6500</v>
      </c>
      <c r="F31" s="74">
        <f t="shared" si="25"/>
        <v>7150</v>
      </c>
      <c r="G31" s="74">
        <f>F31*1.1*1.1+0.5</f>
        <v>8652.0000000000018</v>
      </c>
      <c r="H31" s="74">
        <v>10692.91</v>
      </c>
      <c r="I31" s="74">
        <f t="shared" si="26"/>
        <v>11762.201000000001</v>
      </c>
      <c r="J31" s="74">
        <v>12467.933060000001</v>
      </c>
      <c r="K31" s="74">
        <v>17207.939999999999</v>
      </c>
      <c r="L31" s="105" t="s">
        <v>62</v>
      </c>
      <c r="M31" s="76">
        <v>30</v>
      </c>
      <c r="N31" s="76"/>
      <c r="O31" s="78">
        <f t="shared" ref="O31:O40" si="28">ROUND((K31*M31/100),2)</f>
        <v>5162.38</v>
      </c>
      <c r="P31" s="78">
        <f t="shared" si="27"/>
        <v>19617.05</v>
      </c>
      <c r="Q31" s="78">
        <f t="shared" ref="Q31:Q40" si="29">K31*T31</f>
        <v>26500.227599999998</v>
      </c>
      <c r="R31" s="79">
        <f t="shared" ref="R31:R40" si="30">K31+O31+P31+Q31</f>
        <v>68487.597599999994</v>
      </c>
      <c r="S31" s="78">
        <f t="shared" ref="S31:S40" si="31">ROUND(K31*S$12,2)</f>
        <v>4301.99</v>
      </c>
      <c r="T31" s="78">
        <v>1.54</v>
      </c>
      <c r="U31" s="78">
        <f t="shared" ref="U31:U40" si="32">K31+O31+P31+Q31+S31</f>
        <v>72789.587599999999</v>
      </c>
      <c r="V31" s="79">
        <f t="shared" si="21"/>
        <v>59584.209911999991</v>
      </c>
      <c r="W31" s="78">
        <f t="shared" si="0"/>
        <v>63326.941211999998</v>
      </c>
      <c r="X31" s="80">
        <v>3</v>
      </c>
      <c r="Y31" s="78">
        <v>3</v>
      </c>
      <c r="Z31" s="80">
        <f t="shared" si="1"/>
        <v>0</v>
      </c>
      <c r="AA31" s="80">
        <f t="shared" si="2"/>
        <v>0</v>
      </c>
      <c r="AB31" s="80">
        <f t="shared" si="3"/>
        <v>51623.819999999992</v>
      </c>
      <c r="AC31" s="80"/>
      <c r="AD31">
        <v>0.1</v>
      </c>
      <c r="AE31" s="78">
        <f t="shared" si="4"/>
        <v>1720.7939999999999</v>
      </c>
      <c r="AF31">
        <v>0.2</v>
      </c>
      <c r="AG31" s="78">
        <f t="shared" si="5"/>
        <v>3441.5879999999997</v>
      </c>
    </row>
    <row r="32" spans="1:34" x14ac:dyDescent="0.2">
      <c r="A32" s="102"/>
      <c r="B32" s="107"/>
      <c r="C32" s="107" t="s">
        <v>45</v>
      </c>
      <c r="D32" s="72">
        <v>1</v>
      </c>
      <c r="E32" s="73">
        <v>6500</v>
      </c>
      <c r="F32" s="74">
        <f t="shared" si="25"/>
        <v>7150</v>
      </c>
      <c r="G32" s="74">
        <f>F32*1.1*1.1+0.5</f>
        <v>8652.0000000000018</v>
      </c>
      <c r="H32" s="74">
        <v>10692.91</v>
      </c>
      <c r="I32" s="74">
        <f t="shared" si="26"/>
        <v>11762.201000000001</v>
      </c>
      <c r="J32" s="74">
        <v>12467.933060000001</v>
      </c>
      <c r="K32" s="74">
        <v>17207.939999999999</v>
      </c>
      <c r="L32" s="75" t="s">
        <v>63</v>
      </c>
      <c r="M32" s="83">
        <v>30</v>
      </c>
      <c r="N32" s="76"/>
      <c r="O32" s="78">
        <f t="shared" si="28"/>
        <v>5162.38</v>
      </c>
      <c r="P32" s="78">
        <f t="shared" si="27"/>
        <v>19617.05</v>
      </c>
      <c r="Q32" s="78">
        <f t="shared" si="29"/>
        <v>26500.227599999998</v>
      </c>
      <c r="R32" s="79">
        <f t="shared" si="30"/>
        <v>68487.597599999994</v>
      </c>
      <c r="S32" s="78">
        <f t="shared" si="31"/>
        <v>4301.99</v>
      </c>
      <c r="T32" s="78">
        <v>1.54</v>
      </c>
      <c r="U32" s="78">
        <f t="shared" si="32"/>
        <v>72789.587599999999</v>
      </c>
      <c r="V32" s="79">
        <f t="shared" si="21"/>
        <v>59584.209911999991</v>
      </c>
      <c r="W32" s="78">
        <f t="shared" si="0"/>
        <v>63326.941211999998</v>
      </c>
      <c r="X32" s="80">
        <v>3</v>
      </c>
      <c r="Y32" s="78">
        <v>3</v>
      </c>
      <c r="Z32" s="80">
        <f t="shared" si="1"/>
        <v>0</v>
      </c>
      <c r="AA32" s="80">
        <f t="shared" si="2"/>
        <v>0</v>
      </c>
      <c r="AB32" s="80">
        <f t="shared" si="3"/>
        <v>51623.819999999992</v>
      </c>
      <c r="AC32" s="80"/>
      <c r="AD32">
        <v>0.1</v>
      </c>
      <c r="AE32" s="78">
        <f t="shared" si="4"/>
        <v>1720.7939999999999</v>
      </c>
      <c r="AF32">
        <v>0.2</v>
      </c>
      <c r="AG32" s="78">
        <f t="shared" si="5"/>
        <v>3441.5879999999997</v>
      </c>
    </row>
    <row r="33" spans="1:33" x14ac:dyDescent="0.2">
      <c r="A33" s="123"/>
      <c r="B33" s="107"/>
      <c r="C33" s="107" t="s">
        <v>45</v>
      </c>
      <c r="D33" s="109">
        <v>1</v>
      </c>
      <c r="E33" s="73">
        <v>6500</v>
      </c>
      <c r="F33" s="74">
        <f t="shared" si="25"/>
        <v>7150</v>
      </c>
      <c r="G33" s="74">
        <f>F33*1.1*1.1+0.5</f>
        <v>8652.0000000000018</v>
      </c>
      <c r="H33" s="74">
        <v>10692.91</v>
      </c>
      <c r="I33" s="74">
        <f t="shared" si="26"/>
        <v>11762.201000000001</v>
      </c>
      <c r="J33" s="74">
        <v>12467.933060000001</v>
      </c>
      <c r="K33" s="74">
        <v>17207.939999999999</v>
      </c>
      <c r="L33" s="105" t="s">
        <v>201</v>
      </c>
      <c r="M33" s="76">
        <v>30</v>
      </c>
      <c r="N33" s="124"/>
      <c r="O33" s="78">
        <f t="shared" si="28"/>
        <v>5162.38</v>
      </c>
      <c r="P33" s="78">
        <f t="shared" si="27"/>
        <v>19617.05</v>
      </c>
      <c r="Q33" s="78">
        <f t="shared" si="29"/>
        <v>26500.227599999998</v>
      </c>
      <c r="R33" s="79">
        <f t="shared" si="30"/>
        <v>68487.597599999994</v>
      </c>
      <c r="S33" s="78">
        <f t="shared" si="31"/>
        <v>4301.99</v>
      </c>
      <c r="T33" s="78">
        <v>1.54</v>
      </c>
      <c r="U33" s="78">
        <f t="shared" si="32"/>
        <v>72789.587599999999</v>
      </c>
      <c r="V33" s="79">
        <f t="shared" si="21"/>
        <v>59584.209911999991</v>
      </c>
      <c r="W33" s="78">
        <f t="shared" si="0"/>
        <v>63326.941211999998</v>
      </c>
      <c r="X33" s="80">
        <v>3</v>
      </c>
      <c r="Y33" s="78">
        <v>3</v>
      </c>
      <c r="Z33" s="80">
        <f t="shared" si="1"/>
        <v>0</v>
      </c>
      <c r="AA33" s="80">
        <f t="shared" si="2"/>
        <v>0</v>
      </c>
      <c r="AB33" s="80">
        <f t="shared" si="3"/>
        <v>51623.819999999992</v>
      </c>
      <c r="AC33" s="80"/>
      <c r="AD33">
        <v>0.1</v>
      </c>
      <c r="AE33" s="78">
        <f t="shared" si="4"/>
        <v>1720.7939999999999</v>
      </c>
      <c r="AF33">
        <v>0.2</v>
      </c>
      <c r="AG33" s="78">
        <f t="shared" si="5"/>
        <v>3441.5879999999997</v>
      </c>
    </row>
    <row r="34" spans="1:33" x14ac:dyDescent="0.2">
      <c r="A34" s="102"/>
      <c r="B34" s="107"/>
      <c r="C34" s="107" t="s">
        <v>45</v>
      </c>
      <c r="D34" s="109">
        <v>1</v>
      </c>
      <c r="E34" s="73">
        <v>5600</v>
      </c>
      <c r="F34" s="74">
        <v>7150</v>
      </c>
      <c r="G34" s="74">
        <f>F34*1.1*1.1+0.5</f>
        <v>8652.0000000000018</v>
      </c>
      <c r="H34" s="74">
        <v>10692.91</v>
      </c>
      <c r="I34" s="74">
        <f t="shared" si="26"/>
        <v>11762.201000000001</v>
      </c>
      <c r="J34" s="74">
        <v>12467.933060000001</v>
      </c>
      <c r="K34" s="74">
        <v>17207.939999999999</v>
      </c>
      <c r="L34" s="105" t="s">
        <v>64</v>
      </c>
      <c r="M34" s="76">
        <v>30</v>
      </c>
      <c r="N34" s="76"/>
      <c r="O34" s="78">
        <f t="shared" si="28"/>
        <v>5162.38</v>
      </c>
      <c r="P34" s="78">
        <f t="shared" si="27"/>
        <v>19617.05</v>
      </c>
      <c r="Q34" s="78">
        <f t="shared" si="29"/>
        <v>26500.227599999998</v>
      </c>
      <c r="R34" s="79">
        <f t="shared" si="30"/>
        <v>68487.597599999994</v>
      </c>
      <c r="S34" s="78">
        <f t="shared" si="31"/>
        <v>4301.99</v>
      </c>
      <c r="T34" s="78">
        <v>1.54</v>
      </c>
      <c r="U34" s="78">
        <f t="shared" si="32"/>
        <v>72789.587599999999</v>
      </c>
      <c r="V34" s="79">
        <f t="shared" si="21"/>
        <v>59584.209911999991</v>
      </c>
      <c r="W34" s="78">
        <f t="shared" si="0"/>
        <v>63326.941211999998</v>
      </c>
      <c r="X34" s="80">
        <v>3</v>
      </c>
      <c r="Y34" s="78">
        <v>3</v>
      </c>
      <c r="Z34" s="80">
        <f t="shared" si="1"/>
        <v>0</v>
      </c>
      <c r="AA34" s="80">
        <f t="shared" si="2"/>
        <v>0</v>
      </c>
      <c r="AB34" s="80">
        <f t="shared" si="3"/>
        <v>51623.819999999992</v>
      </c>
      <c r="AC34" s="80"/>
      <c r="AD34">
        <v>0.1</v>
      </c>
      <c r="AE34" s="78">
        <f t="shared" si="4"/>
        <v>1720.7939999999999</v>
      </c>
      <c r="AF34">
        <v>0.2</v>
      </c>
      <c r="AG34" s="78">
        <f t="shared" si="5"/>
        <v>3441.5879999999997</v>
      </c>
    </row>
    <row r="35" spans="1:33" x14ac:dyDescent="0.2">
      <c r="A35" s="102"/>
      <c r="B35" s="107"/>
      <c r="C35" s="107" t="s">
        <v>45</v>
      </c>
      <c r="D35" s="109">
        <v>1</v>
      </c>
      <c r="E35" s="73">
        <v>5600</v>
      </c>
      <c r="F35" s="74">
        <f>ROUND(E35*F$12,2)</f>
        <v>6160</v>
      </c>
      <c r="G35" s="74">
        <f>F35*1.1*1.1+0.4</f>
        <v>7454.0000000000009</v>
      </c>
      <c r="H35" s="74">
        <v>9212.35</v>
      </c>
      <c r="I35" s="74">
        <f>H35*$I$12</f>
        <v>10133.585000000001</v>
      </c>
      <c r="J35" s="74">
        <v>10741.600100000001</v>
      </c>
      <c r="K35" s="74">
        <v>17207.939999999999</v>
      </c>
      <c r="L35" s="105" t="s">
        <v>185</v>
      </c>
      <c r="M35" s="83">
        <v>30</v>
      </c>
      <c r="N35" s="76"/>
      <c r="O35" s="78">
        <f t="shared" si="28"/>
        <v>5162.38</v>
      </c>
      <c r="P35" s="78">
        <f t="shared" si="27"/>
        <v>19617.05</v>
      </c>
      <c r="Q35" s="78">
        <f t="shared" si="29"/>
        <v>26500.227599999998</v>
      </c>
      <c r="R35" s="79">
        <f t="shared" si="30"/>
        <v>68487.597599999994</v>
      </c>
      <c r="S35" s="78">
        <f t="shared" si="31"/>
        <v>4301.99</v>
      </c>
      <c r="T35" s="78">
        <v>1.54</v>
      </c>
      <c r="U35" s="78">
        <f t="shared" si="32"/>
        <v>72789.587599999999</v>
      </c>
      <c r="V35" s="79">
        <f>R35*0.87</f>
        <v>59584.209911999991</v>
      </c>
      <c r="W35" s="78">
        <f>U35*0.87</f>
        <v>63326.941211999998</v>
      </c>
      <c r="X35" s="80">
        <v>3</v>
      </c>
      <c r="Y35" s="78">
        <v>3</v>
      </c>
      <c r="Z35" s="80">
        <f t="shared" si="1"/>
        <v>0</v>
      </c>
      <c r="AA35" s="80">
        <f t="shared" si="2"/>
        <v>0</v>
      </c>
      <c r="AB35" s="80">
        <f t="shared" si="3"/>
        <v>51623.819999999992</v>
      </c>
      <c r="AC35" s="80"/>
      <c r="AD35">
        <v>0.1</v>
      </c>
      <c r="AE35" s="78">
        <f t="shared" si="4"/>
        <v>1720.7939999999999</v>
      </c>
      <c r="AF35">
        <v>0.2</v>
      </c>
      <c r="AG35" s="78">
        <f t="shared" si="5"/>
        <v>3441.5879999999997</v>
      </c>
    </row>
    <row r="36" spans="1:33" x14ac:dyDescent="0.2">
      <c r="A36" s="102"/>
      <c r="B36" s="107"/>
      <c r="C36" s="107" t="s">
        <v>45</v>
      </c>
      <c r="D36" s="109">
        <v>1</v>
      </c>
      <c r="E36" s="73">
        <v>5600</v>
      </c>
      <c r="F36" s="74">
        <f t="shared" si="25"/>
        <v>6160</v>
      </c>
      <c r="G36" s="74">
        <f>F36*1.1*1.1+0.4</f>
        <v>7454.0000000000009</v>
      </c>
      <c r="H36" s="74">
        <v>9212.35</v>
      </c>
      <c r="I36" s="74">
        <f t="shared" si="26"/>
        <v>10133.585000000001</v>
      </c>
      <c r="J36" s="74">
        <v>10741.600100000001</v>
      </c>
      <c r="K36" s="74">
        <v>17207.939999999999</v>
      </c>
      <c r="L36" s="105" t="s">
        <v>65</v>
      </c>
      <c r="M36" s="83">
        <v>30</v>
      </c>
      <c r="N36" s="76"/>
      <c r="O36" s="78">
        <f t="shared" si="28"/>
        <v>5162.38</v>
      </c>
      <c r="P36" s="78">
        <f t="shared" si="27"/>
        <v>19617.05</v>
      </c>
      <c r="Q36" s="78">
        <f t="shared" si="29"/>
        <v>26500.227599999998</v>
      </c>
      <c r="R36" s="79">
        <f t="shared" si="30"/>
        <v>68487.597599999994</v>
      </c>
      <c r="S36" s="78">
        <f t="shared" si="31"/>
        <v>4301.99</v>
      </c>
      <c r="T36" s="78">
        <v>1.54</v>
      </c>
      <c r="U36" s="78">
        <f t="shared" si="32"/>
        <v>72789.587599999999</v>
      </c>
      <c r="V36" s="79">
        <f t="shared" si="21"/>
        <v>59584.209911999991</v>
      </c>
      <c r="W36" s="78">
        <f t="shared" si="0"/>
        <v>63326.941211999998</v>
      </c>
      <c r="X36" s="80">
        <v>3</v>
      </c>
      <c r="Y36" s="78">
        <v>3</v>
      </c>
      <c r="Z36" s="80">
        <f t="shared" si="1"/>
        <v>0</v>
      </c>
      <c r="AA36" s="80">
        <f t="shared" si="2"/>
        <v>0</v>
      </c>
      <c r="AB36" s="80">
        <f t="shared" si="3"/>
        <v>51623.819999999992</v>
      </c>
      <c r="AC36" s="80"/>
      <c r="AD36">
        <v>0.1</v>
      </c>
      <c r="AE36" s="78">
        <f t="shared" si="4"/>
        <v>1720.7939999999999</v>
      </c>
      <c r="AF36">
        <v>0.2</v>
      </c>
      <c r="AG36" s="78">
        <f t="shared" si="5"/>
        <v>3441.5879999999997</v>
      </c>
    </row>
    <row r="37" spans="1:33" x14ac:dyDescent="0.2">
      <c r="A37" s="102"/>
      <c r="B37" s="107"/>
      <c r="C37" s="107" t="s">
        <v>45</v>
      </c>
      <c r="D37" s="109">
        <v>1</v>
      </c>
      <c r="E37" s="73">
        <v>5600</v>
      </c>
      <c r="F37" s="74">
        <f t="shared" ref="F37" si="33">ROUND(E37*F$12,2)</f>
        <v>6160</v>
      </c>
      <c r="G37" s="74">
        <f>F37*1.1*1.1+0.4</f>
        <v>7454.0000000000009</v>
      </c>
      <c r="H37" s="74">
        <v>9213.35</v>
      </c>
      <c r="I37" s="74">
        <f t="shared" ref="I37" si="34">H37*$I$12</f>
        <v>10134.685000000001</v>
      </c>
      <c r="J37" s="74">
        <v>10741.600100000001</v>
      </c>
      <c r="K37" s="74">
        <v>17207.939999999999</v>
      </c>
      <c r="L37" s="105" t="s">
        <v>195</v>
      </c>
      <c r="M37" s="83">
        <v>30</v>
      </c>
      <c r="N37" s="76"/>
      <c r="O37" s="78">
        <f t="shared" ref="O37" si="35">ROUND((K37*M37/100),2)</f>
        <v>5162.38</v>
      </c>
      <c r="P37" s="78">
        <f t="shared" ref="P37" si="36">ROUND(K37*1.14,2)</f>
        <v>19617.05</v>
      </c>
      <c r="Q37" s="78">
        <f t="shared" ref="Q37" si="37">K37*T37</f>
        <v>26500.227599999998</v>
      </c>
      <c r="R37" s="79">
        <f t="shared" ref="R37" si="38">K37+O37+P37+Q37</f>
        <v>68487.597599999994</v>
      </c>
      <c r="S37" s="78">
        <f t="shared" ref="S37" si="39">ROUND(K37*S$12,2)</f>
        <v>4301.99</v>
      </c>
      <c r="T37" s="78">
        <v>1.54</v>
      </c>
      <c r="U37" s="78">
        <f t="shared" ref="U37" si="40">K37+O37+P37+Q37+S37</f>
        <v>72789.587599999999</v>
      </c>
      <c r="V37" s="79">
        <f t="shared" ref="V37" si="41">R37*0.87</f>
        <v>59584.209911999991</v>
      </c>
      <c r="W37" s="78">
        <f t="shared" ref="W37" si="42">U37*0.87</f>
        <v>63326.941211999998</v>
      </c>
      <c r="X37" s="80">
        <v>3</v>
      </c>
      <c r="Y37" s="78">
        <v>3</v>
      </c>
      <c r="Z37" s="80">
        <f t="shared" ref="Z37" si="43">X37-Y37</f>
        <v>0</v>
      </c>
      <c r="AA37" s="80">
        <f t="shared" ref="AA37" si="44">K37*Z37</f>
        <v>0</v>
      </c>
      <c r="AB37" s="80">
        <f t="shared" ref="AB37" si="45">K37*Y37</f>
        <v>51623.819999999992</v>
      </c>
      <c r="AC37" s="80"/>
      <c r="AD37">
        <v>1.1000000000000001</v>
      </c>
      <c r="AE37" s="78">
        <f t="shared" ref="AE37" si="46">K37*AD37</f>
        <v>18928.734</v>
      </c>
      <c r="AF37">
        <v>1.2</v>
      </c>
      <c r="AG37" s="78">
        <f t="shared" ref="AG37" si="47">AF37*K37</f>
        <v>20649.527999999998</v>
      </c>
    </row>
    <row r="38" spans="1:33" x14ac:dyDescent="0.2">
      <c r="A38" s="127"/>
      <c r="B38" s="107"/>
      <c r="C38" s="107" t="s">
        <v>45</v>
      </c>
      <c r="D38" s="109">
        <v>1</v>
      </c>
      <c r="E38" s="73">
        <v>5600</v>
      </c>
      <c r="F38" s="74">
        <f t="shared" ref="F38:F39" si="48">ROUND(E38*F$12,2)</f>
        <v>6160</v>
      </c>
      <c r="G38" s="74">
        <f>F38*1.1*1.1+0.4</f>
        <v>7454.0000000000009</v>
      </c>
      <c r="H38" s="74">
        <v>9212.35</v>
      </c>
      <c r="I38" s="74">
        <f t="shared" si="26"/>
        <v>10133.585000000001</v>
      </c>
      <c r="J38" s="74">
        <v>10741.600100000001</v>
      </c>
      <c r="K38" s="74">
        <v>17207.939999999999</v>
      </c>
      <c r="L38" s="75" t="s">
        <v>190</v>
      </c>
      <c r="M38" s="83">
        <v>20</v>
      </c>
      <c r="N38" s="113"/>
      <c r="O38" s="78">
        <f t="shared" si="28"/>
        <v>3441.59</v>
      </c>
      <c r="P38" s="78">
        <f t="shared" si="27"/>
        <v>19617.05</v>
      </c>
      <c r="Q38" s="78">
        <f t="shared" si="29"/>
        <v>26500.227599999998</v>
      </c>
      <c r="R38" s="79">
        <f t="shared" si="30"/>
        <v>66766.8076</v>
      </c>
      <c r="S38" s="78">
        <f t="shared" si="31"/>
        <v>4301.99</v>
      </c>
      <c r="T38" s="78">
        <v>1.54</v>
      </c>
      <c r="U38" s="78">
        <f t="shared" si="32"/>
        <v>71068.797600000005</v>
      </c>
      <c r="V38" s="79">
        <f t="shared" ref="V38:V40" si="49">R38*0.87</f>
        <v>58087.122611999999</v>
      </c>
      <c r="W38" s="78">
        <f t="shared" ref="W38:W40" si="50">U38*0.87</f>
        <v>61829.853912000006</v>
      </c>
      <c r="X38" s="80">
        <v>3</v>
      </c>
      <c r="Y38" s="78">
        <v>3</v>
      </c>
      <c r="Z38" s="80">
        <f t="shared" ref="Z38" si="51">X38-Y38</f>
        <v>0</v>
      </c>
      <c r="AA38" s="80">
        <f t="shared" ref="AA38" si="52">K38*Z38</f>
        <v>0</v>
      </c>
      <c r="AB38" s="80">
        <f t="shared" ref="AB38" si="53">K38*Y38</f>
        <v>51623.819999999992</v>
      </c>
      <c r="AC38" s="80"/>
      <c r="AD38">
        <v>0.1</v>
      </c>
      <c r="AE38" s="78">
        <f t="shared" ref="AE38" si="54">K38*AD38</f>
        <v>1720.7939999999999</v>
      </c>
      <c r="AF38">
        <v>0.2</v>
      </c>
      <c r="AG38" s="78">
        <f t="shared" ref="AG38" si="55">AF38*K38</f>
        <v>3441.5879999999997</v>
      </c>
    </row>
    <row r="39" spans="1:33" x14ac:dyDescent="0.2">
      <c r="A39" s="127"/>
      <c r="B39" s="107"/>
      <c r="C39" s="107" t="s">
        <v>70</v>
      </c>
      <c r="D39" s="109">
        <v>1</v>
      </c>
      <c r="E39" s="73">
        <v>5600</v>
      </c>
      <c r="F39" s="74">
        <f t="shared" si="48"/>
        <v>6160</v>
      </c>
      <c r="G39" s="74">
        <f>F39*1.1*1.1+0.4</f>
        <v>7454.0000000000009</v>
      </c>
      <c r="H39" s="74">
        <v>9212.35</v>
      </c>
      <c r="I39" s="74">
        <f t="shared" si="26"/>
        <v>10133.585000000001</v>
      </c>
      <c r="J39" s="74">
        <v>10741.600100000001</v>
      </c>
      <c r="K39" s="74">
        <v>14825.32</v>
      </c>
      <c r="L39" s="75" t="s">
        <v>189</v>
      </c>
      <c r="M39" s="83">
        <v>30</v>
      </c>
      <c r="N39" s="113"/>
      <c r="O39" s="78">
        <f t="shared" si="28"/>
        <v>4447.6000000000004</v>
      </c>
      <c r="P39" s="78">
        <f t="shared" si="27"/>
        <v>16900.86</v>
      </c>
      <c r="Q39" s="78">
        <f t="shared" si="29"/>
        <v>21348.460799999997</v>
      </c>
      <c r="R39" s="79">
        <f t="shared" si="30"/>
        <v>57522.2408</v>
      </c>
      <c r="S39" s="78">
        <f t="shared" si="31"/>
        <v>3706.33</v>
      </c>
      <c r="T39" s="78">
        <v>1.44</v>
      </c>
      <c r="U39" s="78">
        <f t="shared" si="32"/>
        <v>61228.570800000001</v>
      </c>
      <c r="V39" s="79">
        <f>R39*0.87</f>
        <v>50044.349496000003</v>
      </c>
      <c r="W39" s="78">
        <f t="shared" si="50"/>
        <v>53268.856595999998</v>
      </c>
      <c r="X39" s="80">
        <v>3</v>
      </c>
      <c r="Y39" s="78">
        <v>3</v>
      </c>
      <c r="Z39" s="80" t="s">
        <v>68</v>
      </c>
      <c r="AA39" s="80"/>
      <c r="AB39" s="80"/>
      <c r="AC39" s="80"/>
      <c r="AE39" s="78"/>
      <c r="AG39" s="78"/>
    </row>
    <row r="40" spans="1:33" x14ac:dyDescent="0.2">
      <c r="A40" s="127"/>
      <c r="B40" s="107"/>
      <c r="C40" s="107" t="s">
        <v>70</v>
      </c>
      <c r="D40" s="109">
        <v>1</v>
      </c>
      <c r="E40" s="73"/>
      <c r="F40" s="74"/>
      <c r="G40" s="74"/>
      <c r="H40" s="74"/>
      <c r="I40" s="74"/>
      <c r="J40" s="74"/>
      <c r="K40" s="74">
        <v>14825.32</v>
      </c>
      <c r="L40" s="75" t="s">
        <v>223</v>
      </c>
      <c r="M40" s="83">
        <v>15</v>
      </c>
      <c r="N40" s="113"/>
      <c r="O40" s="78">
        <f t="shared" si="28"/>
        <v>2223.8000000000002</v>
      </c>
      <c r="P40" s="78">
        <f t="shared" si="27"/>
        <v>16900.86</v>
      </c>
      <c r="Q40" s="78">
        <f t="shared" si="29"/>
        <v>21348.460799999997</v>
      </c>
      <c r="R40" s="79">
        <f t="shared" si="30"/>
        <v>55298.440799999997</v>
      </c>
      <c r="S40" s="78">
        <f t="shared" si="31"/>
        <v>3706.33</v>
      </c>
      <c r="T40" s="78">
        <v>1.44</v>
      </c>
      <c r="U40" s="78">
        <f t="shared" si="32"/>
        <v>59004.770799999998</v>
      </c>
      <c r="V40" s="79">
        <f t="shared" si="49"/>
        <v>48109.643495999997</v>
      </c>
      <c r="W40" s="78">
        <f t="shared" si="50"/>
        <v>51334.150595999999</v>
      </c>
      <c r="X40" s="80"/>
      <c r="Y40" s="78"/>
      <c r="Z40" s="80"/>
      <c r="AA40" s="80"/>
      <c r="AB40" s="80"/>
      <c r="AC40" s="80"/>
      <c r="AE40" s="78"/>
      <c r="AG40" s="78"/>
    </row>
    <row r="41" spans="1:33" x14ac:dyDescent="0.2">
      <c r="A41" s="102"/>
      <c r="B41" s="107"/>
      <c r="C41" s="87" t="s">
        <v>51</v>
      </c>
      <c r="D41" s="88">
        <f>SUM(D29:D40)</f>
        <v>12</v>
      </c>
      <c r="E41" s="95"/>
      <c r="F41" s="90"/>
      <c r="G41" s="89">
        <f>SUM(G29:G36)</f>
        <v>59499</v>
      </c>
      <c r="H41" s="89">
        <f>SUM(H29:H36)</f>
        <v>73534.320000000007</v>
      </c>
      <c r="I41" s="89">
        <f>SUM(I29:I36)</f>
        <v>80887.752000000008</v>
      </c>
      <c r="J41" s="89">
        <v>87467.350080000004</v>
      </c>
      <c r="K41" s="90">
        <f>SUM(K29:K39)</f>
        <v>195376.27000000002</v>
      </c>
      <c r="L41" s="90"/>
      <c r="M41" s="90"/>
      <c r="N41" s="90">
        <f t="shared" ref="N41" si="56">SUM(N29:N36)</f>
        <v>0</v>
      </c>
      <c r="O41" s="90">
        <f>SUM(O29:O40)</f>
        <v>59115.88</v>
      </c>
      <c r="P41" s="90">
        <f t="shared" ref="P41:W41" si="57">SUM(P29:P40)</f>
        <v>241880.05999999994</v>
      </c>
      <c r="Q41" s="90">
        <f t="shared" si="57"/>
        <v>320745.38459999993</v>
      </c>
      <c r="R41" s="90">
        <f t="shared" si="57"/>
        <v>831942.91459999979</v>
      </c>
      <c r="S41" s="90">
        <f t="shared" si="57"/>
        <v>52550.439999999995</v>
      </c>
      <c r="T41" s="90">
        <f t="shared" si="57"/>
        <v>18.28</v>
      </c>
      <c r="U41" s="90">
        <f t="shared" si="57"/>
        <v>884493.35459999996</v>
      </c>
      <c r="V41" s="90">
        <f t="shared" si="57"/>
        <v>723790.33570199984</v>
      </c>
      <c r="W41" s="90">
        <f t="shared" si="57"/>
        <v>769509.21850199986</v>
      </c>
      <c r="X41" s="80"/>
      <c r="Y41" s="90"/>
      <c r="Z41" s="80">
        <f t="shared" si="1"/>
        <v>0</v>
      </c>
      <c r="AA41" s="80">
        <f t="shared" si="2"/>
        <v>0</v>
      </c>
      <c r="AB41" s="80">
        <f t="shared" si="3"/>
        <v>0</v>
      </c>
      <c r="AC41" s="91"/>
      <c r="AD41">
        <v>0.1</v>
      </c>
      <c r="AE41" s="89">
        <f t="shared" si="4"/>
        <v>19537.627000000004</v>
      </c>
      <c r="AF41">
        <v>0.2</v>
      </c>
      <c r="AG41" s="89">
        <f t="shared" si="5"/>
        <v>39075.254000000008</v>
      </c>
    </row>
    <row r="42" spans="1:33" ht="45" customHeight="1" x14ac:dyDescent="0.2">
      <c r="A42" s="120" t="s">
        <v>66</v>
      </c>
      <c r="B42" s="107"/>
      <c r="C42" s="87"/>
      <c r="D42" s="111"/>
      <c r="E42" s="95"/>
      <c r="F42" s="90"/>
      <c r="G42" s="89"/>
      <c r="H42" s="89"/>
      <c r="I42" s="89"/>
      <c r="J42" s="89"/>
      <c r="K42" s="90"/>
      <c r="L42" s="112"/>
      <c r="M42" s="113"/>
      <c r="N42" s="113"/>
      <c r="O42" s="89"/>
      <c r="P42" s="99" t="s">
        <v>40</v>
      </c>
      <c r="Q42" s="89"/>
      <c r="R42" s="79"/>
      <c r="S42" s="89"/>
      <c r="T42" s="99"/>
      <c r="U42" s="89"/>
      <c r="V42" s="125"/>
      <c r="W42" s="89"/>
      <c r="X42" s="80"/>
      <c r="Y42" s="89"/>
      <c r="Z42" s="80">
        <f t="shared" si="1"/>
        <v>0</v>
      </c>
      <c r="AA42" s="80">
        <f t="shared" si="2"/>
        <v>0</v>
      </c>
      <c r="AB42" s="80">
        <f t="shared" si="3"/>
        <v>0</v>
      </c>
      <c r="AC42" s="126"/>
      <c r="AD42">
        <v>0.1</v>
      </c>
      <c r="AE42" s="89"/>
      <c r="AG42" s="89"/>
    </row>
    <row r="43" spans="1:33" x14ac:dyDescent="0.2">
      <c r="A43" s="127"/>
      <c r="B43" s="107"/>
      <c r="C43" s="87" t="s">
        <v>58</v>
      </c>
      <c r="D43" s="72">
        <v>1</v>
      </c>
      <c r="E43" s="73">
        <v>8500</v>
      </c>
      <c r="F43" s="74">
        <f t="shared" si="25"/>
        <v>9350</v>
      </c>
      <c r="G43" s="74">
        <f>9075*1.1+0.5</f>
        <v>9983</v>
      </c>
      <c r="H43" s="74">
        <v>12337.98</v>
      </c>
      <c r="I43" s="74">
        <f t="shared" ref="I43:I48" si="58">H43*$I$12</f>
        <v>13571.778</v>
      </c>
      <c r="J43" s="74">
        <v>14386.084680000002</v>
      </c>
      <c r="K43" s="74">
        <v>22502.66</v>
      </c>
      <c r="L43" s="105" t="s">
        <v>67</v>
      </c>
      <c r="M43" s="83">
        <v>30</v>
      </c>
      <c r="N43" s="113"/>
      <c r="O43" s="78">
        <f t="shared" ref="O43:O48" si="59">ROUND((K43*M43/100),2)</f>
        <v>6750.8</v>
      </c>
      <c r="P43" s="78">
        <f>ROUND(K43*1.24,2)</f>
        <v>27903.3</v>
      </c>
      <c r="Q43" s="78">
        <f t="shared" ref="Q43:Q48" si="60">K43*T43</f>
        <v>34654.096400000002</v>
      </c>
      <c r="R43" s="79">
        <f t="shared" ref="R43:R48" si="61">K43+O43+P43+Q43</f>
        <v>91810.85639999999</v>
      </c>
      <c r="S43" s="78">
        <f t="shared" ref="S43:S48" si="62">ROUND(K43*S$12,2)</f>
        <v>5625.67</v>
      </c>
      <c r="T43" s="78">
        <v>1.54</v>
      </c>
      <c r="U43" s="78">
        <f t="shared" ref="U43:U48" si="63">K43+O43+P43+Q43+S43</f>
        <v>97436.526399999988</v>
      </c>
      <c r="V43" s="79">
        <f t="shared" si="21"/>
        <v>79875.445067999986</v>
      </c>
      <c r="W43" s="78">
        <f t="shared" si="0"/>
        <v>84769.777967999995</v>
      </c>
      <c r="X43" s="80">
        <v>3</v>
      </c>
      <c r="Y43" s="78">
        <v>3</v>
      </c>
      <c r="Z43" s="80">
        <f t="shared" si="1"/>
        <v>0</v>
      </c>
      <c r="AA43" s="80">
        <f t="shared" si="2"/>
        <v>0</v>
      </c>
      <c r="AB43" s="80">
        <f t="shared" si="3"/>
        <v>67507.98</v>
      </c>
      <c r="AC43" s="80"/>
      <c r="AD43">
        <v>0.1</v>
      </c>
      <c r="AE43" s="78">
        <f t="shared" si="4"/>
        <v>2250.2660000000001</v>
      </c>
      <c r="AF43">
        <v>0.2</v>
      </c>
      <c r="AG43" s="78">
        <f t="shared" si="5"/>
        <v>4500.5320000000002</v>
      </c>
    </row>
    <row r="44" spans="1:33" x14ac:dyDescent="0.2">
      <c r="A44" s="127"/>
      <c r="B44" s="107"/>
      <c r="C44" s="122" t="s">
        <v>60</v>
      </c>
      <c r="D44" s="72">
        <v>1</v>
      </c>
      <c r="E44" s="73">
        <v>5600</v>
      </c>
      <c r="F44" s="74">
        <f>ROUND(E44*F$12,2)</f>
        <v>6160</v>
      </c>
      <c r="G44" s="74">
        <f>F44*1.1*1.1+0.4</f>
        <v>7454.0000000000009</v>
      </c>
      <c r="H44" s="74">
        <v>9212.35</v>
      </c>
      <c r="I44" s="74">
        <f>H44*$I$12</f>
        <v>10133.585000000001</v>
      </c>
      <c r="J44" s="74">
        <v>10741.600100000001</v>
      </c>
      <c r="K44" s="74">
        <v>20384.77</v>
      </c>
      <c r="L44" s="75" t="s">
        <v>55</v>
      </c>
      <c r="M44" s="76">
        <v>15</v>
      </c>
      <c r="N44" s="113"/>
      <c r="O44" s="78">
        <f>ROUND((K44*M44/100),2)</f>
        <v>3057.72</v>
      </c>
      <c r="P44" s="78">
        <f t="shared" ref="P44:P49" si="64">ROUND(K44*1.14,2)</f>
        <v>23238.639999999999</v>
      </c>
      <c r="Q44" s="78">
        <f>K44*T44</f>
        <v>31392.5458</v>
      </c>
      <c r="R44" s="79">
        <f>K44+O44+P44+Q44</f>
        <v>78073.675799999997</v>
      </c>
      <c r="S44" s="78">
        <f>ROUND(K44*S$12,2)</f>
        <v>5096.1899999999996</v>
      </c>
      <c r="T44" s="78">
        <v>1.54</v>
      </c>
      <c r="U44" s="78">
        <f>K44+O44+P44+Q44+S44</f>
        <v>83169.8658</v>
      </c>
      <c r="V44" s="79">
        <f>R44*0.87</f>
        <v>67924.097945999994</v>
      </c>
      <c r="W44" s="78">
        <f>U44*0.87</f>
        <v>72357.783246000006</v>
      </c>
      <c r="X44" s="80"/>
      <c r="Y44" s="78"/>
      <c r="Z44" s="80"/>
      <c r="AA44" s="80"/>
      <c r="AB44" s="80"/>
      <c r="AC44" s="80"/>
      <c r="AE44" s="78"/>
      <c r="AG44" s="78"/>
    </row>
    <row r="45" spans="1:33" ht="12" customHeight="1" x14ac:dyDescent="0.2">
      <c r="A45" s="127"/>
      <c r="B45" s="107"/>
      <c r="C45" s="107" t="s">
        <v>45</v>
      </c>
      <c r="D45" s="109">
        <v>1</v>
      </c>
      <c r="E45" s="73">
        <v>6500</v>
      </c>
      <c r="F45" s="74">
        <f t="shared" si="25"/>
        <v>7150</v>
      </c>
      <c r="G45" s="74">
        <f>F45*1.1*1.1+0.5</f>
        <v>8652.0000000000018</v>
      </c>
      <c r="H45" s="74">
        <v>10692.91</v>
      </c>
      <c r="I45" s="74">
        <f t="shared" si="58"/>
        <v>11762.201000000001</v>
      </c>
      <c r="J45" s="74">
        <v>12467.933060000001</v>
      </c>
      <c r="K45" s="74">
        <v>17207.939999999999</v>
      </c>
      <c r="L45" s="75" t="s">
        <v>69</v>
      </c>
      <c r="M45" s="76">
        <v>30</v>
      </c>
      <c r="N45" s="113"/>
      <c r="O45" s="78">
        <f t="shared" si="59"/>
        <v>5162.38</v>
      </c>
      <c r="P45" s="78">
        <f t="shared" si="64"/>
        <v>19617.05</v>
      </c>
      <c r="Q45" s="78">
        <f t="shared" si="60"/>
        <v>26500.227599999998</v>
      </c>
      <c r="R45" s="79">
        <f t="shared" si="61"/>
        <v>68487.597599999994</v>
      </c>
      <c r="S45" s="78">
        <f t="shared" si="62"/>
        <v>4301.99</v>
      </c>
      <c r="T45" s="78">
        <v>1.54</v>
      </c>
      <c r="U45" s="78">
        <f t="shared" si="63"/>
        <v>72789.587599999999</v>
      </c>
      <c r="V45" s="79">
        <f t="shared" si="21"/>
        <v>59584.209911999991</v>
      </c>
      <c r="W45" s="78">
        <f t="shared" si="0"/>
        <v>63326.941211999998</v>
      </c>
      <c r="X45" s="80">
        <v>3</v>
      </c>
      <c r="Y45" s="78">
        <v>3</v>
      </c>
      <c r="Z45" s="80">
        <f t="shared" si="1"/>
        <v>0</v>
      </c>
      <c r="AA45" s="80">
        <f t="shared" si="2"/>
        <v>0</v>
      </c>
      <c r="AB45" s="80">
        <f t="shared" si="3"/>
        <v>51623.819999999992</v>
      </c>
      <c r="AC45" s="80"/>
      <c r="AD45">
        <v>0.1</v>
      </c>
      <c r="AE45" s="78">
        <f t="shared" si="4"/>
        <v>1720.7939999999999</v>
      </c>
      <c r="AF45">
        <v>0.2</v>
      </c>
      <c r="AG45" s="78">
        <f t="shared" si="5"/>
        <v>3441.5879999999997</v>
      </c>
    </row>
    <row r="46" spans="1:33" x14ac:dyDescent="0.2">
      <c r="A46" s="127"/>
      <c r="B46" s="107"/>
      <c r="C46" s="107" t="s">
        <v>70</v>
      </c>
      <c r="D46" s="109">
        <v>1</v>
      </c>
      <c r="E46" s="73">
        <v>5600</v>
      </c>
      <c r="F46" s="74">
        <f t="shared" si="25"/>
        <v>6160</v>
      </c>
      <c r="G46" s="74">
        <f>F46*1.1*1.1+0.4</f>
        <v>7454.0000000000009</v>
      </c>
      <c r="H46" s="74">
        <v>9212.35</v>
      </c>
      <c r="I46" s="74">
        <f t="shared" si="58"/>
        <v>10133.585000000001</v>
      </c>
      <c r="J46" s="74">
        <v>10741.600100000001</v>
      </c>
      <c r="K46" s="74">
        <v>14825.32</v>
      </c>
      <c r="L46" s="105" t="s">
        <v>224</v>
      </c>
      <c r="M46" s="83">
        <v>30</v>
      </c>
      <c r="N46" s="113"/>
      <c r="O46" s="78">
        <f t="shared" si="59"/>
        <v>4447.6000000000004</v>
      </c>
      <c r="P46" s="78">
        <f t="shared" si="64"/>
        <v>16900.86</v>
      </c>
      <c r="Q46" s="78">
        <f t="shared" si="60"/>
        <v>21348.460799999997</v>
      </c>
      <c r="R46" s="79">
        <f t="shared" si="61"/>
        <v>57522.2408</v>
      </c>
      <c r="S46" s="78">
        <f t="shared" si="62"/>
        <v>3706.33</v>
      </c>
      <c r="T46" s="78">
        <v>1.44</v>
      </c>
      <c r="U46" s="78">
        <f t="shared" si="63"/>
        <v>61228.570800000001</v>
      </c>
      <c r="V46" s="79">
        <f t="shared" si="21"/>
        <v>50044.349496000003</v>
      </c>
      <c r="W46" s="78">
        <f t="shared" si="0"/>
        <v>53268.856595999998</v>
      </c>
      <c r="X46" s="80">
        <v>3</v>
      </c>
      <c r="Y46" s="78">
        <v>3</v>
      </c>
      <c r="Z46" s="80">
        <f t="shared" si="1"/>
        <v>0</v>
      </c>
      <c r="AA46" s="80">
        <f t="shared" si="2"/>
        <v>0</v>
      </c>
      <c r="AB46" s="80">
        <f t="shared" si="3"/>
        <v>44475.96</v>
      </c>
      <c r="AC46" s="80"/>
      <c r="AD46">
        <v>0.1</v>
      </c>
      <c r="AE46" s="78">
        <f t="shared" si="4"/>
        <v>1482.5320000000002</v>
      </c>
      <c r="AF46">
        <v>0.2</v>
      </c>
      <c r="AG46" s="78">
        <f t="shared" si="5"/>
        <v>2965.0640000000003</v>
      </c>
    </row>
    <row r="47" spans="1:33" x14ac:dyDescent="0.2">
      <c r="A47" s="102"/>
      <c r="B47" s="107"/>
      <c r="C47" s="107" t="s">
        <v>45</v>
      </c>
      <c r="D47" s="109">
        <v>1</v>
      </c>
      <c r="E47" s="73">
        <v>6500</v>
      </c>
      <c r="F47" s="74">
        <f t="shared" si="25"/>
        <v>7150</v>
      </c>
      <c r="G47" s="74">
        <f>F47*1.1*1.1+0.5</f>
        <v>8652.0000000000018</v>
      </c>
      <c r="H47" s="74">
        <v>10692.91</v>
      </c>
      <c r="I47" s="74">
        <f t="shared" si="58"/>
        <v>11762.201000000001</v>
      </c>
      <c r="J47" s="74">
        <v>12467.933060000001</v>
      </c>
      <c r="K47" s="74">
        <v>17207.939999999999</v>
      </c>
      <c r="L47" s="128" t="s">
        <v>71</v>
      </c>
      <c r="M47" s="83">
        <v>30</v>
      </c>
      <c r="N47" s="76"/>
      <c r="O47" s="78">
        <f t="shared" si="59"/>
        <v>5162.38</v>
      </c>
      <c r="P47" s="78">
        <f t="shared" si="64"/>
        <v>19617.05</v>
      </c>
      <c r="Q47" s="78">
        <f t="shared" si="60"/>
        <v>26500.227599999998</v>
      </c>
      <c r="R47" s="79">
        <f t="shared" si="61"/>
        <v>68487.597599999994</v>
      </c>
      <c r="S47" s="78">
        <f t="shared" si="62"/>
        <v>4301.99</v>
      </c>
      <c r="T47" s="78">
        <v>1.54</v>
      </c>
      <c r="U47" s="78">
        <f t="shared" si="63"/>
        <v>72789.587599999999</v>
      </c>
      <c r="V47" s="79">
        <f t="shared" si="21"/>
        <v>59584.209911999991</v>
      </c>
      <c r="W47" s="78">
        <f t="shared" si="0"/>
        <v>63326.941211999998</v>
      </c>
      <c r="X47" s="80">
        <v>3</v>
      </c>
      <c r="Y47" s="78">
        <v>3</v>
      </c>
      <c r="Z47" s="80">
        <f t="shared" si="1"/>
        <v>0</v>
      </c>
      <c r="AA47" s="80">
        <f t="shared" si="2"/>
        <v>0</v>
      </c>
      <c r="AB47" s="80">
        <f t="shared" si="3"/>
        <v>51623.819999999992</v>
      </c>
      <c r="AC47" s="80"/>
      <c r="AD47">
        <v>0.1</v>
      </c>
      <c r="AE47" s="78">
        <f t="shared" si="4"/>
        <v>1720.7939999999999</v>
      </c>
      <c r="AF47">
        <v>0.2</v>
      </c>
      <c r="AG47" s="78">
        <f t="shared" si="5"/>
        <v>3441.5879999999997</v>
      </c>
    </row>
    <row r="48" spans="1:33" x14ac:dyDescent="0.2">
      <c r="A48" s="102"/>
      <c r="B48" s="107"/>
      <c r="C48" s="107" t="s">
        <v>45</v>
      </c>
      <c r="D48" s="109">
        <v>1</v>
      </c>
      <c r="E48" s="73">
        <v>5600</v>
      </c>
      <c r="F48" s="74">
        <f t="shared" si="25"/>
        <v>6160</v>
      </c>
      <c r="G48" s="74">
        <f>F48*1.1*1.1+0.4</f>
        <v>7454.0000000000009</v>
      </c>
      <c r="H48" s="74">
        <v>9212.35</v>
      </c>
      <c r="I48" s="74">
        <f t="shared" si="58"/>
        <v>10133.585000000001</v>
      </c>
      <c r="J48" s="74">
        <v>10741.600100000001</v>
      </c>
      <c r="K48" s="74">
        <v>17207.939999999999</v>
      </c>
      <c r="L48" s="128" t="s">
        <v>72</v>
      </c>
      <c r="M48" s="76">
        <v>30</v>
      </c>
      <c r="N48" s="76"/>
      <c r="O48" s="78">
        <f t="shared" si="59"/>
        <v>5162.38</v>
      </c>
      <c r="P48" s="78">
        <f t="shared" si="64"/>
        <v>19617.05</v>
      </c>
      <c r="Q48" s="78">
        <f t="shared" si="60"/>
        <v>26500.227599999998</v>
      </c>
      <c r="R48" s="79">
        <f t="shared" si="61"/>
        <v>68487.597599999994</v>
      </c>
      <c r="S48" s="78">
        <f t="shared" si="62"/>
        <v>4301.99</v>
      </c>
      <c r="T48" s="78">
        <v>1.54</v>
      </c>
      <c r="U48" s="78">
        <f t="shared" si="63"/>
        <v>72789.587599999999</v>
      </c>
      <c r="V48" s="79">
        <f t="shared" si="21"/>
        <v>59584.209911999991</v>
      </c>
      <c r="W48" s="78">
        <f t="shared" si="0"/>
        <v>63326.941211999998</v>
      </c>
      <c r="X48" s="80">
        <v>3</v>
      </c>
      <c r="Y48" s="78">
        <v>3</v>
      </c>
      <c r="Z48" s="80">
        <f t="shared" si="1"/>
        <v>0</v>
      </c>
      <c r="AA48" s="80">
        <f t="shared" si="2"/>
        <v>0</v>
      </c>
      <c r="AB48" s="80">
        <f t="shared" si="3"/>
        <v>51623.819999999992</v>
      </c>
      <c r="AC48" s="80"/>
      <c r="AD48">
        <v>0.1</v>
      </c>
      <c r="AE48" s="78">
        <f t="shared" si="4"/>
        <v>1720.7939999999999</v>
      </c>
      <c r="AF48">
        <v>0.2</v>
      </c>
      <c r="AG48" s="78">
        <f t="shared" si="5"/>
        <v>3441.5879999999997</v>
      </c>
    </row>
    <row r="49" spans="1:33" x14ac:dyDescent="0.2">
      <c r="A49" s="102"/>
      <c r="B49" s="107"/>
      <c r="C49" s="107" t="s">
        <v>45</v>
      </c>
      <c r="D49" s="109">
        <v>1</v>
      </c>
      <c r="E49" s="73">
        <v>5600</v>
      </c>
      <c r="F49" s="74">
        <f t="shared" ref="F49" si="65">ROUND(E49*F$12,2)</f>
        <v>6160</v>
      </c>
      <c r="G49" s="74">
        <f>F49*1.1*1.1+0.4</f>
        <v>7454.0000000000009</v>
      </c>
      <c r="H49" s="74">
        <v>9213.35</v>
      </c>
      <c r="I49" s="74">
        <f t="shared" ref="I49" si="66">H49*$I$12</f>
        <v>10134.685000000001</v>
      </c>
      <c r="J49" s="74">
        <v>10741.600100000001</v>
      </c>
      <c r="K49" s="74">
        <v>17207.939999999999</v>
      </c>
      <c r="L49" s="128" t="s">
        <v>68</v>
      </c>
      <c r="M49" s="76">
        <v>30</v>
      </c>
      <c r="N49" s="76"/>
      <c r="O49" s="78">
        <f t="shared" ref="O49" si="67">ROUND((K49*M49/100),2)</f>
        <v>5162.38</v>
      </c>
      <c r="P49" s="78">
        <f t="shared" si="64"/>
        <v>19617.05</v>
      </c>
      <c r="Q49" s="78">
        <f t="shared" ref="Q49" si="68">K49*T49</f>
        <v>26500.227599999998</v>
      </c>
      <c r="R49" s="79">
        <f t="shared" ref="R49" si="69">K49+O49+P49+Q49</f>
        <v>68487.597599999994</v>
      </c>
      <c r="S49" s="78">
        <f t="shared" ref="S49" si="70">ROUND(K49*S$12,2)</f>
        <v>4301.99</v>
      </c>
      <c r="T49" s="78">
        <v>1.54</v>
      </c>
      <c r="U49" s="78">
        <f t="shared" ref="U49" si="71">K49+O49+P49+Q49+S49</f>
        <v>72789.587599999999</v>
      </c>
      <c r="V49" s="79">
        <f t="shared" ref="V49" si="72">R49*0.87</f>
        <v>59584.209911999991</v>
      </c>
      <c r="W49" s="78">
        <f t="shared" ref="W49" si="73">U49*0.87</f>
        <v>63326.941211999998</v>
      </c>
      <c r="X49" s="80">
        <v>3</v>
      </c>
      <c r="Y49" s="78">
        <v>3</v>
      </c>
      <c r="Z49" s="80">
        <f t="shared" ref="Z49" si="74">X49-Y49</f>
        <v>0</v>
      </c>
      <c r="AA49" s="80">
        <f t="shared" ref="AA49" si="75">K49*Z49</f>
        <v>0</v>
      </c>
      <c r="AB49" s="80">
        <f t="shared" ref="AB49" si="76">K49*Y49</f>
        <v>51623.819999999992</v>
      </c>
      <c r="AC49" s="80"/>
      <c r="AD49">
        <v>1.1000000000000001</v>
      </c>
      <c r="AE49" s="78">
        <f t="shared" ref="AE49" si="77">K49*AD49</f>
        <v>18928.734</v>
      </c>
      <c r="AF49">
        <v>1.2</v>
      </c>
      <c r="AG49" s="78">
        <f t="shared" ref="AG49" si="78">AF49*K49</f>
        <v>20649.527999999998</v>
      </c>
    </row>
    <row r="50" spans="1:33" x14ac:dyDescent="0.2">
      <c r="A50" s="86"/>
      <c r="B50" s="87"/>
      <c r="C50" s="87" t="s">
        <v>51</v>
      </c>
      <c r="D50" s="88">
        <f>SUM(D43:D48)+D49</f>
        <v>7</v>
      </c>
      <c r="E50" s="89">
        <f>SUM(E29:E48)</f>
        <v>99900</v>
      </c>
      <c r="F50" s="89">
        <f>SUM(F29:F48)</f>
        <v>110880</v>
      </c>
      <c r="G50" s="89">
        <f>SUM(G43:G48)</f>
        <v>49649</v>
      </c>
      <c r="H50" s="89">
        <f>SUM(H43:H48)</f>
        <v>61360.85</v>
      </c>
      <c r="I50" s="89">
        <f>SUM(I43:I48)</f>
        <v>67496.934999999998</v>
      </c>
      <c r="J50" s="89">
        <v>71546.751099999994</v>
      </c>
      <c r="K50" s="90">
        <f>SUM(K43:K49)</f>
        <v>126544.51000000001</v>
      </c>
      <c r="L50" s="90"/>
      <c r="M50" s="90"/>
      <c r="N50" s="90">
        <f t="shared" ref="N50" si="79">SUM(N43:N48)</f>
        <v>0</v>
      </c>
      <c r="O50" s="90">
        <f>SUM(O43:O49)</f>
        <v>34905.64</v>
      </c>
      <c r="P50" s="90">
        <f t="shared" ref="P50:W50" si="80">SUM(P43:P49)</f>
        <v>146511</v>
      </c>
      <c r="Q50" s="90">
        <f t="shared" si="80"/>
        <v>193396.0134</v>
      </c>
      <c r="R50" s="90">
        <f t="shared" si="80"/>
        <v>501357.16339999996</v>
      </c>
      <c r="S50" s="90">
        <f t="shared" si="80"/>
        <v>31636.149999999994</v>
      </c>
      <c r="T50" s="90">
        <f t="shared" si="80"/>
        <v>10.68</v>
      </c>
      <c r="U50" s="90">
        <f t="shared" si="80"/>
        <v>532993.31339999998</v>
      </c>
      <c r="V50" s="90">
        <f t="shared" si="80"/>
        <v>436180.732158</v>
      </c>
      <c r="W50" s="90">
        <f t="shared" si="80"/>
        <v>463704.18265799992</v>
      </c>
      <c r="X50" s="90">
        <f t="shared" ref="X50:AG50" si="81">SUM(X43:X49)</f>
        <v>18</v>
      </c>
      <c r="Y50" s="90">
        <f t="shared" si="81"/>
        <v>18</v>
      </c>
      <c r="Z50" s="90">
        <f t="shared" si="81"/>
        <v>0</v>
      </c>
      <c r="AA50" s="90">
        <f t="shared" si="81"/>
        <v>0</v>
      </c>
      <c r="AB50" s="90">
        <f t="shared" si="81"/>
        <v>318479.21999999997</v>
      </c>
      <c r="AC50" s="90">
        <f t="shared" si="81"/>
        <v>0</v>
      </c>
      <c r="AD50" s="90">
        <f t="shared" si="81"/>
        <v>1.6</v>
      </c>
      <c r="AE50" s="90">
        <f t="shared" si="81"/>
        <v>27823.914000000001</v>
      </c>
      <c r="AF50" s="90">
        <f t="shared" si="81"/>
        <v>2.2000000000000002</v>
      </c>
      <c r="AG50" s="90">
        <f t="shared" si="81"/>
        <v>38439.887999999999</v>
      </c>
    </row>
    <row r="51" spans="1:33" ht="26.25" customHeight="1" x14ac:dyDescent="0.2">
      <c r="A51" s="86"/>
      <c r="B51" s="87"/>
      <c r="C51" s="70" t="s">
        <v>73</v>
      </c>
      <c r="D51" s="88">
        <f>D26+D27+D41+D50</f>
        <v>21</v>
      </c>
      <c r="E51" s="89"/>
      <c r="F51" s="89"/>
      <c r="G51" s="89">
        <f>G26+G27+G41+G50</f>
        <v>133506</v>
      </c>
      <c r="H51" s="89">
        <f>H26+H27+H41+H50</f>
        <v>164999.82</v>
      </c>
      <c r="I51" s="89">
        <f>I26+I27+I41+I50</f>
        <v>181499.80200000003</v>
      </c>
      <c r="J51" s="89">
        <v>194116.12308000002</v>
      </c>
      <c r="K51" s="90">
        <f>K26+K27+K41+K50</f>
        <v>374074.06000000006</v>
      </c>
      <c r="L51" s="90"/>
      <c r="M51" s="90"/>
      <c r="N51" s="90">
        <f t="shared" ref="N51" si="82">N26+N27+N41+N50</f>
        <v>0</v>
      </c>
      <c r="O51" s="90">
        <f>O26+O27+O41+O50</f>
        <v>109667.5</v>
      </c>
      <c r="P51" s="90">
        <f t="shared" ref="P51:W51" si="83">P26+P27+P41+P50</f>
        <v>450453.45999999996</v>
      </c>
      <c r="Q51" s="90">
        <f t="shared" si="83"/>
        <v>594457.44919999992</v>
      </c>
      <c r="R51" s="90">
        <f t="shared" si="83"/>
        <v>1543477.7891999998</v>
      </c>
      <c r="S51" s="90">
        <f t="shared" si="83"/>
        <v>97224.919999999984</v>
      </c>
      <c r="T51" s="90">
        <f t="shared" si="83"/>
        <v>32.04</v>
      </c>
      <c r="U51" s="90">
        <f t="shared" si="83"/>
        <v>1640702.7091999999</v>
      </c>
      <c r="V51" s="90">
        <f t="shared" si="83"/>
        <v>1342825.6766039999</v>
      </c>
      <c r="W51" s="90">
        <f t="shared" si="83"/>
        <v>1427411.3570039999</v>
      </c>
      <c r="X51" s="80"/>
      <c r="Y51" s="90"/>
      <c r="Z51" s="80"/>
      <c r="AA51" s="80">
        <f t="shared" si="2"/>
        <v>0</v>
      </c>
      <c r="AB51" s="80">
        <f t="shared" si="3"/>
        <v>0</v>
      </c>
      <c r="AC51" s="91"/>
      <c r="AD51">
        <v>0.1</v>
      </c>
      <c r="AE51" s="89">
        <f>K51*AD51</f>
        <v>37407.40600000001</v>
      </c>
      <c r="AF51">
        <v>0.2</v>
      </c>
      <c r="AG51" s="89">
        <f>AF51*K51</f>
        <v>74814.81200000002</v>
      </c>
    </row>
    <row r="52" spans="1:33" ht="26.25" customHeight="1" x14ac:dyDescent="0.2">
      <c r="A52" s="59" t="s">
        <v>74</v>
      </c>
      <c r="B52" s="93"/>
      <c r="C52" s="93"/>
      <c r="D52" s="94"/>
      <c r="E52" s="95"/>
      <c r="F52" s="95"/>
      <c r="G52" s="95"/>
      <c r="H52" s="95"/>
      <c r="I52" s="95"/>
      <c r="J52" s="95"/>
      <c r="K52" s="90"/>
      <c r="L52" s="90"/>
      <c r="M52" s="87"/>
      <c r="N52" s="97"/>
      <c r="O52" s="98"/>
      <c r="P52" s="99" t="s">
        <v>40</v>
      </c>
      <c r="Q52" s="66">
        <v>1.42</v>
      </c>
      <c r="R52" s="79"/>
      <c r="S52" s="98"/>
      <c r="T52" s="99"/>
      <c r="U52" s="98"/>
      <c r="V52" s="100"/>
      <c r="W52" s="98"/>
      <c r="X52" s="80"/>
      <c r="Y52" s="98"/>
      <c r="Z52" s="80"/>
      <c r="AA52" s="80">
        <f t="shared" si="2"/>
        <v>0</v>
      </c>
      <c r="AB52" s="80">
        <f t="shared" si="3"/>
        <v>0</v>
      </c>
      <c r="AC52" s="101"/>
      <c r="AD52">
        <v>0.1</v>
      </c>
      <c r="AE52" s="98"/>
      <c r="AG52" s="98"/>
    </row>
    <row r="53" spans="1:33" x14ac:dyDescent="0.2">
      <c r="A53" s="102"/>
      <c r="B53" s="87"/>
      <c r="C53" s="87" t="s">
        <v>58</v>
      </c>
      <c r="D53" s="72">
        <v>1</v>
      </c>
      <c r="E53" s="73">
        <v>8500</v>
      </c>
      <c r="F53" s="74">
        <f>ROUND(E53*F$12,2)</f>
        <v>9350</v>
      </c>
      <c r="G53" s="74">
        <f>F53*1.1*1.1+0.5</f>
        <v>11314.000000000002</v>
      </c>
      <c r="H53" s="74">
        <v>13983.03</v>
      </c>
      <c r="I53" s="74">
        <f>H53*$I$12</f>
        <v>15381.333000000002</v>
      </c>
      <c r="J53" s="74">
        <v>16304.212980000004</v>
      </c>
      <c r="K53" s="74">
        <v>22502.66</v>
      </c>
      <c r="L53" s="75" t="s">
        <v>76</v>
      </c>
      <c r="M53" s="83">
        <v>30</v>
      </c>
      <c r="N53" s="76"/>
      <c r="O53" s="78">
        <f>ROUND((K53*M53/100),2)</f>
        <v>6750.8</v>
      </c>
      <c r="P53" s="78">
        <f>ROUND(K53*1.24,2)</f>
        <v>27903.3</v>
      </c>
      <c r="Q53" s="78">
        <f>K53*T53</f>
        <v>34654.096400000002</v>
      </c>
      <c r="R53" s="79">
        <f>K53+O53+P53+Q53</f>
        <v>91810.85639999999</v>
      </c>
      <c r="S53" s="78">
        <f>ROUND(K53*S$12,2)</f>
        <v>5625.67</v>
      </c>
      <c r="T53" s="78">
        <v>1.54</v>
      </c>
      <c r="U53" s="78">
        <f>K53+O53+P53+Q53+S53</f>
        <v>97436.526399999988</v>
      </c>
      <c r="V53" s="79">
        <f t="shared" si="21"/>
        <v>79875.445067999986</v>
      </c>
      <c r="W53" s="78">
        <f t="shared" si="0"/>
        <v>84769.777967999995</v>
      </c>
      <c r="X53" s="80">
        <v>3</v>
      </c>
      <c r="Y53" s="78">
        <v>3</v>
      </c>
      <c r="Z53" s="80">
        <f t="shared" si="1"/>
        <v>0</v>
      </c>
      <c r="AA53" s="80">
        <f t="shared" si="2"/>
        <v>0</v>
      </c>
      <c r="AB53" s="80">
        <f t="shared" si="3"/>
        <v>67507.98</v>
      </c>
      <c r="AC53" s="80"/>
      <c r="AD53">
        <v>0.1</v>
      </c>
      <c r="AE53" s="78">
        <f t="shared" si="4"/>
        <v>2250.2660000000001</v>
      </c>
      <c r="AF53">
        <v>0.2</v>
      </c>
      <c r="AG53" s="78">
        <f t="shared" si="5"/>
        <v>4500.5320000000002</v>
      </c>
    </row>
    <row r="54" spans="1:33" ht="12.75" customHeight="1" x14ac:dyDescent="0.2">
      <c r="A54" s="102"/>
      <c r="B54" s="107"/>
      <c r="C54" s="107" t="s">
        <v>75</v>
      </c>
      <c r="D54" s="109">
        <v>1</v>
      </c>
      <c r="E54" s="73">
        <v>6500</v>
      </c>
      <c r="F54" s="74">
        <f>ROUND(E54*F$12,2)</f>
        <v>7150</v>
      </c>
      <c r="G54" s="74">
        <f>F54*1.1*1.1+0.5</f>
        <v>8652.0000000000018</v>
      </c>
      <c r="H54" s="74">
        <v>10692.91</v>
      </c>
      <c r="I54" s="74">
        <f>H54*$I$12</f>
        <v>11762.201000000001</v>
      </c>
      <c r="J54" s="74">
        <v>12467.933060000001</v>
      </c>
      <c r="K54" s="74">
        <v>17207.939999999999</v>
      </c>
      <c r="L54" s="75" t="s">
        <v>213</v>
      </c>
      <c r="M54" s="76">
        <v>30</v>
      </c>
      <c r="N54" s="76"/>
      <c r="O54" s="78">
        <f>ROUND((K54*M54/100),2)</f>
        <v>5162.38</v>
      </c>
      <c r="P54" s="78">
        <f>ROUND(K54*1.14,2)</f>
        <v>19617.05</v>
      </c>
      <c r="Q54" s="78">
        <f>K54*T54</f>
        <v>26500.227599999998</v>
      </c>
      <c r="R54" s="79">
        <f>K54+O54+P54+Q54</f>
        <v>68487.597599999994</v>
      </c>
      <c r="S54" s="78">
        <f>ROUND(K54*S$12,2)</f>
        <v>4301.99</v>
      </c>
      <c r="T54" s="78">
        <v>1.54</v>
      </c>
      <c r="U54" s="78">
        <f>K54+O54+P54+Q54+S54</f>
        <v>72789.587599999999</v>
      </c>
      <c r="V54" s="79">
        <f t="shared" si="21"/>
        <v>59584.209911999991</v>
      </c>
      <c r="W54" s="78">
        <f t="shared" si="0"/>
        <v>63326.941211999998</v>
      </c>
      <c r="X54" s="80">
        <v>3</v>
      </c>
      <c r="Y54" s="78">
        <v>3</v>
      </c>
      <c r="Z54" s="80">
        <f t="shared" si="1"/>
        <v>0</v>
      </c>
      <c r="AA54" s="80">
        <f t="shared" si="2"/>
        <v>0</v>
      </c>
      <c r="AB54" s="80">
        <f t="shared" si="3"/>
        <v>51623.819999999992</v>
      </c>
      <c r="AC54" s="80"/>
      <c r="AD54">
        <v>0.1</v>
      </c>
      <c r="AE54" s="78">
        <f t="shared" si="4"/>
        <v>1720.7939999999999</v>
      </c>
      <c r="AF54">
        <v>0.2</v>
      </c>
      <c r="AG54" s="78">
        <f t="shared" si="5"/>
        <v>3441.5879999999997</v>
      </c>
    </row>
    <row r="55" spans="1:33" ht="19.5" customHeight="1" x14ac:dyDescent="0.2">
      <c r="A55" s="102"/>
      <c r="B55" s="87"/>
      <c r="C55" s="87" t="s">
        <v>51</v>
      </c>
      <c r="D55" s="88">
        <f t="shared" ref="D55:I55" si="84">SUM(D53:D54)</f>
        <v>2</v>
      </c>
      <c r="E55" s="95">
        <f t="shared" si="84"/>
        <v>15000</v>
      </c>
      <c r="F55" s="95">
        <f t="shared" si="84"/>
        <v>16500</v>
      </c>
      <c r="G55" s="95">
        <f t="shared" si="84"/>
        <v>19966.000000000004</v>
      </c>
      <c r="H55" s="95">
        <f t="shared" si="84"/>
        <v>24675.940000000002</v>
      </c>
      <c r="I55" s="95">
        <f t="shared" si="84"/>
        <v>27143.534000000003</v>
      </c>
      <c r="J55" s="95">
        <v>28772.146040000003</v>
      </c>
      <c r="K55" s="90">
        <f>SUM(K53:K54)</f>
        <v>39710.6</v>
      </c>
      <c r="L55" s="90"/>
      <c r="M55" s="90"/>
      <c r="N55" s="90">
        <f t="shared" ref="N55" si="85">SUM(N53:N54)</f>
        <v>0</v>
      </c>
      <c r="O55" s="90">
        <f>SUM(O53:O54)</f>
        <v>11913.18</v>
      </c>
      <c r="P55" s="90">
        <f t="shared" ref="P55:W55" si="86">SUM(P53:P54)</f>
        <v>47520.35</v>
      </c>
      <c r="Q55" s="90">
        <f t="shared" si="86"/>
        <v>61154.324000000001</v>
      </c>
      <c r="R55" s="90">
        <f t="shared" si="86"/>
        <v>160298.45399999997</v>
      </c>
      <c r="S55" s="90">
        <f t="shared" si="86"/>
        <v>9927.66</v>
      </c>
      <c r="T55" s="90">
        <f t="shared" si="86"/>
        <v>3.08</v>
      </c>
      <c r="U55" s="90">
        <f t="shared" si="86"/>
        <v>170226.114</v>
      </c>
      <c r="V55" s="90">
        <f t="shared" si="86"/>
        <v>139459.65497999999</v>
      </c>
      <c r="W55" s="90">
        <f t="shared" si="86"/>
        <v>148096.71917999999</v>
      </c>
      <c r="X55" s="80"/>
      <c r="Y55" s="90"/>
      <c r="Z55" s="80"/>
      <c r="AA55" s="80">
        <f t="shared" si="2"/>
        <v>0</v>
      </c>
      <c r="AB55" s="80">
        <f t="shared" si="3"/>
        <v>0</v>
      </c>
      <c r="AC55" s="91"/>
      <c r="AD55">
        <v>0.1</v>
      </c>
      <c r="AE55" s="95">
        <f t="shared" si="4"/>
        <v>3971.06</v>
      </c>
      <c r="AF55">
        <v>0.2</v>
      </c>
      <c r="AG55" s="95">
        <f t="shared" si="5"/>
        <v>7942.12</v>
      </c>
    </row>
    <row r="56" spans="1:33" ht="44.25" customHeight="1" x14ac:dyDescent="0.2">
      <c r="A56" s="59" t="s">
        <v>77</v>
      </c>
      <c r="B56" s="129"/>
      <c r="C56" s="129"/>
      <c r="D56" s="94"/>
      <c r="E56" s="95"/>
      <c r="F56" s="95"/>
      <c r="G56" s="95"/>
      <c r="H56" s="95"/>
      <c r="I56" s="95"/>
      <c r="J56" s="95"/>
      <c r="K56" s="90"/>
      <c r="L56" s="96"/>
      <c r="M56" s="97"/>
      <c r="N56" s="97"/>
      <c r="O56" s="98"/>
      <c r="P56" s="130">
        <v>1.19</v>
      </c>
      <c r="Q56" s="66" t="s">
        <v>57</v>
      </c>
      <c r="R56" s="79"/>
      <c r="S56" s="98"/>
      <c r="T56" s="130"/>
      <c r="U56" s="98"/>
      <c r="V56" s="100"/>
      <c r="W56" s="98"/>
      <c r="X56" s="80"/>
      <c r="Y56" s="98"/>
      <c r="Z56" s="80"/>
      <c r="AA56" s="80">
        <f t="shared" si="2"/>
        <v>0</v>
      </c>
      <c r="AB56" s="80">
        <f t="shared" si="3"/>
        <v>0</v>
      </c>
      <c r="AC56" s="101"/>
      <c r="AD56">
        <v>0.1</v>
      </c>
      <c r="AE56" s="98"/>
      <c r="AG56" s="98"/>
    </row>
    <row r="57" spans="1:33" ht="25.5" x14ac:dyDescent="0.2">
      <c r="A57" s="102"/>
      <c r="B57" s="87"/>
      <c r="C57" s="70" t="s">
        <v>193</v>
      </c>
      <c r="D57" s="72">
        <v>1</v>
      </c>
      <c r="E57" s="73">
        <v>9600</v>
      </c>
      <c r="F57" s="74">
        <f>ROUND(E57*F$12,2)</f>
        <v>10560</v>
      </c>
      <c r="G57" s="74">
        <f>F57*1.1*1.1+0.4</f>
        <v>12778.000000000002</v>
      </c>
      <c r="H57" s="74">
        <v>15792.6</v>
      </c>
      <c r="I57" s="74">
        <f>H57*$I$12</f>
        <v>17371.86</v>
      </c>
      <c r="J57" s="74">
        <v>18414.171600000001</v>
      </c>
      <c r="K57" s="74">
        <v>29121.1</v>
      </c>
      <c r="L57" s="75" t="s">
        <v>78</v>
      </c>
      <c r="M57" s="76">
        <v>30</v>
      </c>
      <c r="N57" s="76"/>
      <c r="O57" s="78">
        <f>ROUND((K57*M57/100),2)</f>
        <v>8736.33</v>
      </c>
      <c r="P57" s="78">
        <f>ROUND(K57*1.19,2)</f>
        <v>34654.11</v>
      </c>
      <c r="Q57" s="78">
        <f>K57*T57</f>
        <v>44846.493999999999</v>
      </c>
      <c r="R57" s="79">
        <f>K57+O57+P57+Q57</f>
        <v>117358.03400000001</v>
      </c>
      <c r="S57" s="78">
        <f>ROUND(K57*S$12,2)</f>
        <v>7280.28</v>
      </c>
      <c r="T57" s="78">
        <v>1.54</v>
      </c>
      <c r="U57" s="78">
        <f>K57+O57+P57+Q57+S57</f>
        <v>124638.31400000001</v>
      </c>
      <c r="V57" s="79">
        <f t="shared" si="21"/>
        <v>102101.48958000001</v>
      </c>
      <c r="W57" s="78">
        <f t="shared" si="0"/>
        <v>108435.33318000002</v>
      </c>
      <c r="X57" s="80">
        <v>3</v>
      </c>
      <c r="Y57" s="78"/>
      <c r="Z57" s="80">
        <f t="shared" si="1"/>
        <v>3</v>
      </c>
      <c r="AA57" s="80">
        <f t="shared" si="2"/>
        <v>87363.299999999988</v>
      </c>
      <c r="AB57" s="80">
        <f t="shared" si="3"/>
        <v>0</v>
      </c>
      <c r="AC57" s="80"/>
      <c r="AD57">
        <v>0.1</v>
      </c>
      <c r="AE57" s="78">
        <f t="shared" si="4"/>
        <v>2912.11</v>
      </c>
      <c r="AF57">
        <v>0.2</v>
      </c>
      <c r="AG57" s="78">
        <f t="shared" si="5"/>
        <v>5824.22</v>
      </c>
    </row>
    <row r="58" spans="1:33" ht="32.25" customHeight="1" x14ac:dyDescent="0.2">
      <c r="A58" s="102"/>
      <c r="B58" s="82"/>
      <c r="C58" s="82" t="s">
        <v>79</v>
      </c>
      <c r="D58" s="72">
        <v>1</v>
      </c>
      <c r="E58" s="73">
        <v>8700</v>
      </c>
      <c r="F58" s="74">
        <f>ROUND(E58*F$12,2)</f>
        <v>9570</v>
      </c>
      <c r="G58" s="74">
        <f>F58*1.1*1.1+0.3</f>
        <v>11580</v>
      </c>
      <c r="H58" s="74">
        <v>14312.05</v>
      </c>
      <c r="I58" s="74">
        <f>H58*$I$12</f>
        <v>15743.255000000001</v>
      </c>
      <c r="J58" s="74">
        <v>16687.850300000002</v>
      </c>
      <c r="K58" s="74">
        <v>23032.18</v>
      </c>
      <c r="L58" s="75" t="s">
        <v>202</v>
      </c>
      <c r="M58" s="83">
        <v>15</v>
      </c>
      <c r="N58" s="76"/>
      <c r="O58" s="78">
        <f>ROUND((K58*M58/100),2)</f>
        <v>3454.83</v>
      </c>
      <c r="P58" s="78">
        <f>ROUND(K58*1.19,2)</f>
        <v>27408.29</v>
      </c>
      <c r="Q58" s="78">
        <f>K58*T58</f>
        <v>35469.557200000003</v>
      </c>
      <c r="R58" s="79">
        <f>K58+O58+P58+Q58</f>
        <v>89364.857199999999</v>
      </c>
      <c r="S58" s="78">
        <f>ROUND(K58*S$12,2)</f>
        <v>5758.05</v>
      </c>
      <c r="T58" s="78">
        <v>1.54</v>
      </c>
      <c r="U58" s="78">
        <f>K58+O58+P58+Q58+S58</f>
        <v>95122.907200000001</v>
      </c>
      <c r="V58" s="79">
        <f t="shared" si="21"/>
        <v>77747.425764</v>
      </c>
      <c r="W58" s="78">
        <f t="shared" si="0"/>
        <v>82756.929264000006</v>
      </c>
      <c r="X58" s="80">
        <v>3</v>
      </c>
      <c r="Y58" s="78">
        <v>0</v>
      </c>
      <c r="Z58" s="80">
        <f t="shared" si="1"/>
        <v>3</v>
      </c>
      <c r="AA58" s="80">
        <f t="shared" si="2"/>
        <v>69096.540000000008</v>
      </c>
      <c r="AB58" s="80">
        <f t="shared" si="3"/>
        <v>0</v>
      </c>
      <c r="AC58" s="80"/>
      <c r="AD58">
        <v>0.1</v>
      </c>
      <c r="AE58" s="78">
        <f t="shared" si="4"/>
        <v>2303.2180000000003</v>
      </c>
      <c r="AF58">
        <v>0.2</v>
      </c>
      <c r="AG58" s="78">
        <f t="shared" si="5"/>
        <v>4606.4360000000006</v>
      </c>
    </row>
    <row r="59" spans="1:33" ht="40.5" customHeight="1" x14ac:dyDescent="0.2">
      <c r="A59" s="131" t="s">
        <v>80</v>
      </c>
      <c r="B59" s="131"/>
      <c r="C59" s="131"/>
      <c r="D59" s="132"/>
      <c r="E59" s="95"/>
      <c r="F59" s="95"/>
      <c r="G59" s="95"/>
      <c r="H59" s="95"/>
      <c r="I59" s="95"/>
      <c r="J59" s="95"/>
      <c r="K59" s="90"/>
      <c r="L59" s="90"/>
      <c r="M59" s="113"/>
      <c r="N59" s="113"/>
      <c r="O59" s="90"/>
      <c r="P59" s="99" t="s">
        <v>40</v>
      </c>
      <c r="Q59" s="90"/>
      <c r="R59" s="79"/>
      <c r="S59" s="90"/>
      <c r="T59" s="99"/>
      <c r="U59" s="90"/>
      <c r="V59" s="79"/>
      <c r="W59" s="90"/>
      <c r="X59" s="80"/>
      <c r="Y59" s="90"/>
      <c r="Z59" s="80"/>
      <c r="AA59" s="80">
        <f t="shared" si="2"/>
        <v>0</v>
      </c>
      <c r="AB59" s="80">
        <f t="shared" si="3"/>
        <v>0</v>
      </c>
      <c r="AC59" s="91"/>
      <c r="AD59">
        <v>0.1</v>
      </c>
      <c r="AE59" s="90"/>
      <c r="AG59" s="90"/>
    </row>
    <row r="60" spans="1:33" x14ac:dyDescent="0.2">
      <c r="A60" s="102"/>
      <c r="B60" s="87"/>
      <c r="C60" s="87" t="s">
        <v>58</v>
      </c>
      <c r="D60" s="72">
        <v>1</v>
      </c>
      <c r="E60" s="73">
        <v>8500</v>
      </c>
      <c r="F60" s="74">
        <v>8250</v>
      </c>
      <c r="G60" s="74">
        <f>F60*1.1*1.1+0.5</f>
        <v>9983</v>
      </c>
      <c r="H60" s="74">
        <v>12337.98</v>
      </c>
      <c r="I60" s="74">
        <f t="shared" ref="I60:I65" si="87">H60*$I$12</f>
        <v>13571.778</v>
      </c>
      <c r="J60" s="74">
        <v>14386.084680000002</v>
      </c>
      <c r="K60" s="74">
        <v>22502.66</v>
      </c>
      <c r="L60" s="75" t="s">
        <v>81</v>
      </c>
      <c r="M60" s="83">
        <v>30</v>
      </c>
      <c r="N60" s="76"/>
      <c r="O60" s="78">
        <f>ROUND((K60*M60/100),2)</f>
        <v>6750.8</v>
      </c>
      <c r="P60" s="78">
        <f>ROUND(K60*1.24,2)</f>
        <v>27903.3</v>
      </c>
      <c r="Q60" s="78">
        <f>K60*T60</f>
        <v>34654.096400000002</v>
      </c>
      <c r="R60" s="79">
        <f>K60+O60+P60+Q60</f>
        <v>91810.85639999999</v>
      </c>
      <c r="S60" s="78">
        <f>ROUND(K60*S$12,2)</f>
        <v>5625.67</v>
      </c>
      <c r="T60" s="78">
        <v>1.54</v>
      </c>
      <c r="U60" s="78">
        <f>K60+O60+P60+Q60+S60</f>
        <v>97436.526399999988</v>
      </c>
      <c r="V60" s="79">
        <f t="shared" si="21"/>
        <v>79875.445067999986</v>
      </c>
      <c r="W60" s="78">
        <f t="shared" si="0"/>
        <v>84769.777967999995</v>
      </c>
      <c r="X60" s="80">
        <v>3</v>
      </c>
      <c r="Y60" s="78">
        <v>2</v>
      </c>
      <c r="Z60" s="80">
        <f t="shared" si="1"/>
        <v>1</v>
      </c>
      <c r="AA60" s="80">
        <f t="shared" si="2"/>
        <v>22502.66</v>
      </c>
      <c r="AB60" s="80">
        <f t="shared" si="3"/>
        <v>45005.32</v>
      </c>
      <c r="AC60" s="80"/>
      <c r="AD60">
        <v>0.1</v>
      </c>
      <c r="AE60" s="78">
        <f t="shared" si="4"/>
        <v>2250.2660000000001</v>
      </c>
      <c r="AF60">
        <v>0.2</v>
      </c>
      <c r="AG60" s="78">
        <f t="shared" si="5"/>
        <v>4500.5320000000002</v>
      </c>
    </row>
    <row r="61" spans="1:33" ht="15" customHeight="1" x14ac:dyDescent="0.2">
      <c r="A61" s="102"/>
      <c r="B61" s="87"/>
      <c r="C61" s="122" t="s">
        <v>60</v>
      </c>
      <c r="D61" s="72">
        <v>1</v>
      </c>
      <c r="E61" s="73"/>
      <c r="F61" s="74"/>
      <c r="G61" s="74"/>
      <c r="H61" s="74">
        <v>10692.91</v>
      </c>
      <c r="I61" s="74">
        <f>H61*$I$12</f>
        <v>11762.201000000001</v>
      </c>
      <c r="J61" s="74">
        <v>12467.933060000001</v>
      </c>
      <c r="K61" s="74">
        <v>20384.77</v>
      </c>
      <c r="L61" s="75" t="s">
        <v>203</v>
      </c>
      <c r="M61" s="83">
        <v>20</v>
      </c>
      <c r="N61" s="76"/>
      <c r="O61" s="78">
        <f>ROUND((K61*M61/100),2)</f>
        <v>4076.95</v>
      </c>
      <c r="P61" s="78">
        <f>ROUND(K61*1.14,2)</f>
        <v>23238.639999999999</v>
      </c>
      <c r="Q61" s="78">
        <f>K61*T61</f>
        <v>31392.5458</v>
      </c>
      <c r="R61" s="79">
        <f>K61+O61+P61+Q61</f>
        <v>79092.905800000008</v>
      </c>
      <c r="S61" s="78">
        <f>ROUND(K61*S$12,2)</f>
        <v>5096.1899999999996</v>
      </c>
      <c r="T61" s="78">
        <v>1.54</v>
      </c>
      <c r="U61" s="78">
        <f>K61+O61+P61+Q61+S61</f>
        <v>84189.09580000001</v>
      </c>
      <c r="V61" s="79">
        <f>R61*0.87</f>
        <v>68810.82804600001</v>
      </c>
      <c r="W61" s="78">
        <f>U61*0.87</f>
        <v>73244.513346000007</v>
      </c>
      <c r="X61" s="80">
        <v>3</v>
      </c>
      <c r="Y61" s="78">
        <v>3</v>
      </c>
      <c r="Z61" s="80">
        <f t="shared" si="1"/>
        <v>0</v>
      </c>
      <c r="AA61" s="80">
        <f t="shared" si="2"/>
        <v>0</v>
      </c>
      <c r="AB61" s="80">
        <f t="shared" si="3"/>
        <v>61154.31</v>
      </c>
      <c r="AC61" s="80"/>
      <c r="AD61">
        <v>0.1</v>
      </c>
      <c r="AE61" s="78">
        <f>K61*AD61</f>
        <v>2038.4770000000001</v>
      </c>
      <c r="AF61">
        <v>0.2</v>
      </c>
      <c r="AG61" s="78">
        <f>AF61*K61</f>
        <v>4076.9540000000002</v>
      </c>
    </row>
    <row r="62" spans="1:33" ht="15" customHeight="1" x14ac:dyDescent="0.2">
      <c r="A62" s="102"/>
      <c r="B62" s="87"/>
      <c r="C62" s="122" t="s">
        <v>82</v>
      </c>
      <c r="D62" s="72">
        <v>1</v>
      </c>
      <c r="E62" s="73">
        <v>6500</v>
      </c>
      <c r="F62" s="74">
        <f>ROUND(E62*F$12,2)</f>
        <v>7150</v>
      </c>
      <c r="G62" s="74">
        <f>F62*1.1*1.1+0.5</f>
        <v>8652.0000000000018</v>
      </c>
      <c r="H62" s="74">
        <v>10692.91</v>
      </c>
      <c r="I62" s="74">
        <f t="shared" si="87"/>
        <v>11762.201000000001</v>
      </c>
      <c r="J62" s="74">
        <v>12467.933060000001</v>
      </c>
      <c r="K62" s="74">
        <v>17207.939999999999</v>
      </c>
      <c r="L62" s="75" t="s">
        <v>181</v>
      </c>
      <c r="M62" s="76">
        <v>15</v>
      </c>
      <c r="N62" s="76"/>
      <c r="O62" s="78">
        <f t="shared" ref="O62:O72" si="88">ROUND((K62*M62/100),2)</f>
        <v>2581.19</v>
      </c>
      <c r="P62" s="78">
        <f>ROUND(K62*1.14,2)</f>
        <v>19617.05</v>
      </c>
      <c r="Q62" s="78">
        <f t="shared" ref="Q62:Q72" si="89">K62*T62</f>
        <v>26500.227599999998</v>
      </c>
      <c r="R62" s="79">
        <f t="shared" ref="R62:R72" si="90">K62+O62+P62+Q62</f>
        <v>65906.407599999991</v>
      </c>
      <c r="S62" s="78">
        <f t="shared" ref="S62:S72" si="91">ROUND(K62*S$12,2)</f>
        <v>4301.99</v>
      </c>
      <c r="T62" s="78">
        <v>1.54</v>
      </c>
      <c r="U62" s="78">
        <f t="shared" ref="U62:U72" si="92">K62+O62+P62+Q62+S62</f>
        <v>70208.397599999997</v>
      </c>
      <c r="V62" s="79">
        <f t="shared" si="21"/>
        <v>57338.574611999989</v>
      </c>
      <c r="W62" s="78">
        <f t="shared" si="0"/>
        <v>61081.305911999996</v>
      </c>
      <c r="X62" s="80">
        <v>3</v>
      </c>
      <c r="Y62" s="78"/>
      <c r="Z62" s="80">
        <f t="shared" si="1"/>
        <v>3</v>
      </c>
      <c r="AA62" s="80">
        <f t="shared" si="2"/>
        <v>51623.819999999992</v>
      </c>
      <c r="AB62" s="80">
        <f t="shared" si="3"/>
        <v>0</v>
      </c>
      <c r="AC62" s="80"/>
      <c r="AD62">
        <v>0.1</v>
      </c>
      <c r="AE62" s="78">
        <f t="shared" si="4"/>
        <v>1720.7939999999999</v>
      </c>
      <c r="AF62">
        <v>0.2</v>
      </c>
      <c r="AG62" s="78">
        <f t="shared" si="5"/>
        <v>3441.5879999999997</v>
      </c>
    </row>
    <row r="63" spans="1:33" ht="15" customHeight="1" x14ac:dyDescent="0.2">
      <c r="A63" s="102"/>
      <c r="B63" s="87"/>
      <c r="C63" s="122" t="s">
        <v>82</v>
      </c>
      <c r="D63" s="72">
        <v>1</v>
      </c>
      <c r="E63" s="73">
        <v>6500</v>
      </c>
      <c r="F63" s="74">
        <f>ROUND(E63*F$12,2)</f>
        <v>7150</v>
      </c>
      <c r="G63" s="74">
        <f>F63*1.1*1.1+0.5</f>
        <v>8652.0000000000018</v>
      </c>
      <c r="H63" s="74">
        <v>10692.91</v>
      </c>
      <c r="I63" s="74">
        <f t="shared" si="87"/>
        <v>11762.201000000001</v>
      </c>
      <c r="J63" s="74">
        <v>12467.933060000001</v>
      </c>
      <c r="K63" s="74">
        <v>17207.939999999999</v>
      </c>
      <c r="L63" s="75" t="s">
        <v>83</v>
      </c>
      <c r="M63" s="83">
        <v>30</v>
      </c>
      <c r="N63" s="76"/>
      <c r="O63" s="78">
        <f t="shared" si="88"/>
        <v>5162.38</v>
      </c>
      <c r="P63" s="78">
        <f t="shared" ref="P63:P71" si="93">ROUND(K63*1.14,2)</f>
        <v>19617.05</v>
      </c>
      <c r="Q63" s="78">
        <f t="shared" si="89"/>
        <v>26500.227599999998</v>
      </c>
      <c r="R63" s="79">
        <f t="shared" si="90"/>
        <v>68487.597599999994</v>
      </c>
      <c r="S63" s="78">
        <f t="shared" si="91"/>
        <v>4301.99</v>
      </c>
      <c r="T63" s="78">
        <v>1.54</v>
      </c>
      <c r="U63" s="78">
        <f t="shared" si="92"/>
        <v>72789.587599999999</v>
      </c>
      <c r="V63" s="79">
        <f t="shared" si="21"/>
        <v>59584.209911999991</v>
      </c>
      <c r="W63" s="78">
        <f t="shared" si="0"/>
        <v>63326.941211999998</v>
      </c>
      <c r="X63" s="80">
        <v>3</v>
      </c>
      <c r="Y63" s="78">
        <v>3</v>
      </c>
      <c r="Z63" s="80">
        <f t="shared" si="1"/>
        <v>0</v>
      </c>
      <c r="AA63" s="80">
        <f t="shared" si="2"/>
        <v>0</v>
      </c>
      <c r="AB63" s="80">
        <f t="shared" si="3"/>
        <v>51623.819999999992</v>
      </c>
      <c r="AC63" s="80"/>
      <c r="AD63">
        <v>0.1</v>
      </c>
      <c r="AE63" s="78">
        <f t="shared" si="4"/>
        <v>1720.7939999999999</v>
      </c>
      <c r="AF63">
        <v>0.2</v>
      </c>
      <c r="AG63" s="78">
        <f t="shared" si="5"/>
        <v>3441.5879999999997</v>
      </c>
    </row>
    <row r="64" spans="1:33" ht="15" customHeight="1" x14ac:dyDescent="0.2">
      <c r="A64" s="102"/>
      <c r="B64" s="87"/>
      <c r="C64" s="122" t="s">
        <v>45</v>
      </c>
      <c r="D64" s="72">
        <v>1</v>
      </c>
      <c r="E64" s="73">
        <v>6500</v>
      </c>
      <c r="F64" s="74">
        <f>ROUND(E64*F$12,2)</f>
        <v>7150</v>
      </c>
      <c r="G64" s="74">
        <f>F64*1.1*1.1+0.5</f>
        <v>8652.0000000000018</v>
      </c>
      <c r="H64" s="74">
        <v>10692.91</v>
      </c>
      <c r="I64" s="74">
        <f t="shared" si="87"/>
        <v>11762.201000000001</v>
      </c>
      <c r="J64" s="74">
        <v>12467.933060000001</v>
      </c>
      <c r="K64" s="74">
        <v>17207.939999999999</v>
      </c>
      <c r="L64" s="75" t="s">
        <v>212</v>
      </c>
      <c r="M64" s="83">
        <v>30</v>
      </c>
      <c r="N64" s="76"/>
      <c r="O64" s="78">
        <f t="shared" si="88"/>
        <v>5162.38</v>
      </c>
      <c r="P64" s="78">
        <f t="shared" si="93"/>
        <v>19617.05</v>
      </c>
      <c r="Q64" s="78">
        <f t="shared" si="89"/>
        <v>26500.227599999998</v>
      </c>
      <c r="R64" s="79">
        <f t="shared" si="90"/>
        <v>68487.597599999994</v>
      </c>
      <c r="S64" s="78">
        <f t="shared" si="91"/>
        <v>4301.99</v>
      </c>
      <c r="T64" s="78">
        <v>1.54</v>
      </c>
      <c r="U64" s="78">
        <f t="shared" si="92"/>
        <v>72789.587599999999</v>
      </c>
      <c r="V64" s="79">
        <f t="shared" si="21"/>
        <v>59584.209911999991</v>
      </c>
      <c r="W64" s="78">
        <f t="shared" si="0"/>
        <v>63326.941211999998</v>
      </c>
      <c r="X64" s="80">
        <v>3</v>
      </c>
      <c r="Y64" s="78">
        <v>3</v>
      </c>
      <c r="Z64" s="80">
        <f t="shared" si="1"/>
        <v>0</v>
      </c>
      <c r="AA64" s="80">
        <f t="shared" si="2"/>
        <v>0</v>
      </c>
      <c r="AB64" s="80">
        <f t="shared" si="3"/>
        <v>51623.819999999992</v>
      </c>
      <c r="AC64" s="80"/>
      <c r="AD64">
        <v>0.1</v>
      </c>
      <c r="AE64" s="78">
        <f t="shared" si="4"/>
        <v>1720.7939999999999</v>
      </c>
      <c r="AF64">
        <v>0.2</v>
      </c>
      <c r="AG64" s="78">
        <f t="shared" si="5"/>
        <v>3441.5879999999997</v>
      </c>
    </row>
    <row r="65" spans="1:34" ht="15" customHeight="1" x14ac:dyDescent="0.2">
      <c r="A65" s="102"/>
      <c r="B65" s="87"/>
      <c r="C65" s="122" t="s">
        <v>45</v>
      </c>
      <c r="D65" s="72">
        <v>1</v>
      </c>
      <c r="E65" s="73"/>
      <c r="F65" s="74"/>
      <c r="G65" s="74"/>
      <c r="H65" s="74">
        <v>10692.91</v>
      </c>
      <c r="I65" s="74">
        <f t="shared" si="87"/>
        <v>11762.201000000001</v>
      </c>
      <c r="J65" s="74">
        <v>12467.933060000001</v>
      </c>
      <c r="K65" s="74">
        <v>17207.939999999999</v>
      </c>
      <c r="L65" s="105" t="s">
        <v>204</v>
      </c>
      <c r="M65" s="83">
        <v>15</v>
      </c>
      <c r="N65" s="76"/>
      <c r="O65" s="78">
        <f t="shared" si="88"/>
        <v>2581.19</v>
      </c>
      <c r="P65" s="78">
        <f t="shared" si="93"/>
        <v>19617.05</v>
      </c>
      <c r="Q65" s="78">
        <f t="shared" si="89"/>
        <v>26500.227599999998</v>
      </c>
      <c r="R65" s="79">
        <f t="shared" si="90"/>
        <v>65906.407599999991</v>
      </c>
      <c r="S65" s="78">
        <f t="shared" si="91"/>
        <v>4301.99</v>
      </c>
      <c r="T65" s="78">
        <v>1.54</v>
      </c>
      <c r="U65" s="78">
        <f t="shared" si="92"/>
        <v>70208.397599999997</v>
      </c>
      <c r="V65" s="79">
        <f t="shared" si="21"/>
        <v>57338.574611999989</v>
      </c>
      <c r="W65" s="78">
        <f t="shared" si="0"/>
        <v>61081.305911999996</v>
      </c>
      <c r="X65" s="80">
        <v>3</v>
      </c>
      <c r="Y65" s="78">
        <v>0</v>
      </c>
      <c r="Z65" s="80">
        <f t="shared" si="1"/>
        <v>3</v>
      </c>
      <c r="AA65" s="80">
        <f t="shared" si="2"/>
        <v>51623.819999999992</v>
      </c>
      <c r="AB65" s="80">
        <f t="shared" si="3"/>
        <v>0</v>
      </c>
      <c r="AC65" s="80"/>
      <c r="AD65">
        <v>0.1</v>
      </c>
      <c r="AE65" s="78">
        <f t="shared" si="4"/>
        <v>1720.7939999999999</v>
      </c>
      <c r="AF65">
        <v>0.2</v>
      </c>
      <c r="AG65" s="78">
        <f t="shared" si="5"/>
        <v>3441.5879999999997</v>
      </c>
    </row>
    <row r="66" spans="1:34" ht="15" customHeight="1" x14ac:dyDescent="0.2">
      <c r="A66" s="102"/>
      <c r="B66" s="87"/>
      <c r="C66" s="122" t="s">
        <v>82</v>
      </c>
      <c r="D66" s="72">
        <v>1</v>
      </c>
      <c r="E66" s="73"/>
      <c r="F66" s="74"/>
      <c r="G66" s="74"/>
      <c r="H66" s="74"/>
      <c r="I66" s="74"/>
      <c r="J66" s="74">
        <v>12467.933060000001</v>
      </c>
      <c r="K66" s="74">
        <v>17207.939999999999</v>
      </c>
      <c r="L66" s="105" t="s">
        <v>84</v>
      </c>
      <c r="M66" s="83">
        <v>30</v>
      </c>
      <c r="N66" s="76"/>
      <c r="O66" s="78">
        <f t="shared" si="88"/>
        <v>5162.38</v>
      </c>
      <c r="P66" s="78">
        <f t="shared" si="93"/>
        <v>19617.05</v>
      </c>
      <c r="Q66" s="78">
        <f t="shared" si="89"/>
        <v>26500.227599999998</v>
      </c>
      <c r="R66" s="79">
        <f t="shared" si="90"/>
        <v>68487.597599999994</v>
      </c>
      <c r="S66" s="78">
        <f t="shared" si="91"/>
        <v>4301.99</v>
      </c>
      <c r="T66" s="78">
        <v>1.54</v>
      </c>
      <c r="U66" s="78">
        <f t="shared" si="92"/>
        <v>72789.587599999999</v>
      </c>
      <c r="V66" s="79">
        <f t="shared" si="21"/>
        <v>59584.209911999991</v>
      </c>
      <c r="W66" s="78">
        <f t="shared" si="0"/>
        <v>63326.941211999998</v>
      </c>
      <c r="X66" s="80">
        <v>3</v>
      </c>
      <c r="Y66" s="78">
        <v>3</v>
      </c>
      <c r="Z66" s="80">
        <f t="shared" si="1"/>
        <v>0</v>
      </c>
      <c r="AA66" s="80">
        <f t="shared" si="2"/>
        <v>0</v>
      </c>
      <c r="AB66" s="80">
        <f t="shared" si="3"/>
        <v>51623.819999999992</v>
      </c>
      <c r="AC66" s="80"/>
      <c r="AD66">
        <v>0.1</v>
      </c>
      <c r="AE66" s="78">
        <f t="shared" si="4"/>
        <v>1720.7939999999999</v>
      </c>
      <c r="AF66">
        <v>0.2</v>
      </c>
      <c r="AG66" s="78">
        <f t="shared" si="5"/>
        <v>3441.5879999999997</v>
      </c>
    </row>
    <row r="67" spans="1:34" ht="15" customHeight="1" x14ac:dyDescent="0.2">
      <c r="A67" s="102"/>
      <c r="B67" s="87"/>
      <c r="C67" s="122" t="s">
        <v>82</v>
      </c>
      <c r="D67" s="72">
        <v>1</v>
      </c>
      <c r="E67" s="73"/>
      <c r="F67" s="74"/>
      <c r="G67" s="74"/>
      <c r="H67" s="74"/>
      <c r="I67" s="74"/>
      <c r="J67" s="74">
        <v>12467.933060000001</v>
      </c>
      <c r="K67" s="74">
        <v>17207.939999999999</v>
      </c>
      <c r="L67" s="105" t="s">
        <v>205</v>
      </c>
      <c r="M67" s="83"/>
      <c r="N67" s="76"/>
      <c r="O67" s="78">
        <f t="shared" si="88"/>
        <v>0</v>
      </c>
      <c r="P67" s="78">
        <f t="shared" si="93"/>
        <v>19617.05</v>
      </c>
      <c r="Q67" s="78">
        <f t="shared" si="89"/>
        <v>26500.227599999998</v>
      </c>
      <c r="R67" s="79">
        <f t="shared" si="90"/>
        <v>63325.217599999996</v>
      </c>
      <c r="S67" s="78">
        <f t="shared" si="91"/>
        <v>4301.99</v>
      </c>
      <c r="T67" s="78">
        <v>1.54</v>
      </c>
      <c r="U67" s="78">
        <f t="shared" si="92"/>
        <v>67627.207599999994</v>
      </c>
      <c r="V67" s="79">
        <f t="shared" si="21"/>
        <v>55092.939311999995</v>
      </c>
      <c r="W67" s="78">
        <f t="shared" si="0"/>
        <v>58835.670611999994</v>
      </c>
      <c r="X67" s="80">
        <v>3</v>
      </c>
      <c r="Y67" s="78">
        <v>3</v>
      </c>
      <c r="Z67" s="80">
        <f t="shared" si="1"/>
        <v>0</v>
      </c>
      <c r="AA67" s="80">
        <f t="shared" si="2"/>
        <v>0</v>
      </c>
      <c r="AB67" s="80">
        <f t="shared" si="3"/>
        <v>51623.819999999992</v>
      </c>
      <c r="AC67" s="80"/>
      <c r="AD67">
        <v>0.1</v>
      </c>
      <c r="AE67" s="78">
        <f t="shared" si="4"/>
        <v>1720.7939999999999</v>
      </c>
      <c r="AF67">
        <v>0.2</v>
      </c>
      <c r="AG67" s="78">
        <f t="shared" si="5"/>
        <v>3441.5879999999997</v>
      </c>
    </row>
    <row r="68" spans="1:34" ht="15" customHeight="1" x14ac:dyDescent="0.2">
      <c r="A68" s="102"/>
      <c r="B68" s="87"/>
      <c r="C68" s="122" t="s">
        <v>82</v>
      </c>
      <c r="D68" s="72">
        <v>1</v>
      </c>
      <c r="E68" s="73"/>
      <c r="F68" s="74"/>
      <c r="G68" s="74"/>
      <c r="H68" s="74"/>
      <c r="I68" s="74"/>
      <c r="J68" s="74"/>
      <c r="K68" s="74">
        <v>17207.939999999999</v>
      </c>
      <c r="L68" s="105" t="s">
        <v>85</v>
      </c>
      <c r="M68" s="83">
        <v>30</v>
      </c>
      <c r="N68" s="76"/>
      <c r="O68" s="78">
        <f t="shared" si="88"/>
        <v>5162.38</v>
      </c>
      <c r="P68" s="78">
        <f t="shared" si="93"/>
        <v>19617.05</v>
      </c>
      <c r="Q68" s="78">
        <f t="shared" si="89"/>
        <v>26500.227599999998</v>
      </c>
      <c r="R68" s="79">
        <f t="shared" si="90"/>
        <v>68487.597599999994</v>
      </c>
      <c r="S68" s="78">
        <f t="shared" si="91"/>
        <v>4301.99</v>
      </c>
      <c r="T68" s="78">
        <v>1.54</v>
      </c>
      <c r="U68" s="78">
        <f t="shared" si="92"/>
        <v>72789.587599999999</v>
      </c>
      <c r="V68" s="79">
        <f t="shared" si="21"/>
        <v>59584.209911999991</v>
      </c>
      <c r="W68" s="78">
        <f t="shared" si="0"/>
        <v>63326.941211999998</v>
      </c>
      <c r="X68" s="80"/>
      <c r="Y68" s="78"/>
      <c r="Z68" s="80"/>
      <c r="AA68" s="80"/>
      <c r="AB68" s="80"/>
      <c r="AC68" s="80"/>
      <c r="AE68" s="78"/>
      <c r="AG68" s="78"/>
    </row>
    <row r="69" spans="1:34" ht="16.5" customHeight="1" x14ac:dyDescent="0.2">
      <c r="A69" s="102"/>
      <c r="B69" s="87"/>
      <c r="C69" s="122" t="s">
        <v>82</v>
      </c>
      <c r="D69" s="109">
        <v>1</v>
      </c>
      <c r="E69" s="73"/>
      <c r="F69" s="74"/>
      <c r="G69" s="74"/>
      <c r="H69" s="74">
        <v>9212.35</v>
      </c>
      <c r="I69" s="74">
        <f>H69*$I$12</f>
        <v>10133.585000000001</v>
      </c>
      <c r="J69" s="74">
        <v>10741.600100000001</v>
      </c>
      <c r="K69" s="74">
        <v>17207.939999999999</v>
      </c>
      <c r="L69" s="75" t="s">
        <v>86</v>
      </c>
      <c r="M69" s="83">
        <v>30</v>
      </c>
      <c r="N69" s="76"/>
      <c r="O69" s="78">
        <f t="shared" si="88"/>
        <v>5162.38</v>
      </c>
      <c r="P69" s="78">
        <f t="shared" si="93"/>
        <v>19617.05</v>
      </c>
      <c r="Q69" s="78">
        <f t="shared" si="89"/>
        <v>26500.227599999998</v>
      </c>
      <c r="R69" s="79">
        <f t="shared" si="90"/>
        <v>68487.597599999994</v>
      </c>
      <c r="S69" s="78">
        <f t="shared" si="91"/>
        <v>4301.99</v>
      </c>
      <c r="T69" s="78">
        <v>1.54</v>
      </c>
      <c r="U69" s="78">
        <f t="shared" si="92"/>
        <v>72789.587599999999</v>
      </c>
      <c r="V69" s="79">
        <f t="shared" si="21"/>
        <v>59584.209911999991</v>
      </c>
      <c r="W69" s="78">
        <f t="shared" si="0"/>
        <v>63326.941211999998</v>
      </c>
      <c r="X69" s="80">
        <v>3</v>
      </c>
      <c r="Y69" s="78">
        <v>3</v>
      </c>
      <c r="Z69" s="80">
        <f t="shared" si="1"/>
        <v>0</v>
      </c>
      <c r="AA69" s="80">
        <f t="shared" si="2"/>
        <v>0</v>
      </c>
      <c r="AB69" s="80">
        <f t="shared" si="3"/>
        <v>51623.819999999992</v>
      </c>
      <c r="AC69" s="80"/>
      <c r="AD69">
        <v>0.1</v>
      </c>
      <c r="AE69" s="78">
        <f t="shared" si="4"/>
        <v>1720.7939999999999</v>
      </c>
      <c r="AF69">
        <v>0.2</v>
      </c>
      <c r="AG69" s="78">
        <f t="shared" si="5"/>
        <v>3441.5879999999997</v>
      </c>
    </row>
    <row r="70" spans="1:34" ht="16.5" customHeight="1" x14ac:dyDescent="0.2">
      <c r="A70" s="102"/>
      <c r="B70" s="87"/>
      <c r="C70" s="122" t="s">
        <v>82</v>
      </c>
      <c r="D70" s="109">
        <v>1</v>
      </c>
      <c r="E70" s="73"/>
      <c r="F70" s="74"/>
      <c r="G70" s="74"/>
      <c r="H70" s="74">
        <v>9212.35</v>
      </c>
      <c r="I70" s="74">
        <f>H70*$I$12</f>
        <v>10133.585000000001</v>
      </c>
      <c r="J70" s="74">
        <v>10741.600100000001</v>
      </c>
      <c r="K70" s="74">
        <v>17207.939999999999</v>
      </c>
      <c r="L70" s="75" t="s">
        <v>87</v>
      </c>
      <c r="M70" s="83">
        <v>30</v>
      </c>
      <c r="N70" s="76"/>
      <c r="O70" s="78">
        <f t="shared" si="88"/>
        <v>5162.38</v>
      </c>
      <c r="P70" s="78">
        <f t="shared" si="93"/>
        <v>19617.05</v>
      </c>
      <c r="Q70" s="78">
        <f t="shared" si="89"/>
        <v>26500.227599999998</v>
      </c>
      <c r="R70" s="79">
        <f t="shared" si="90"/>
        <v>68487.597599999994</v>
      </c>
      <c r="S70" s="78">
        <f t="shared" si="91"/>
        <v>4301.99</v>
      </c>
      <c r="T70" s="78">
        <v>1.54</v>
      </c>
      <c r="U70" s="78">
        <f t="shared" si="92"/>
        <v>72789.587599999999</v>
      </c>
      <c r="V70" s="79">
        <f t="shared" si="21"/>
        <v>59584.209911999991</v>
      </c>
      <c r="W70" s="78">
        <f t="shared" si="0"/>
        <v>63326.941211999998</v>
      </c>
      <c r="X70" s="80">
        <v>3</v>
      </c>
      <c r="Y70" s="78">
        <v>0</v>
      </c>
      <c r="Z70" s="80">
        <f t="shared" si="1"/>
        <v>3</v>
      </c>
      <c r="AA70" s="80">
        <f t="shared" si="2"/>
        <v>51623.819999999992</v>
      </c>
      <c r="AB70" s="80">
        <f t="shared" si="3"/>
        <v>0</v>
      </c>
      <c r="AC70" s="80"/>
      <c r="AD70">
        <v>0.1</v>
      </c>
      <c r="AE70" s="78">
        <f t="shared" si="4"/>
        <v>1720.7939999999999</v>
      </c>
      <c r="AF70">
        <v>0.2</v>
      </c>
      <c r="AG70" s="78">
        <f t="shared" si="5"/>
        <v>3441.5879999999997</v>
      </c>
    </row>
    <row r="71" spans="1:34" ht="16.5" customHeight="1" x14ac:dyDescent="0.2">
      <c r="A71" s="102"/>
      <c r="B71" s="87"/>
      <c r="C71" s="120" t="s">
        <v>45</v>
      </c>
      <c r="D71" s="109">
        <v>1</v>
      </c>
      <c r="E71" s="73"/>
      <c r="F71" s="74"/>
      <c r="G71" s="74"/>
      <c r="H71" s="74"/>
      <c r="I71" s="74"/>
      <c r="J71" s="74"/>
      <c r="K71" s="74">
        <v>17207.939999999999</v>
      </c>
      <c r="L71" s="75" t="s">
        <v>220</v>
      </c>
      <c r="M71" s="83">
        <v>20</v>
      </c>
      <c r="N71" s="76"/>
      <c r="O71" s="78">
        <f t="shared" si="88"/>
        <v>3441.59</v>
      </c>
      <c r="P71" s="78">
        <f t="shared" si="93"/>
        <v>19617.05</v>
      </c>
      <c r="Q71" s="78">
        <f t="shared" si="89"/>
        <v>26500.227599999998</v>
      </c>
      <c r="R71" s="79">
        <f t="shared" si="90"/>
        <v>66766.8076</v>
      </c>
      <c r="S71" s="78">
        <f t="shared" si="91"/>
        <v>4301.99</v>
      </c>
      <c r="T71" s="78">
        <v>1.54</v>
      </c>
      <c r="U71" s="78">
        <f t="shared" si="92"/>
        <v>71068.797600000005</v>
      </c>
      <c r="V71" s="79">
        <f t="shared" si="21"/>
        <v>58087.122611999999</v>
      </c>
      <c r="W71" s="78">
        <f t="shared" si="0"/>
        <v>61829.853912000006</v>
      </c>
      <c r="X71" s="80">
        <v>3</v>
      </c>
      <c r="Y71" s="78">
        <v>3</v>
      </c>
      <c r="Z71" s="80">
        <f t="shared" si="1"/>
        <v>0</v>
      </c>
      <c r="AA71" s="80">
        <f t="shared" si="2"/>
        <v>0</v>
      </c>
      <c r="AB71" s="80">
        <f t="shared" si="3"/>
        <v>51623.819999999992</v>
      </c>
      <c r="AC71" s="80"/>
      <c r="AD71">
        <v>0.1</v>
      </c>
      <c r="AE71" s="78">
        <f t="shared" si="4"/>
        <v>1720.7939999999999</v>
      </c>
      <c r="AF71">
        <v>0.2</v>
      </c>
      <c r="AG71" s="78">
        <f t="shared" si="5"/>
        <v>3441.5879999999997</v>
      </c>
    </row>
    <row r="72" spans="1:34" ht="16.5" customHeight="1" x14ac:dyDescent="0.2">
      <c r="A72" s="102"/>
      <c r="B72" s="87"/>
      <c r="C72" s="120" t="s">
        <v>45</v>
      </c>
      <c r="D72" s="109">
        <v>1</v>
      </c>
      <c r="E72" s="73"/>
      <c r="F72" s="74"/>
      <c r="G72" s="74"/>
      <c r="H72" s="74">
        <v>9212.35</v>
      </c>
      <c r="I72" s="74">
        <f>H72*$I$12</f>
        <v>10133.585000000001</v>
      </c>
      <c r="J72" s="74">
        <v>10741.600100000001</v>
      </c>
      <c r="K72" s="74">
        <v>17207.939999999999</v>
      </c>
      <c r="L72" s="75" t="s">
        <v>222</v>
      </c>
      <c r="M72" s="83">
        <v>30</v>
      </c>
      <c r="N72" s="76"/>
      <c r="O72" s="78">
        <f t="shared" si="88"/>
        <v>5162.38</v>
      </c>
      <c r="P72" s="78">
        <f>ROUND(K72*1.14,2)</f>
        <v>19617.05</v>
      </c>
      <c r="Q72" s="78">
        <f t="shared" si="89"/>
        <v>26500.227599999998</v>
      </c>
      <c r="R72" s="79">
        <f t="shared" si="90"/>
        <v>68487.597599999994</v>
      </c>
      <c r="S72" s="78">
        <f t="shared" si="91"/>
        <v>4301.99</v>
      </c>
      <c r="T72" s="78">
        <v>1.54</v>
      </c>
      <c r="U72" s="78">
        <f t="shared" si="92"/>
        <v>72789.587599999999</v>
      </c>
      <c r="V72" s="79">
        <f t="shared" si="21"/>
        <v>59584.209911999991</v>
      </c>
      <c r="W72" s="78">
        <f t="shared" si="0"/>
        <v>63326.941211999998</v>
      </c>
      <c r="X72" s="80">
        <v>3</v>
      </c>
      <c r="Y72" s="78"/>
      <c r="Z72" s="80">
        <f t="shared" si="1"/>
        <v>3</v>
      </c>
      <c r="AA72" s="80">
        <f t="shared" si="2"/>
        <v>51623.819999999992</v>
      </c>
      <c r="AB72" s="80">
        <f t="shared" si="3"/>
        <v>0</v>
      </c>
      <c r="AC72" s="80"/>
      <c r="AD72">
        <v>0.1</v>
      </c>
      <c r="AE72" s="78">
        <f t="shared" si="4"/>
        <v>1720.7939999999999</v>
      </c>
      <c r="AF72">
        <v>0.2</v>
      </c>
      <c r="AG72" s="78">
        <f t="shared" si="5"/>
        <v>3441.5879999999997</v>
      </c>
    </row>
    <row r="73" spans="1:34" ht="16.5" hidden="1" customHeight="1" x14ac:dyDescent="0.2">
      <c r="A73" s="102"/>
      <c r="B73" s="215"/>
      <c r="C73" s="120" t="s">
        <v>70</v>
      </c>
      <c r="D73" s="109">
        <v>0</v>
      </c>
      <c r="E73" s="73"/>
      <c r="F73" s="74"/>
      <c r="G73" s="74"/>
      <c r="H73" s="74"/>
      <c r="I73" s="74"/>
      <c r="J73" s="74"/>
      <c r="K73" s="74">
        <v>0</v>
      </c>
      <c r="L73" s="75"/>
      <c r="M73" s="83">
        <v>10</v>
      </c>
      <c r="N73" s="76"/>
      <c r="O73" s="78">
        <f t="shared" ref="O73:O74" si="94">ROUND((K73*M73/100),2)</f>
        <v>0</v>
      </c>
      <c r="P73" s="78">
        <f>ROUND(K73*1.14,2)</f>
        <v>0</v>
      </c>
      <c r="Q73" s="78">
        <f t="shared" ref="Q73" si="95">K73*T73</f>
        <v>0</v>
      </c>
      <c r="R73" s="79">
        <f t="shared" ref="R73" si="96">K73+O73+P73+Q73</f>
        <v>0</v>
      </c>
      <c r="S73" s="78">
        <f t="shared" ref="S73" si="97">ROUND(K73*S$12,2)</f>
        <v>0</v>
      </c>
      <c r="T73" s="78">
        <v>2.54</v>
      </c>
      <c r="U73" s="78">
        <f t="shared" ref="U73" si="98">K73+O73+P73+Q73+S73</f>
        <v>0</v>
      </c>
      <c r="V73" s="79">
        <f t="shared" ref="V73" si="99">R73*0.87</f>
        <v>0</v>
      </c>
      <c r="W73" s="78">
        <f t="shared" ref="W73" si="100">U73*0.87</f>
        <v>0</v>
      </c>
      <c r="X73" s="80">
        <v>4</v>
      </c>
      <c r="Y73" s="78"/>
      <c r="Z73" s="80"/>
      <c r="AA73" s="80"/>
      <c r="AB73" s="80"/>
      <c r="AC73" s="80"/>
      <c r="AE73" s="78"/>
      <c r="AG73" s="78"/>
    </row>
    <row r="74" spans="1:34" ht="16.5" hidden="1" customHeight="1" x14ac:dyDescent="0.2">
      <c r="A74" s="102"/>
      <c r="B74" s="215"/>
      <c r="C74" s="120" t="s">
        <v>70</v>
      </c>
      <c r="D74" s="109">
        <v>0</v>
      </c>
      <c r="E74" s="73"/>
      <c r="F74" s="74"/>
      <c r="G74" s="74"/>
      <c r="H74" s="74"/>
      <c r="I74" s="74"/>
      <c r="J74" s="74"/>
      <c r="K74" s="74">
        <v>0</v>
      </c>
      <c r="L74" s="75"/>
      <c r="M74" s="83">
        <v>15</v>
      </c>
      <c r="N74" s="76"/>
      <c r="O74" s="78">
        <f t="shared" si="94"/>
        <v>0</v>
      </c>
      <c r="P74" s="78">
        <f>ROUND(K74*1.14,2)</f>
        <v>0</v>
      </c>
      <c r="Q74" s="78">
        <f t="shared" ref="Q74" si="101">K74*T74</f>
        <v>0</v>
      </c>
      <c r="R74" s="79">
        <f t="shared" ref="R74" si="102">K74+O74+P74+Q74</f>
        <v>0</v>
      </c>
      <c r="S74" s="78">
        <f t="shared" ref="S74" si="103">ROUND(K74*S$12,2)</f>
        <v>0</v>
      </c>
      <c r="T74" s="78">
        <v>3.54</v>
      </c>
      <c r="U74" s="78">
        <f t="shared" ref="U74" si="104">K74+O74+P74+Q74+S74</f>
        <v>0</v>
      </c>
      <c r="V74" s="79">
        <f t="shared" ref="V74" si="105">R74*0.87</f>
        <v>0</v>
      </c>
      <c r="W74" s="78">
        <f t="shared" ref="W74" si="106">U74*0.87</f>
        <v>0</v>
      </c>
      <c r="X74" s="80">
        <v>5</v>
      </c>
      <c r="Y74" s="78"/>
      <c r="Z74" s="80"/>
      <c r="AA74" s="80"/>
      <c r="AB74" s="80"/>
      <c r="AC74" s="80"/>
      <c r="AE74" s="78"/>
      <c r="AG74" s="78"/>
    </row>
    <row r="75" spans="1:34" ht="16.5" customHeight="1" x14ac:dyDescent="0.2">
      <c r="A75" s="102"/>
      <c r="B75" s="215"/>
      <c r="C75" s="120" t="s">
        <v>70</v>
      </c>
      <c r="D75" s="109">
        <v>1</v>
      </c>
      <c r="E75" s="73"/>
      <c r="F75" s="74"/>
      <c r="G75" s="74"/>
      <c r="H75" s="74"/>
      <c r="I75" s="74"/>
      <c r="J75" s="74"/>
      <c r="K75" s="74">
        <v>14825.32</v>
      </c>
      <c r="L75" s="75" t="s">
        <v>226</v>
      </c>
      <c r="M75" s="83">
        <v>0</v>
      </c>
      <c r="N75" s="76"/>
      <c r="O75" s="78">
        <f t="shared" ref="O75:O76" si="107">ROUND((K75*M75/100),2)</f>
        <v>0</v>
      </c>
      <c r="P75" s="78">
        <f>ROUND(K75*1.14,2)</f>
        <v>16900.86</v>
      </c>
      <c r="Q75" s="78">
        <f>K75*T75</f>
        <v>21348.460799999997</v>
      </c>
      <c r="R75" s="79">
        <f t="shared" ref="R75:R76" si="108">K75+O75+P75+Q75</f>
        <v>53074.640799999994</v>
      </c>
      <c r="S75" s="78">
        <f t="shared" ref="S75:S76" si="109">ROUND(K75*S$12,2)</f>
        <v>3706.33</v>
      </c>
      <c r="T75" s="78">
        <v>1.44</v>
      </c>
      <c r="U75" s="78">
        <f t="shared" ref="U75:U76" si="110">K75+O75+P75+Q75+S75</f>
        <v>56780.970799999996</v>
      </c>
      <c r="V75" s="79">
        <f t="shared" ref="V75:V76" si="111">R75*0.87</f>
        <v>46174.937495999991</v>
      </c>
      <c r="W75" s="78">
        <f t="shared" ref="W75:W76" si="112">U75*0.87</f>
        <v>49399.444595999994</v>
      </c>
      <c r="X75" s="80">
        <v>6</v>
      </c>
      <c r="Y75" s="78"/>
      <c r="Z75" s="80"/>
      <c r="AA75" s="80"/>
      <c r="AB75" s="80"/>
      <c r="AC75" s="80"/>
      <c r="AE75" s="78"/>
      <c r="AG75" s="78"/>
    </row>
    <row r="76" spans="1:34" ht="16.5" customHeight="1" x14ac:dyDescent="0.2">
      <c r="A76" s="102"/>
      <c r="B76" s="215"/>
      <c r="C76" s="107" t="s">
        <v>150</v>
      </c>
      <c r="D76" s="109">
        <v>1</v>
      </c>
      <c r="E76" s="73"/>
      <c r="F76" s="74"/>
      <c r="G76" s="74"/>
      <c r="H76" s="74"/>
      <c r="I76" s="74"/>
      <c r="J76" s="74"/>
      <c r="K76" s="74">
        <v>17207.939999999999</v>
      </c>
      <c r="L76" s="75" t="s">
        <v>209</v>
      </c>
      <c r="M76" s="83">
        <v>30</v>
      </c>
      <c r="N76" s="76"/>
      <c r="O76" s="78">
        <f t="shared" si="107"/>
        <v>5162.38</v>
      </c>
      <c r="P76" s="78">
        <f>ROUND(K76*1.14,2)</f>
        <v>19617.05</v>
      </c>
      <c r="Q76" s="78">
        <f>K76*T76</f>
        <v>26500.227599999998</v>
      </c>
      <c r="R76" s="79">
        <f t="shared" si="108"/>
        <v>68487.597599999994</v>
      </c>
      <c r="S76" s="78">
        <f t="shared" si="109"/>
        <v>4301.99</v>
      </c>
      <c r="T76" s="78">
        <v>1.54</v>
      </c>
      <c r="U76" s="78">
        <f t="shared" si="110"/>
        <v>72789.587599999999</v>
      </c>
      <c r="V76" s="79">
        <f t="shared" si="111"/>
        <v>59584.209911999991</v>
      </c>
      <c r="W76" s="78">
        <f t="shared" si="112"/>
        <v>63326.941211999998</v>
      </c>
      <c r="X76" s="80"/>
      <c r="Y76" s="78"/>
      <c r="Z76" s="80"/>
      <c r="AA76" s="80"/>
      <c r="AB76" s="80"/>
      <c r="AC76" s="80"/>
      <c r="AE76" s="78"/>
      <c r="AG76" s="78"/>
    </row>
    <row r="77" spans="1:34" ht="15.75" customHeight="1" x14ac:dyDescent="0.2">
      <c r="A77" s="102"/>
      <c r="B77" s="87"/>
      <c r="C77" s="87" t="s">
        <v>51</v>
      </c>
      <c r="D77" s="88">
        <f>SUM(D60:D76)</f>
        <v>15</v>
      </c>
      <c r="E77" s="88">
        <f t="shared" ref="E77:J77" si="113">SUM(E60:E67)</f>
        <v>28000</v>
      </c>
      <c r="F77" s="88">
        <f t="shared" si="113"/>
        <v>29700</v>
      </c>
      <c r="G77" s="88">
        <f t="shared" si="113"/>
        <v>35939</v>
      </c>
      <c r="H77" s="88">
        <f t="shared" si="113"/>
        <v>65802.530000000013</v>
      </c>
      <c r="I77" s="88">
        <f t="shared" si="113"/>
        <v>72382.782999999996</v>
      </c>
      <c r="J77" s="88">
        <f t="shared" si="113"/>
        <v>101661.6161</v>
      </c>
      <c r="K77" s="90">
        <f>SUM(K60:K76)</f>
        <v>264208.03000000003</v>
      </c>
      <c r="L77" s="90"/>
      <c r="M77" s="90"/>
      <c r="N77" s="90">
        <f t="shared" ref="N77" si="114">SUM(N60:N72)</f>
        <v>0</v>
      </c>
      <c r="O77" s="90">
        <f>SUM(O60:O76)</f>
        <v>60730.759999999995</v>
      </c>
      <c r="P77" s="90">
        <f>SUM(P60:P76)</f>
        <v>303447.39999999991</v>
      </c>
      <c r="Q77" s="90">
        <f t="shared" ref="Q77:W77" si="115">SUM(Q60:Q75)</f>
        <v>378897.60659999988</v>
      </c>
      <c r="R77" s="90">
        <f t="shared" si="115"/>
        <v>965296.42659999966</v>
      </c>
      <c r="S77" s="90">
        <f>SUM(S60:S76)</f>
        <v>66052.069999999992</v>
      </c>
      <c r="T77" s="90">
        <f t="shared" si="115"/>
        <v>27.539999999999996</v>
      </c>
      <c r="U77" s="90">
        <f t="shared" si="115"/>
        <v>1027046.5065999998</v>
      </c>
      <c r="V77" s="90">
        <f t="shared" si="115"/>
        <v>839807.89114199986</v>
      </c>
      <c r="W77" s="90">
        <f t="shared" si="115"/>
        <v>893530.46074199979</v>
      </c>
      <c r="X77" s="90">
        <f t="shared" ref="X77:AH77" si="116">SUM(X60:X75)</f>
        <v>51</v>
      </c>
      <c r="Y77" s="90">
        <f t="shared" si="116"/>
        <v>23</v>
      </c>
      <c r="Z77" s="90">
        <f t="shared" si="116"/>
        <v>13</v>
      </c>
      <c r="AA77" s="90">
        <f t="shared" si="116"/>
        <v>228997.94</v>
      </c>
      <c r="AB77" s="90">
        <f t="shared" si="116"/>
        <v>415902.55000000005</v>
      </c>
      <c r="AC77" s="90">
        <f t="shared" si="116"/>
        <v>0</v>
      </c>
      <c r="AD77" s="90">
        <f t="shared" si="116"/>
        <v>1.2</v>
      </c>
      <c r="AE77" s="90">
        <f t="shared" si="116"/>
        <v>21496.683000000005</v>
      </c>
      <c r="AF77" s="90">
        <f t="shared" si="116"/>
        <v>2.4</v>
      </c>
      <c r="AG77" s="90">
        <f t="shared" si="116"/>
        <v>42993.366000000009</v>
      </c>
      <c r="AH77" s="90">
        <f t="shared" si="116"/>
        <v>0</v>
      </c>
    </row>
    <row r="78" spans="1:34" ht="25.5" customHeight="1" x14ac:dyDescent="0.2">
      <c r="A78" s="131" t="s">
        <v>88</v>
      </c>
      <c r="B78" s="87"/>
      <c r="C78" s="131"/>
      <c r="D78" s="132"/>
      <c r="E78" s="95"/>
      <c r="F78" s="95"/>
      <c r="G78" s="95"/>
      <c r="H78" s="95"/>
      <c r="I78" s="95"/>
      <c r="J78" s="95"/>
      <c r="K78" s="90"/>
      <c r="L78" s="90"/>
      <c r="M78" s="113"/>
      <c r="N78" s="113"/>
      <c r="O78" s="90"/>
      <c r="P78" s="132"/>
      <c r="Q78" s="95"/>
      <c r="R78" s="79"/>
      <c r="S78" s="90"/>
      <c r="T78" s="132"/>
      <c r="U78" s="90"/>
      <c r="V78" s="115"/>
      <c r="W78" s="90"/>
      <c r="X78" s="80"/>
      <c r="Y78" s="90"/>
      <c r="Z78" s="80"/>
      <c r="AA78" s="80">
        <f t="shared" si="2"/>
        <v>0</v>
      </c>
      <c r="AB78" s="80">
        <f t="shared" si="3"/>
        <v>0</v>
      </c>
      <c r="AC78" s="91"/>
      <c r="AD78">
        <v>0.1</v>
      </c>
      <c r="AE78" s="90"/>
      <c r="AG78" s="90"/>
    </row>
    <row r="79" spans="1:34" x14ac:dyDescent="0.2">
      <c r="A79" s="133"/>
      <c r="B79" s="87"/>
      <c r="C79" s="87" t="s">
        <v>58</v>
      </c>
      <c r="D79" s="109">
        <v>1</v>
      </c>
      <c r="E79" s="73">
        <v>7500</v>
      </c>
      <c r="F79" s="74">
        <f>ROUND(E79*F$12,2)</f>
        <v>8250</v>
      </c>
      <c r="G79" s="74">
        <f>F79*1.1*1.1+0.5</f>
        <v>9983</v>
      </c>
      <c r="H79" s="74">
        <v>12337.98</v>
      </c>
      <c r="I79" s="74">
        <f t="shared" ref="I79:I86" si="117">H79*$I$12</f>
        <v>13571.778</v>
      </c>
      <c r="J79" s="74">
        <v>14386.084680000002</v>
      </c>
      <c r="K79" s="74">
        <v>22502.66</v>
      </c>
      <c r="L79" s="75" t="s">
        <v>89</v>
      </c>
      <c r="M79" s="76">
        <v>20</v>
      </c>
      <c r="N79" s="76"/>
      <c r="O79" s="78">
        <f t="shared" ref="O79:O85" si="118">ROUND((K79*M79/100),2)</f>
        <v>4500.53</v>
      </c>
      <c r="P79" s="78">
        <f>ROUND(K79*1.24,2)</f>
        <v>27903.3</v>
      </c>
      <c r="Q79" s="78">
        <f t="shared" ref="Q79:Q86" si="119">K79*T79</f>
        <v>34654.096400000002</v>
      </c>
      <c r="R79" s="79">
        <f t="shared" ref="R79:R86" si="120">K79+O79+P79+Q79</f>
        <v>89560.5864</v>
      </c>
      <c r="S79" s="78">
        <f t="shared" ref="S79:S86" si="121">ROUND(K79*S$12,2)</f>
        <v>5625.67</v>
      </c>
      <c r="T79" s="78">
        <v>1.54</v>
      </c>
      <c r="U79" s="78">
        <f t="shared" ref="U79:U86" si="122">K79+O79+P79+Q79+S79</f>
        <v>95186.256399999998</v>
      </c>
      <c r="V79" s="79">
        <f t="shared" si="21"/>
        <v>77917.710168000005</v>
      </c>
      <c r="W79" s="78">
        <f t="shared" si="0"/>
        <v>82812.043067999999</v>
      </c>
      <c r="X79" s="80">
        <v>3</v>
      </c>
      <c r="Y79" s="78">
        <v>3</v>
      </c>
      <c r="Z79" s="80">
        <f t="shared" si="1"/>
        <v>0</v>
      </c>
      <c r="AA79" s="80">
        <f t="shared" si="2"/>
        <v>0</v>
      </c>
      <c r="AB79" s="80">
        <f t="shared" si="3"/>
        <v>67507.98</v>
      </c>
      <c r="AC79" s="80"/>
      <c r="AD79">
        <v>0.1</v>
      </c>
      <c r="AE79" s="78">
        <f t="shared" si="4"/>
        <v>2250.2660000000001</v>
      </c>
      <c r="AF79">
        <v>0.2</v>
      </c>
      <c r="AG79" s="78">
        <f t="shared" si="5"/>
        <v>4500.5320000000002</v>
      </c>
    </row>
    <row r="80" spans="1:34" x14ac:dyDescent="0.2">
      <c r="A80" s="133"/>
      <c r="B80" s="87"/>
      <c r="C80" s="122" t="s">
        <v>60</v>
      </c>
      <c r="D80" s="72">
        <v>1</v>
      </c>
      <c r="E80" s="73"/>
      <c r="F80" s="74"/>
      <c r="G80" s="74"/>
      <c r="H80" s="74">
        <v>10692.91</v>
      </c>
      <c r="I80" s="74">
        <f>H80*$I$12</f>
        <v>11762.201000000001</v>
      </c>
      <c r="J80" s="74">
        <v>12467.933060000001</v>
      </c>
      <c r="K80" s="74">
        <v>20384.77</v>
      </c>
      <c r="L80" s="75" t="s">
        <v>192</v>
      </c>
      <c r="M80" s="83">
        <v>30</v>
      </c>
      <c r="N80" s="76"/>
      <c r="O80" s="78">
        <f>ROUND((K80*M80/100),2)</f>
        <v>6115.43</v>
      </c>
      <c r="P80" s="78">
        <f>ROUND(K80*1.14,2)</f>
        <v>23238.639999999999</v>
      </c>
      <c r="Q80" s="78">
        <f>K80*T80</f>
        <v>31392.5458</v>
      </c>
      <c r="R80" s="79">
        <f>K80+O80+P80+Q80</f>
        <v>81131.385799999989</v>
      </c>
      <c r="S80" s="78">
        <f>ROUND(K80*S$12,2)</f>
        <v>5096.1899999999996</v>
      </c>
      <c r="T80" s="78">
        <v>1.54</v>
      </c>
      <c r="U80" s="78">
        <f>K80+O80+P80+Q80+S80</f>
        <v>86227.575799999991</v>
      </c>
      <c r="V80" s="79">
        <f>R80*0.87</f>
        <v>70584.305645999993</v>
      </c>
      <c r="W80" s="78">
        <f>U80*0.87</f>
        <v>75017.990945999991</v>
      </c>
      <c r="X80" s="80"/>
      <c r="Y80" s="78"/>
      <c r="Z80" s="80"/>
      <c r="AA80" s="80"/>
      <c r="AB80" s="80"/>
      <c r="AC80" s="80"/>
      <c r="AE80" s="78"/>
      <c r="AG80" s="78"/>
    </row>
    <row r="81" spans="1:33" ht="15" customHeight="1" x14ac:dyDescent="0.2">
      <c r="A81" s="102"/>
      <c r="B81" s="131"/>
      <c r="C81" s="131" t="s">
        <v>90</v>
      </c>
      <c r="D81" s="109">
        <v>1</v>
      </c>
      <c r="E81" s="73">
        <v>6500</v>
      </c>
      <c r="F81" s="74">
        <f>ROUND(E81*F$12,2)</f>
        <v>7150</v>
      </c>
      <c r="G81" s="74">
        <f>F81*1.1*1.1+0.5</f>
        <v>8652.0000000000018</v>
      </c>
      <c r="H81" s="74">
        <v>10692.91</v>
      </c>
      <c r="I81" s="74">
        <f t="shared" si="117"/>
        <v>11762.201000000001</v>
      </c>
      <c r="J81" s="74">
        <v>12467.933060000001</v>
      </c>
      <c r="K81" s="74">
        <v>17207.939999999999</v>
      </c>
      <c r="L81" s="75" t="s">
        <v>194</v>
      </c>
      <c r="M81" s="83">
        <v>30</v>
      </c>
      <c r="N81" s="76"/>
      <c r="O81" s="78">
        <f>ROUND((K81*M81/100),2)</f>
        <v>5162.38</v>
      </c>
      <c r="P81" s="78">
        <f t="shared" ref="P81:P86" si="123">ROUND(K81*1.14,2)</f>
        <v>19617.05</v>
      </c>
      <c r="Q81" s="78">
        <f t="shared" si="119"/>
        <v>26500.227599999998</v>
      </c>
      <c r="R81" s="79">
        <f t="shared" si="120"/>
        <v>68487.597599999994</v>
      </c>
      <c r="S81" s="78">
        <f t="shared" si="121"/>
        <v>4301.99</v>
      </c>
      <c r="T81" s="78">
        <v>1.54</v>
      </c>
      <c r="U81" s="78">
        <f t="shared" si="122"/>
        <v>72789.587599999999</v>
      </c>
      <c r="V81" s="79">
        <f t="shared" si="21"/>
        <v>59584.209911999991</v>
      </c>
      <c r="W81" s="78">
        <f t="shared" si="0"/>
        <v>63326.941211999998</v>
      </c>
      <c r="X81" s="80">
        <v>3</v>
      </c>
      <c r="Y81" s="78">
        <v>3</v>
      </c>
      <c r="Z81" s="80">
        <f t="shared" si="1"/>
        <v>0</v>
      </c>
      <c r="AA81" s="80">
        <f t="shared" si="2"/>
        <v>0</v>
      </c>
      <c r="AB81" s="80">
        <f t="shared" si="3"/>
        <v>51623.819999999992</v>
      </c>
      <c r="AC81" s="80"/>
      <c r="AD81">
        <v>0.1</v>
      </c>
      <c r="AE81" s="78">
        <f t="shared" si="4"/>
        <v>1720.7939999999999</v>
      </c>
      <c r="AF81">
        <v>0.2</v>
      </c>
      <c r="AG81" s="78">
        <f t="shared" si="5"/>
        <v>3441.5879999999997</v>
      </c>
    </row>
    <row r="82" spans="1:33" ht="12.75" customHeight="1" x14ac:dyDescent="0.2">
      <c r="A82" s="102"/>
      <c r="B82" s="107"/>
      <c r="C82" s="131" t="s">
        <v>90</v>
      </c>
      <c r="D82" s="109">
        <v>1</v>
      </c>
      <c r="E82" s="73">
        <v>6500</v>
      </c>
      <c r="F82" s="74">
        <f>ROUND(E82*F$12,2)</f>
        <v>7150</v>
      </c>
      <c r="G82" s="74">
        <f>F82*1.1*1.1+0.5</f>
        <v>8652.0000000000018</v>
      </c>
      <c r="H82" s="74">
        <v>10692.91</v>
      </c>
      <c r="I82" s="74">
        <f t="shared" si="117"/>
        <v>11762.201000000001</v>
      </c>
      <c r="J82" s="74">
        <v>12467.933060000001</v>
      </c>
      <c r="K82" s="74">
        <v>17207.939999999999</v>
      </c>
      <c r="L82" s="75" t="s">
        <v>92</v>
      </c>
      <c r="M82" s="83">
        <v>30</v>
      </c>
      <c r="N82" s="76"/>
      <c r="O82" s="78">
        <f t="shared" si="118"/>
        <v>5162.38</v>
      </c>
      <c r="P82" s="78">
        <f t="shared" si="123"/>
        <v>19617.05</v>
      </c>
      <c r="Q82" s="78">
        <f t="shared" si="119"/>
        <v>26500.227599999998</v>
      </c>
      <c r="R82" s="79">
        <f t="shared" si="120"/>
        <v>68487.597599999994</v>
      </c>
      <c r="S82" s="78">
        <f t="shared" si="121"/>
        <v>4301.99</v>
      </c>
      <c r="T82" s="78">
        <v>1.54</v>
      </c>
      <c r="U82" s="78">
        <f t="shared" si="122"/>
        <v>72789.587599999999</v>
      </c>
      <c r="V82" s="79">
        <f t="shared" si="21"/>
        <v>59584.209911999991</v>
      </c>
      <c r="W82" s="78">
        <f t="shared" si="0"/>
        <v>63326.941211999998</v>
      </c>
      <c r="X82" s="80">
        <v>3</v>
      </c>
      <c r="Y82" s="78">
        <v>3</v>
      </c>
      <c r="Z82" s="80">
        <f t="shared" si="1"/>
        <v>0</v>
      </c>
      <c r="AA82" s="80">
        <f t="shared" si="2"/>
        <v>0</v>
      </c>
      <c r="AB82" s="80">
        <f t="shared" si="3"/>
        <v>51623.819999999992</v>
      </c>
      <c r="AC82" s="80"/>
      <c r="AD82">
        <v>0.1</v>
      </c>
      <c r="AE82" s="78">
        <f t="shared" si="4"/>
        <v>1720.7939999999999</v>
      </c>
      <c r="AF82">
        <v>0.2</v>
      </c>
      <c r="AG82" s="78">
        <f t="shared" si="5"/>
        <v>3441.5879999999997</v>
      </c>
    </row>
    <row r="83" spans="1:33" ht="12.75" customHeight="1" x14ac:dyDescent="0.2">
      <c r="A83" s="102"/>
      <c r="B83" s="107"/>
      <c r="C83" s="131" t="s">
        <v>90</v>
      </c>
      <c r="D83" s="109">
        <v>1</v>
      </c>
      <c r="E83" s="73">
        <v>6500</v>
      </c>
      <c r="F83" s="74">
        <f>ROUND(E83*F$12,2)</f>
        <v>7150</v>
      </c>
      <c r="G83" s="74">
        <f>F83*1.1*1.1+0.5</f>
        <v>8652.0000000000018</v>
      </c>
      <c r="H83" s="74">
        <v>10692.91</v>
      </c>
      <c r="I83" s="74">
        <f t="shared" si="117"/>
        <v>11762.201000000001</v>
      </c>
      <c r="J83" s="74">
        <v>12467.933060000001</v>
      </c>
      <c r="K83" s="74">
        <v>17207.939999999999</v>
      </c>
      <c r="L83" s="75" t="s">
        <v>91</v>
      </c>
      <c r="M83" s="83">
        <v>30</v>
      </c>
      <c r="N83" s="76"/>
      <c r="O83" s="78">
        <f t="shared" si="118"/>
        <v>5162.38</v>
      </c>
      <c r="P83" s="78">
        <f t="shared" si="123"/>
        <v>19617.05</v>
      </c>
      <c r="Q83" s="78">
        <f t="shared" si="119"/>
        <v>26500.227599999998</v>
      </c>
      <c r="R83" s="79">
        <f t="shared" si="120"/>
        <v>68487.597599999994</v>
      </c>
      <c r="S83" s="78">
        <f t="shared" si="121"/>
        <v>4301.99</v>
      </c>
      <c r="T83" s="78">
        <v>1.54</v>
      </c>
      <c r="U83" s="78">
        <f t="shared" si="122"/>
        <v>72789.587599999999</v>
      </c>
      <c r="V83" s="79">
        <f t="shared" si="21"/>
        <v>59584.209911999991</v>
      </c>
      <c r="W83" s="78">
        <f t="shared" si="0"/>
        <v>63326.941211999998</v>
      </c>
      <c r="X83" s="80">
        <v>3</v>
      </c>
      <c r="Y83" s="78"/>
      <c r="Z83" s="80">
        <f t="shared" si="1"/>
        <v>3</v>
      </c>
      <c r="AA83" s="80">
        <f t="shared" si="2"/>
        <v>51623.819999999992</v>
      </c>
      <c r="AB83" s="80">
        <f t="shared" si="3"/>
        <v>0</v>
      </c>
      <c r="AC83" s="80"/>
      <c r="AD83">
        <v>0.1</v>
      </c>
      <c r="AE83" s="78">
        <f t="shared" si="4"/>
        <v>1720.7939999999999</v>
      </c>
      <c r="AF83">
        <v>0.2</v>
      </c>
      <c r="AG83" s="78">
        <f t="shared" si="5"/>
        <v>3441.5879999999997</v>
      </c>
    </row>
    <row r="84" spans="1:33" ht="12.75" customHeight="1" x14ac:dyDescent="0.2">
      <c r="A84" s="102"/>
      <c r="B84" s="107"/>
      <c r="C84" s="131" t="s">
        <v>90</v>
      </c>
      <c r="D84" s="109">
        <v>1</v>
      </c>
      <c r="E84" s="73"/>
      <c r="F84" s="74"/>
      <c r="G84" s="74"/>
      <c r="H84" s="74"/>
      <c r="I84" s="74"/>
      <c r="J84" s="74"/>
      <c r="K84" s="74">
        <v>17207.939999999999</v>
      </c>
      <c r="L84" s="75" t="s">
        <v>199</v>
      </c>
      <c r="M84" s="83">
        <v>30</v>
      </c>
      <c r="N84" s="76"/>
      <c r="O84" s="78">
        <f t="shared" si="118"/>
        <v>5162.38</v>
      </c>
      <c r="P84" s="78">
        <f t="shared" si="123"/>
        <v>19617.05</v>
      </c>
      <c r="Q84" s="78">
        <f t="shared" si="119"/>
        <v>26500.227599999998</v>
      </c>
      <c r="R84" s="79">
        <f t="shared" si="120"/>
        <v>68487.597599999994</v>
      </c>
      <c r="S84" s="78">
        <f t="shared" si="121"/>
        <v>4301.99</v>
      </c>
      <c r="T84" s="78">
        <v>1.54</v>
      </c>
      <c r="U84" s="78">
        <f t="shared" si="122"/>
        <v>72789.587599999999</v>
      </c>
      <c r="V84" s="79">
        <f t="shared" si="21"/>
        <v>59584.209911999991</v>
      </c>
      <c r="W84" s="78">
        <f t="shared" si="0"/>
        <v>63326.941211999998</v>
      </c>
      <c r="X84" s="80"/>
      <c r="Y84" s="78"/>
      <c r="Z84" s="80"/>
      <c r="AA84" s="80"/>
      <c r="AB84" s="80">
        <f t="shared" si="3"/>
        <v>0</v>
      </c>
      <c r="AC84" s="80"/>
      <c r="AE84" s="78"/>
      <c r="AG84" s="78"/>
    </row>
    <row r="85" spans="1:33" ht="12.75" customHeight="1" x14ac:dyDescent="0.2">
      <c r="A85" s="102"/>
      <c r="B85" s="107"/>
      <c r="C85" s="120" t="s">
        <v>48</v>
      </c>
      <c r="D85" s="109">
        <v>1</v>
      </c>
      <c r="E85" s="73"/>
      <c r="F85" s="74"/>
      <c r="G85" s="74"/>
      <c r="H85" s="74">
        <v>9212.35</v>
      </c>
      <c r="I85" s="74">
        <f t="shared" si="117"/>
        <v>10133.585000000001</v>
      </c>
      <c r="J85" s="74">
        <v>10741.600100000001</v>
      </c>
      <c r="K85" s="74">
        <v>14825.32</v>
      </c>
      <c r="L85" s="75" t="s">
        <v>198</v>
      </c>
      <c r="M85" s="83">
        <v>30</v>
      </c>
      <c r="N85" s="76"/>
      <c r="O85" s="78">
        <f t="shared" si="118"/>
        <v>4447.6000000000004</v>
      </c>
      <c r="P85" s="78">
        <f t="shared" si="123"/>
        <v>16900.86</v>
      </c>
      <c r="Q85" s="78">
        <f t="shared" si="119"/>
        <v>21348.460799999997</v>
      </c>
      <c r="R85" s="79">
        <f t="shared" si="120"/>
        <v>57522.2408</v>
      </c>
      <c r="S85" s="78">
        <f t="shared" si="121"/>
        <v>3706.33</v>
      </c>
      <c r="T85" s="78">
        <v>1.44</v>
      </c>
      <c r="U85" s="78">
        <f t="shared" si="122"/>
        <v>61228.570800000001</v>
      </c>
      <c r="V85" s="79">
        <f t="shared" si="21"/>
        <v>50044.349496000003</v>
      </c>
      <c r="W85" s="78">
        <f t="shared" si="0"/>
        <v>53268.856595999998</v>
      </c>
      <c r="X85" s="80">
        <v>3</v>
      </c>
      <c r="Y85" s="78">
        <v>3</v>
      </c>
      <c r="Z85" s="80">
        <f t="shared" si="1"/>
        <v>0</v>
      </c>
      <c r="AA85" s="80">
        <f t="shared" si="2"/>
        <v>0</v>
      </c>
      <c r="AB85" s="80">
        <f t="shared" si="3"/>
        <v>44475.96</v>
      </c>
      <c r="AC85" s="80"/>
      <c r="AD85">
        <v>0.1</v>
      </c>
      <c r="AE85" s="78">
        <f t="shared" si="4"/>
        <v>1482.5320000000002</v>
      </c>
      <c r="AF85">
        <v>0.2</v>
      </c>
      <c r="AG85" s="78">
        <f t="shared" si="5"/>
        <v>2965.0640000000003</v>
      </c>
    </row>
    <row r="86" spans="1:33" ht="12.75" customHeight="1" x14ac:dyDescent="0.2">
      <c r="A86" s="102"/>
      <c r="B86" s="107"/>
      <c r="C86" s="120" t="s">
        <v>48</v>
      </c>
      <c r="D86" s="109">
        <v>0</v>
      </c>
      <c r="E86" s="73"/>
      <c r="F86" s="74"/>
      <c r="G86" s="74"/>
      <c r="H86" s="74">
        <v>9212.35</v>
      </c>
      <c r="I86" s="74">
        <f t="shared" si="117"/>
        <v>10133.585000000001</v>
      </c>
      <c r="J86" s="74">
        <v>10741.600100000001</v>
      </c>
      <c r="K86" s="74">
        <v>0</v>
      </c>
      <c r="M86" s="83">
        <v>0</v>
      </c>
      <c r="N86" s="76"/>
      <c r="O86" s="78">
        <f>ROUND((K86*M86/100),2)</f>
        <v>0</v>
      </c>
      <c r="P86" s="78">
        <f t="shared" si="123"/>
        <v>0</v>
      </c>
      <c r="Q86" s="78">
        <f t="shared" si="119"/>
        <v>0</v>
      </c>
      <c r="R86" s="79">
        <f t="shared" si="120"/>
        <v>0</v>
      </c>
      <c r="S86" s="78">
        <f t="shared" si="121"/>
        <v>0</v>
      </c>
      <c r="T86" s="78">
        <v>1.44</v>
      </c>
      <c r="U86" s="78">
        <f t="shared" si="122"/>
        <v>0</v>
      </c>
      <c r="V86" s="79">
        <f t="shared" si="21"/>
        <v>0</v>
      </c>
      <c r="W86" s="78">
        <f t="shared" si="0"/>
        <v>0</v>
      </c>
      <c r="X86" s="80">
        <v>3</v>
      </c>
      <c r="Y86" s="78"/>
      <c r="Z86" s="80">
        <f t="shared" si="1"/>
        <v>3</v>
      </c>
      <c r="AA86" s="80">
        <f t="shared" si="2"/>
        <v>0</v>
      </c>
      <c r="AB86" s="80">
        <f t="shared" si="3"/>
        <v>0</v>
      </c>
      <c r="AC86" s="80"/>
      <c r="AD86">
        <v>0.1</v>
      </c>
      <c r="AE86" s="78">
        <f t="shared" si="4"/>
        <v>0</v>
      </c>
      <c r="AF86">
        <v>0.2</v>
      </c>
      <c r="AG86" s="78">
        <f t="shared" si="5"/>
        <v>0</v>
      </c>
    </row>
    <row r="87" spans="1:33" ht="12.75" customHeight="1" x14ac:dyDescent="0.2">
      <c r="A87" s="102"/>
      <c r="B87" s="107"/>
      <c r="C87" s="120" t="s">
        <v>48</v>
      </c>
      <c r="D87" s="109">
        <v>1</v>
      </c>
      <c r="E87" s="73"/>
      <c r="F87" s="74"/>
      <c r="G87" s="74"/>
      <c r="H87" s="74">
        <v>9212.35</v>
      </c>
      <c r="I87" s="74">
        <f t="shared" ref="I87" si="124">H87*$I$12</f>
        <v>10133.585000000001</v>
      </c>
      <c r="J87" s="74">
        <v>10741.600100000001</v>
      </c>
      <c r="K87" s="74">
        <v>14825.32</v>
      </c>
      <c r="L87" s="75" t="s">
        <v>200</v>
      </c>
      <c r="M87" s="217">
        <v>30</v>
      </c>
      <c r="N87" s="76"/>
      <c r="O87" s="78">
        <f>ROUND((K87*M87/100),2)</f>
        <v>4447.6000000000004</v>
      </c>
      <c r="P87" s="78">
        <f t="shared" ref="P87" si="125">ROUND(K87*1.14,2)</f>
        <v>16900.86</v>
      </c>
      <c r="Q87" s="78">
        <f t="shared" ref="Q87" si="126">K87*T87</f>
        <v>21348.460799999997</v>
      </c>
      <c r="R87" s="79">
        <f t="shared" ref="R87" si="127">K87+O87+P87+Q87</f>
        <v>57522.2408</v>
      </c>
      <c r="S87" s="78">
        <f t="shared" ref="S87" si="128">ROUND(K87*S$12,2)</f>
        <v>3706.33</v>
      </c>
      <c r="T87" s="78">
        <v>1.44</v>
      </c>
      <c r="U87" s="78">
        <f t="shared" ref="U87" si="129">K87+O87+P87+Q87+S87</f>
        <v>61228.570800000001</v>
      </c>
      <c r="V87" s="79">
        <f t="shared" ref="V87" si="130">R87*0.87</f>
        <v>50044.349496000003</v>
      </c>
      <c r="W87" s="78">
        <f t="shared" ref="W87" si="131">U87*0.87</f>
        <v>53268.856595999998</v>
      </c>
      <c r="X87" s="80">
        <v>4</v>
      </c>
      <c r="Y87" s="78"/>
      <c r="Z87" s="80">
        <f t="shared" ref="Z87" si="132">X87-Y87</f>
        <v>4</v>
      </c>
      <c r="AA87" s="80">
        <f t="shared" ref="AA87" si="133">K87*Z87</f>
        <v>59301.279999999999</v>
      </c>
      <c r="AB87" s="80">
        <f t="shared" ref="AB87" si="134">K87*Y87</f>
        <v>0</v>
      </c>
      <c r="AC87" s="80"/>
      <c r="AD87">
        <v>1.1000000000000001</v>
      </c>
      <c r="AE87" s="78">
        <f t="shared" ref="AE87" si="135">K87*AD87</f>
        <v>16307.852000000001</v>
      </c>
      <c r="AF87">
        <v>1.2</v>
      </c>
      <c r="AG87" s="78">
        <f t="shared" ref="AG87" si="136">AF87*K87</f>
        <v>17790.383999999998</v>
      </c>
    </row>
    <row r="88" spans="1:33" x14ac:dyDescent="0.2">
      <c r="A88" s="86"/>
      <c r="B88" s="107"/>
      <c r="C88" s="87" t="s">
        <v>51</v>
      </c>
      <c r="D88" s="111">
        <f>SUM(D79:D87)</f>
        <v>8</v>
      </c>
      <c r="E88" s="134">
        <f>SUM(E79:E85)</f>
        <v>27000</v>
      </c>
      <c r="F88" s="134">
        <f>SUM(F79:F85)</f>
        <v>29700</v>
      </c>
      <c r="G88" s="134">
        <f>SUM(G79:G85)</f>
        <v>35939</v>
      </c>
      <c r="H88" s="134">
        <f>SUM(H79:H86)</f>
        <v>73534.320000000007</v>
      </c>
      <c r="I88" s="134">
        <f>SUM(I79:I86)</f>
        <v>80887.752000000008</v>
      </c>
      <c r="J88" s="134">
        <v>73273.084060000008</v>
      </c>
      <c r="K88" s="90">
        <f>SUM(K79:K87)</f>
        <v>141369.83000000002</v>
      </c>
      <c r="L88" s="90"/>
      <c r="M88" s="90"/>
      <c r="N88" s="90">
        <f t="shared" ref="N88" si="137">SUM(N79:N86)</f>
        <v>0</v>
      </c>
      <c r="O88" s="90">
        <f>SUM(O79:O87)</f>
        <v>40160.68</v>
      </c>
      <c r="P88" s="90">
        <f t="shared" ref="P88:W88" si="138">SUM(P79:P87)</f>
        <v>163411.85999999999</v>
      </c>
      <c r="Q88" s="90">
        <f t="shared" si="138"/>
        <v>214744.4742</v>
      </c>
      <c r="R88" s="90">
        <f t="shared" si="138"/>
        <v>559686.84419999993</v>
      </c>
      <c r="S88" s="90">
        <f t="shared" si="138"/>
        <v>35342.480000000003</v>
      </c>
      <c r="T88" s="90">
        <f t="shared" si="138"/>
        <v>13.559999999999999</v>
      </c>
      <c r="U88" s="90">
        <f t="shared" si="138"/>
        <v>595029.32419999992</v>
      </c>
      <c r="V88" s="90">
        <f t="shared" si="138"/>
        <v>486927.55445399991</v>
      </c>
      <c r="W88" s="90">
        <f t="shared" si="138"/>
        <v>517675.51205399993</v>
      </c>
      <c r="X88" s="80"/>
      <c r="Y88" s="90"/>
      <c r="Z88" s="80"/>
      <c r="AA88" s="80">
        <f t="shared" si="2"/>
        <v>0</v>
      </c>
      <c r="AB88" s="80">
        <f t="shared" si="3"/>
        <v>0</v>
      </c>
      <c r="AC88" s="91"/>
      <c r="AD88">
        <v>0.1</v>
      </c>
      <c r="AE88" s="134">
        <f t="shared" si="4"/>
        <v>14136.983000000002</v>
      </c>
      <c r="AF88">
        <v>0.2</v>
      </c>
      <c r="AG88" s="134">
        <f t="shared" si="5"/>
        <v>28273.966000000004</v>
      </c>
    </row>
    <row r="89" spans="1:33" ht="18" customHeight="1" x14ac:dyDescent="0.2">
      <c r="A89" s="86"/>
      <c r="B89" s="87"/>
      <c r="C89" s="70" t="s">
        <v>73</v>
      </c>
      <c r="D89" s="111">
        <f>D77+D88+D57+D58</f>
        <v>25</v>
      </c>
      <c r="E89" s="134">
        <f t="shared" ref="E89:I89" si="139">SUM(E57:E58)+E77+E88</f>
        <v>73300</v>
      </c>
      <c r="F89" s="134">
        <f t="shared" si="139"/>
        <v>79530</v>
      </c>
      <c r="G89" s="134">
        <f t="shared" si="139"/>
        <v>96236</v>
      </c>
      <c r="H89" s="134">
        <f t="shared" si="139"/>
        <v>169441.50000000003</v>
      </c>
      <c r="I89" s="134">
        <f t="shared" si="139"/>
        <v>186385.65000000002</v>
      </c>
      <c r="J89" s="134">
        <v>185100.85594000004</v>
      </c>
      <c r="K89" s="90">
        <f>K88+K77+K57+K58</f>
        <v>457731.14</v>
      </c>
      <c r="L89" s="90"/>
      <c r="M89" s="90"/>
      <c r="N89" s="90">
        <f t="shared" ref="N89" si="140">N88+N77+N57+N58</f>
        <v>0</v>
      </c>
      <c r="O89" s="90">
        <f>O88+O77+O57+O58</f>
        <v>113082.6</v>
      </c>
      <c r="P89" s="90">
        <f t="shared" ref="P89:W89" si="141">P88+P77+P57+P58</f>
        <v>528921.65999999992</v>
      </c>
      <c r="Q89" s="90">
        <f t="shared" si="141"/>
        <v>673958.13199999987</v>
      </c>
      <c r="R89" s="90">
        <f t="shared" si="141"/>
        <v>1731706.1619999995</v>
      </c>
      <c r="S89" s="90">
        <f t="shared" si="141"/>
        <v>114432.87999999999</v>
      </c>
      <c r="T89" s="90">
        <f t="shared" si="141"/>
        <v>44.179999999999993</v>
      </c>
      <c r="U89" s="90">
        <f t="shared" si="141"/>
        <v>1841837.0519999997</v>
      </c>
      <c r="V89" s="90">
        <f t="shared" si="141"/>
        <v>1506584.3609399998</v>
      </c>
      <c r="W89" s="90">
        <f t="shared" si="141"/>
        <v>1602398.2352399996</v>
      </c>
      <c r="X89" s="80"/>
      <c r="Y89" s="90"/>
      <c r="Z89" s="80"/>
      <c r="AA89" s="80">
        <f t="shared" si="2"/>
        <v>0</v>
      </c>
      <c r="AB89" s="80">
        <f t="shared" si="3"/>
        <v>0</v>
      </c>
      <c r="AC89" s="91"/>
      <c r="AD89">
        <v>0.1</v>
      </c>
      <c r="AE89" s="134">
        <f t="shared" si="4"/>
        <v>45773.114000000001</v>
      </c>
      <c r="AF89">
        <v>0.2</v>
      </c>
      <c r="AG89" s="134">
        <f t="shared" si="5"/>
        <v>91546.228000000003</v>
      </c>
    </row>
    <row r="90" spans="1:33" ht="23.25" customHeight="1" x14ac:dyDescent="0.2">
      <c r="A90" s="59" t="s">
        <v>93</v>
      </c>
      <c r="B90" s="87"/>
      <c r="C90" s="70"/>
      <c r="D90" s="111"/>
      <c r="E90" s="134"/>
      <c r="F90" s="134"/>
      <c r="G90" s="134"/>
      <c r="H90" s="134"/>
      <c r="I90" s="134"/>
      <c r="J90" s="134"/>
      <c r="K90" s="90"/>
      <c r="L90" s="90"/>
      <c r="M90" s="111"/>
      <c r="N90" s="111"/>
      <c r="O90" s="134"/>
      <c r="P90" s="134"/>
      <c r="Q90" s="134"/>
      <c r="R90" s="79"/>
      <c r="S90" s="134"/>
      <c r="T90" s="134"/>
      <c r="U90" s="134"/>
      <c r="V90" s="135"/>
      <c r="W90" s="134"/>
      <c r="X90" s="80"/>
      <c r="Y90" s="134"/>
      <c r="Z90" s="80"/>
      <c r="AA90" s="80">
        <f t="shared" si="2"/>
        <v>0</v>
      </c>
      <c r="AB90" s="80">
        <f t="shared" si="3"/>
        <v>0</v>
      </c>
      <c r="AC90" s="136"/>
      <c r="AD90">
        <v>0.1</v>
      </c>
      <c r="AE90" s="134"/>
      <c r="AG90" s="134"/>
    </row>
    <row r="91" spans="1:33" x14ac:dyDescent="0.2">
      <c r="A91" s="86"/>
      <c r="B91" s="87"/>
      <c r="C91" s="87" t="s">
        <v>58</v>
      </c>
      <c r="D91" s="137">
        <v>1</v>
      </c>
      <c r="E91" s="134"/>
      <c r="F91" s="134"/>
      <c r="G91" s="134"/>
      <c r="H91" s="134"/>
      <c r="I91" s="134"/>
      <c r="J91" s="138">
        <v>16304.212980000004</v>
      </c>
      <c r="K91" s="74">
        <v>22502.66</v>
      </c>
      <c r="L91" s="105" t="s">
        <v>94</v>
      </c>
      <c r="M91" s="139">
        <v>15</v>
      </c>
      <c r="N91" s="137"/>
      <c r="O91" s="78">
        <f>ROUND((K91*M91/100),2)</f>
        <v>3375.4</v>
      </c>
      <c r="P91" s="78">
        <f>ROUND(K91*1.24,2)</f>
        <v>27903.3</v>
      </c>
      <c r="Q91" s="78">
        <f>K91*T91</f>
        <v>34654.096400000002</v>
      </c>
      <c r="R91" s="79">
        <f>K91+O91+P91+Q91</f>
        <v>88435.456399999995</v>
      </c>
      <c r="S91" s="78">
        <f>ROUND(K91*S$12,2)</f>
        <v>5625.67</v>
      </c>
      <c r="T91" s="78">
        <v>1.54</v>
      </c>
      <c r="U91" s="78">
        <f>K91+O91+P91+Q91+S91</f>
        <v>94061.126399999994</v>
      </c>
      <c r="V91" s="79">
        <f t="shared" ref="V91:V154" si="142">R91*0.87</f>
        <v>76938.847068000003</v>
      </c>
      <c r="W91" s="78">
        <f t="shared" ref="W91:W154" si="143">U91*0.87</f>
        <v>81833.179967999997</v>
      </c>
      <c r="X91" s="80">
        <v>3</v>
      </c>
      <c r="Y91" s="78">
        <v>3</v>
      </c>
      <c r="Z91" s="80">
        <f t="shared" si="1"/>
        <v>0</v>
      </c>
      <c r="AA91" s="80">
        <f t="shared" si="2"/>
        <v>0</v>
      </c>
      <c r="AB91" s="80">
        <f t="shared" si="3"/>
        <v>67507.98</v>
      </c>
      <c r="AC91" s="80"/>
      <c r="AD91">
        <v>0.1</v>
      </c>
      <c r="AE91" s="78">
        <f t="shared" si="4"/>
        <v>2250.2660000000001</v>
      </c>
      <c r="AF91">
        <v>0.2</v>
      </c>
      <c r="AG91" s="78">
        <f t="shared" si="5"/>
        <v>4500.5320000000002</v>
      </c>
    </row>
    <row r="92" spans="1:33" x14ac:dyDescent="0.2">
      <c r="A92" s="86"/>
      <c r="B92" s="87"/>
      <c r="C92" s="107" t="s">
        <v>45</v>
      </c>
      <c r="D92" s="137">
        <v>1</v>
      </c>
      <c r="E92" s="134"/>
      <c r="F92" s="134"/>
      <c r="G92" s="134"/>
      <c r="H92" s="134"/>
      <c r="I92" s="134"/>
      <c r="J92" s="138">
        <v>12467.933060000001</v>
      </c>
      <c r="K92" s="74">
        <v>17207.939999999999</v>
      </c>
      <c r="L92" s="75" t="s">
        <v>95</v>
      </c>
      <c r="M92" s="76">
        <v>30</v>
      </c>
      <c r="N92" s="76"/>
      <c r="O92" s="78">
        <f>ROUND((K92*M92/100),2)</f>
        <v>5162.38</v>
      </c>
      <c r="P92" s="78">
        <f>ROUND(K92*1.14,2)</f>
        <v>19617.05</v>
      </c>
      <c r="Q92" s="78">
        <f>K92*T92</f>
        <v>26500.227599999998</v>
      </c>
      <c r="R92" s="79">
        <f>K92+O92+P92+Q92</f>
        <v>68487.597599999994</v>
      </c>
      <c r="S92" s="78">
        <f>ROUND(K92*S$12,2)</f>
        <v>4301.99</v>
      </c>
      <c r="T92" s="78">
        <v>1.54</v>
      </c>
      <c r="U92" s="78">
        <f>K92+O92+P92+Q92+S92</f>
        <v>72789.587599999999</v>
      </c>
      <c r="V92" s="79">
        <f t="shared" si="142"/>
        <v>59584.209911999991</v>
      </c>
      <c r="W92" s="78">
        <f t="shared" si="143"/>
        <v>63326.941211999998</v>
      </c>
      <c r="X92" s="80">
        <v>3</v>
      </c>
      <c r="Y92" s="78"/>
      <c r="Z92" s="80">
        <f t="shared" ref="Z92:Z155" si="144">X92-Y92</f>
        <v>3</v>
      </c>
      <c r="AA92" s="80">
        <f t="shared" ref="AA92:AA155" si="145">K92*Z92</f>
        <v>51623.819999999992</v>
      </c>
      <c r="AB92" s="80">
        <f t="shared" ref="AB92:AB155" si="146">K92*Y92</f>
        <v>0</v>
      </c>
      <c r="AC92" s="80"/>
      <c r="AD92">
        <v>0.1</v>
      </c>
      <c r="AE92" s="78">
        <f t="shared" ref="AE92:AE155" si="147">K92*AD92</f>
        <v>1720.7939999999999</v>
      </c>
      <c r="AF92">
        <v>0.2</v>
      </c>
      <c r="AG92" s="78">
        <f t="shared" ref="AG92:AG131" si="148">AF92*K92</f>
        <v>3441.5879999999997</v>
      </c>
    </row>
    <row r="93" spans="1:33" x14ac:dyDescent="0.2">
      <c r="A93" s="86"/>
      <c r="B93" s="87"/>
      <c r="C93" s="87" t="s">
        <v>96</v>
      </c>
      <c r="D93" s="111">
        <f>SUM(D91:D92)</f>
        <v>2</v>
      </c>
      <c r="E93" s="134"/>
      <c r="F93" s="134"/>
      <c r="G93" s="134"/>
      <c r="H93" s="134"/>
      <c r="I93" s="134"/>
      <c r="J93" s="134">
        <v>28772.146040000007</v>
      </c>
      <c r="K93" s="90">
        <f>SUM(K91:K92)</f>
        <v>39710.6</v>
      </c>
      <c r="L93" s="90"/>
      <c r="M93" s="90"/>
      <c r="N93" s="90">
        <f t="shared" ref="N93:W93" si="149">SUM(N91:N92)</f>
        <v>0</v>
      </c>
      <c r="O93" s="90">
        <f t="shared" si="149"/>
        <v>8537.7800000000007</v>
      </c>
      <c r="P93" s="90">
        <f t="shared" si="149"/>
        <v>47520.35</v>
      </c>
      <c r="Q93" s="90">
        <f t="shared" si="149"/>
        <v>61154.324000000001</v>
      </c>
      <c r="R93" s="90">
        <f t="shared" si="149"/>
        <v>156923.054</v>
      </c>
      <c r="S93" s="90">
        <f t="shared" si="149"/>
        <v>9927.66</v>
      </c>
      <c r="T93" s="90"/>
      <c r="U93" s="90">
        <f t="shared" si="149"/>
        <v>166850.71399999998</v>
      </c>
      <c r="V93" s="90">
        <f t="shared" si="149"/>
        <v>136523.05697999999</v>
      </c>
      <c r="W93" s="90">
        <f t="shared" si="149"/>
        <v>145160.12117999999</v>
      </c>
      <c r="X93" s="80"/>
      <c r="Y93" s="90"/>
      <c r="Z93" s="80"/>
      <c r="AA93" s="80">
        <f t="shared" si="145"/>
        <v>0</v>
      </c>
      <c r="AB93" s="80">
        <f t="shared" si="146"/>
        <v>0</v>
      </c>
      <c r="AC93" s="91"/>
      <c r="AD93">
        <v>0.1</v>
      </c>
      <c r="AE93" s="89">
        <f t="shared" si="147"/>
        <v>3971.06</v>
      </c>
      <c r="AF93">
        <v>0.2</v>
      </c>
      <c r="AG93" s="89">
        <f t="shared" si="148"/>
        <v>7942.12</v>
      </c>
    </row>
    <row r="94" spans="1:33" ht="32.25" customHeight="1" x14ac:dyDescent="0.2">
      <c r="A94" s="59" t="s">
        <v>97</v>
      </c>
      <c r="B94" s="93"/>
      <c r="C94" s="93"/>
      <c r="D94" s="111"/>
      <c r="E94" s="95"/>
      <c r="F94" s="95"/>
      <c r="G94" s="95"/>
      <c r="H94" s="95"/>
      <c r="I94" s="95"/>
      <c r="J94" s="95"/>
      <c r="K94" s="90"/>
      <c r="L94" s="90"/>
      <c r="M94" s="97"/>
      <c r="N94" s="97"/>
      <c r="O94" s="98"/>
      <c r="P94" s="99" t="s">
        <v>40</v>
      </c>
      <c r="Q94" s="66" t="s">
        <v>57</v>
      </c>
      <c r="R94" s="79"/>
      <c r="S94" s="98"/>
      <c r="T94" s="99"/>
      <c r="U94" s="98"/>
      <c r="V94" s="100"/>
      <c r="W94" s="98"/>
      <c r="X94" s="80"/>
      <c r="Y94" s="98"/>
      <c r="Z94" s="80"/>
      <c r="AA94" s="80">
        <f t="shared" si="145"/>
        <v>0</v>
      </c>
      <c r="AB94" s="80">
        <f t="shared" si="146"/>
        <v>0</v>
      </c>
      <c r="AC94" s="101"/>
      <c r="AD94">
        <v>0.1</v>
      </c>
      <c r="AE94" s="98"/>
      <c r="AG94" s="98"/>
    </row>
    <row r="95" spans="1:33" x14ac:dyDescent="0.2">
      <c r="A95" s="102"/>
      <c r="B95" s="87"/>
      <c r="C95" s="87" t="s">
        <v>58</v>
      </c>
      <c r="D95" s="108">
        <v>1</v>
      </c>
      <c r="E95" s="118">
        <v>8500</v>
      </c>
      <c r="F95" s="74">
        <f t="shared" ref="F95:F104" si="150">ROUND(E95*F$12,2)</f>
        <v>9350</v>
      </c>
      <c r="G95" s="74">
        <f>F95*1.1*1.1+0.5</f>
        <v>11314.000000000002</v>
      </c>
      <c r="H95" s="74">
        <v>13983.03</v>
      </c>
      <c r="I95" s="74">
        <f t="shared" ref="I95:I104" si="151">H95*$I$12</f>
        <v>15381.333000000002</v>
      </c>
      <c r="J95" s="74">
        <v>16304.212980000004</v>
      </c>
      <c r="K95" s="74">
        <v>22502.66</v>
      </c>
      <c r="L95" s="105" t="s">
        <v>98</v>
      </c>
      <c r="M95" s="76">
        <v>30</v>
      </c>
      <c r="N95" s="76"/>
      <c r="O95" s="78">
        <f>ROUND((K95*M95/100),2)</f>
        <v>6750.8</v>
      </c>
      <c r="P95" s="78">
        <f>ROUND(K95*1.24,2)</f>
        <v>27903.3</v>
      </c>
      <c r="Q95" s="78">
        <f>K95*T95</f>
        <v>34654.096400000002</v>
      </c>
      <c r="R95" s="79">
        <f>K95+O95+P95+Q95</f>
        <v>91810.85639999999</v>
      </c>
      <c r="S95" s="78">
        <f>ROUND(K95*S$12,2)</f>
        <v>5625.67</v>
      </c>
      <c r="T95" s="78">
        <v>1.54</v>
      </c>
      <c r="U95" s="78">
        <f>K95+O95+P95+Q95+S95</f>
        <v>97436.526399999988</v>
      </c>
      <c r="V95" s="79">
        <f t="shared" si="142"/>
        <v>79875.445067999986</v>
      </c>
      <c r="W95" s="78">
        <f t="shared" si="143"/>
        <v>84769.777967999995</v>
      </c>
      <c r="X95" s="80">
        <v>3</v>
      </c>
      <c r="Y95" s="78"/>
      <c r="Z95" s="80">
        <f t="shared" si="144"/>
        <v>3</v>
      </c>
      <c r="AA95" s="80">
        <f t="shared" si="145"/>
        <v>67507.98</v>
      </c>
      <c r="AB95" s="80">
        <f t="shared" si="146"/>
        <v>0</v>
      </c>
      <c r="AC95" s="80"/>
      <c r="AD95">
        <v>0.1</v>
      </c>
      <c r="AE95" s="78">
        <f t="shared" si="147"/>
        <v>2250.2660000000001</v>
      </c>
      <c r="AF95">
        <v>0.2</v>
      </c>
      <c r="AG95" s="78">
        <f t="shared" si="148"/>
        <v>4500.5320000000002</v>
      </c>
    </row>
    <row r="96" spans="1:33" ht="21.75" customHeight="1" x14ac:dyDescent="0.2">
      <c r="A96" s="102"/>
      <c r="B96" s="107"/>
      <c r="C96" s="82" t="s">
        <v>99</v>
      </c>
      <c r="D96" s="72">
        <v>1</v>
      </c>
      <c r="E96" s="73">
        <v>7700</v>
      </c>
      <c r="F96" s="74">
        <f t="shared" si="150"/>
        <v>8470</v>
      </c>
      <c r="G96" s="74">
        <f>F96*1.1*1.1+0.3</f>
        <v>10249</v>
      </c>
      <c r="H96" s="74">
        <v>12666.98</v>
      </c>
      <c r="I96" s="74">
        <f t="shared" si="151"/>
        <v>13933.678</v>
      </c>
      <c r="J96" s="74">
        <v>14769.698680000001</v>
      </c>
      <c r="K96" s="74">
        <v>20384.77</v>
      </c>
      <c r="L96" s="75" t="s">
        <v>103</v>
      </c>
      <c r="M96" s="83">
        <v>30</v>
      </c>
      <c r="N96" s="76"/>
      <c r="O96" s="78">
        <f t="shared" ref="O96:O104" si="152">ROUND((K96*M96/100),2)</f>
        <v>6115.43</v>
      </c>
      <c r="P96" s="78">
        <f>ROUND(K96*1.14,2)</f>
        <v>23238.639999999999</v>
      </c>
      <c r="Q96" s="78">
        <f t="shared" ref="Q96:Q104" si="153">K96*T96</f>
        <v>31392.5458</v>
      </c>
      <c r="R96" s="79">
        <f t="shared" ref="R96:R130" si="154">K96+O96+P96+Q96</f>
        <v>81131.385799999989</v>
      </c>
      <c r="S96" s="78">
        <f t="shared" ref="S96:S130" si="155">ROUND(K96*S$12,2)</f>
        <v>5096.1899999999996</v>
      </c>
      <c r="T96" s="78">
        <v>1.54</v>
      </c>
      <c r="U96" s="78">
        <f t="shared" ref="U96:U130" si="156">K96+O96+P96+Q96+S96</f>
        <v>86227.575799999991</v>
      </c>
      <c r="V96" s="79">
        <f t="shared" si="142"/>
        <v>70584.305645999993</v>
      </c>
      <c r="W96" s="78">
        <f t="shared" si="143"/>
        <v>75017.990945999991</v>
      </c>
      <c r="X96" s="80">
        <v>3</v>
      </c>
      <c r="Y96" s="78"/>
      <c r="Z96" s="80">
        <f t="shared" si="144"/>
        <v>3</v>
      </c>
      <c r="AA96" s="80">
        <f t="shared" si="145"/>
        <v>61154.31</v>
      </c>
      <c r="AB96" s="80">
        <f t="shared" si="146"/>
        <v>0</v>
      </c>
      <c r="AC96" s="80"/>
      <c r="AD96">
        <v>0.1</v>
      </c>
      <c r="AE96" s="78">
        <f t="shared" si="147"/>
        <v>2038.4770000000001</v>
      </c>
      <c r="AF96">
        <v>0.2</v>
      </c>
      <c r="AG96" s="78">
        <f t="shared" si="148"/>
        <v>4076.9540000000002</v>
      </c>
    </row>
    <row r="97" spans="1:33" x14ac:dyDescent="0.2">
      <c r="A97" s="102">
        <f>K98/2</f>
        <v>8603.9699999999993</v>
      </c>
      <c r="B97" s="107"/>
      <c r="C97" s="107" t="s">
        <v>45</v>
      </c>
      <c r="D97" s="109">
        <v>1</v>
      </c>
      <c r="E97" s="73">
        <v>6500</v>
      </c>
      <c r="F97" s="74">
        <f t="shared" si="150"/>
        <v>7150</v>
      </c>
      <c r="G97" s="74">
        <f>F97*1.1*1.1+0.5</f>
        <v>8652.0000000000018</v>
      </c>
      <c r="H97" s="74">
        <v>10692.91</v>
      </c>
      <c r="I97" s="74">
        <f t="shared" si="151"/>
        <v>11762.201000000001</v>
      </c>
      <c r="J97" s="74">
        <v>12467.933060000001</v>
      </c>
      <c r="K97" s="74">
        <v>17207.939999999999</v>
      </c>
      <c r="L97" s="75" t="s">
        <v>100</v>
      </c>
      <c r="M97" s="76">
        <v>30</v>
      </c>
      <c r="N97" s="76"/>
      <c r="O97" s="78">
        <f t="shared" si="152"/>
        <v>5162.38</v>
      </c>
      <c r="P97" s="78">
        <f t="shared" ref="P97:P104" si="157">ROUND(K97*1.14,2)</f>
        <v>19617.05</v>
      </c>
      <c r="Q97" s="78">
        <f>K97*T97</f>
        <v>26500.227599999998</v>
      </c>
      <c r="R97" s="79">
        <f t="shared" si="154"/>
        <v>68487.597599999994</v>
      </c>
      <c r="S97" s="78">
        <f t="shared" si="155"/>
        <v>4301.99</v>
      </c>
      <c r="T97" s="78">
        <v>1.54</v>
      </c>
      <c r="U97" s="78">
        <f t="shared" si="156"/>
        <v>72789.587599999999</v>
      </c>
      <c r="V97" s="79">
        <f t="shared" si="142"/>
        <v>59584.209911999991</v>
      </c>
      <c r="W97" s="78">
        <f t="shared" si="143"/>
        <v>63326.941211999998</v>
      </c>
      <c r="X97" s="80">
        <v>3</v>
      </c>
      <c r="Y97" s="78">
        <v>2</v>
      </c>
      <c r="Z97" s="80">
        <f t="shared" si="144"/>
        <v>1</v>
      </c>
      <c r="AA97" s="80">
        <f t="shared" si="145"/>
        <v>17207.939999999999</v>
      </c>
      <c r="AB97" s="80">
        <f t="shared" si="146"/>
        <v>34415.879999999997</v>
      </c>
      <c r="AC97" s="80"/>
      <c r="AD97">
        <v>0.1</v>
      </c>
      <c r="AE97" s="78">
        <f t="shared" si="147"/>
        <v>1720.7939999999999</v>
      </c>
      <c r="AF97">
        <v>0.2</v>
      </c>
      <c r="AG97" s="78">
        <f t="shared" si="148"/>
        <v>3441.5879999999997</v>
      </c>
    </row>
    <row r="98" spans="1:33" x14ac:dyDescent="0.2">
      <c r="A98" s="102"/>
      <c r="B98" s="107"/>
      <c r="C98" s="107" t="s">
        <v>45</v>
      </c>
      <c r="D98" s="109">
        <v>1</v>
      </c>
      <c r="E98" s="73"/>
      <c r="F98" s="74"/>
      <c r="G98" s="74"/>
      <c r="H98" s="74"/>
      <c r="I98" s="74"/>
      <c r="J98" s="74"/>
      <c r="K98" s="74">
        <v>17207.939999999999</v>
      </c>
      <c r="L98" s="75" t="s">
        <v>101</v>
      </c>
      <c r="M98" s="76">
        <v>0</v>
      </c>
      <c r="N98" s="76"/>
      <c r="O98" s="78">
        <f t="shared" si="152"/>
        <v>0</v>
      </c>
      <c r="P98" s="78">
        <f t="shared" si="157"/>
        <v>19617.05</v>
      </c>
      <c r="Q98" s="78">
        <f t="shared" si="153"/>
        <v>26500.227599999998</v>
      </c>
      <c r="R98" s="79">
        <f t="shared" si="154"/>
        <v>63325.217599999996</v>
      </c>
      <c r="S98" s="78">
        <f t="shared" si="155"/>
        <v>4301.99</v>
      </c>
      <c r="T98" s="78">
        <v>1.54</v>
      </c>
      <c r="U98" s="78">
        <f t="shared" si="156"/>
        <v>67627.207599999994</v>
      </c>
      <c r="V98" s="79">
        <f t="shared" si="142"/>
        <v>55092.939311999995</v>
      </c>
      <c r="W98" s="78">
        <f t="shared" si="143"/>
        <v>58835.670611999994</v>
      </c>
      <c r="X98" s="80"/>
      <c r="Y98" s="78"/>
      <c r="Z98" s="80"/>
      <c r="AA98" s="80"/>
      <c r="AB98" s="80"/>
      <c r="AC98" s="80"/>
      <c r="AE98" s="78"/>
      <c r="AG98" s="78"/>
    </row>
    <row r="99" spans="1:33" x14ac:dyDescent="0.2">
      <c r="A99" s="102"/>
      <c r="B99" s="107"/>
      <c r="C99" s="107" t="s">
        <v>45</v>
      </c>
      <c r="D99" s="109">
        <v>1</v>
      </c>
      <c r="E99" s="73">
        <v>6500</v>
      </c>
      <c r="F99" s="74">
        <f>ROUND(E99*F$12,2)</f>
        <v>7150</v>
      </c>
      <c r="G99" s="74">
        <f>F99*1.1*1.1+0.5</f>
        <v>8652.0000000000018</v>
      </c>
      <c r="H99" s="74">
        <v>10692.91</v>
      </c>
      <c r="I99" s="74">
        <f>H99*$I$12</f>
        <v>11762.201000000001</v>
      </c>
      <c r="J99" s="74">
        <v>12467.933060000001</v>
      </c>
      <c r="K99" s="74">
        <v>17207.939999999999</v>
      </c>
      <c r="L99" s="75" t="s">
        <v>102</v>
      </c>
      <c r="M99" s="83">
        <v>15</v>
      </c>
      <c r="N99" s="76"/>
      <c r="O99" s="78">
        <f>ROUND((K99*M99/100),2)</f>
        <v>2581.19</v>
      </c>
      <c r="P99" s="78">
        <f>ROUND(K99*1.14,2)</f>
        <v>19617.05</v>
      </c>
      <c r="Q99" s="78">
        <f>K99*T99</f>
        <v>26500.227599999998</v>
      </c>
      <c r="R99" s="79">
        <f>K99+O99+P99+Q99</f>
        <v>65906.407599999991</v>
      </c>
      <c r="S99" s="78">
        <f>ROUND(K99*S$12,2)</f>
        <v>4301.99</v>
      </c>
      <c r="T99" s="78">
        <v>1.54</v>
      </c>
      <c r="U99" s="78">
        <f>K99+O99+P99+Q99+S99</f>
        <v>70208.397599999997</v>
      </c>
      <c r="V99" s="79">
        <f>R99*0.87</f>
        <v>57338.574611999989</v>
      </c>
      <c r="W99" s="78">
        <f>U99*0.87</f>
        <v>61081.305911999996</v>
      </c>
      <c r="X99" s="80">
        <v>3</v>
      </c>
      <c r="Y99" s="78">
        <v>3</v>
      </c>
      <c r="Z99" s="80">
        <f>X99-Y99</f>
        <v>0</v>
      </c>
      <c r="AA99" s="80">
        <f>K99*Z99</f>
        <v>0</v>
      </c>
      <c r="AB99" s="80">
        <f>K99*Y99</f>
        <v>51623.819999999992</v>
      </c>
      <c r="AC99" s="80"/>
      <c r="AD99">
        <v>0.1</v>
      </c>
      <c r="AE99" s="78">
        <f>K99*AD99</f>
        <v>1720.7939999999999</v>
      </c>
      <c r="AF99">
        <v>0.2</v>
      </c>
      <c r="AG99" s="78">
        <f>AF99*K99</f>
        <v>3441.5879999999997</v>
      </c>
    </row>
    <row r="100" spans="1:33" x14ac:dyDescent="0.2">
      <c r="A100" s="102"/>
      <c r="B100" s="107"/>
      <c r="C100" s="107" t="s">
        <v>45</v>
      </c>
      <c r="D100" s="109">
        <v>1</v>
      </c>
      <c r="E100" s="73">
        <v>6500</v>
      </c>
      <c r="F100" s="74">
        <f>ROUND(E100*F$12,2)</f>
        <v>7150</v>
      </c>
      <c r="G100" s="74">
        <f>F100*1.1*1.1+0.5</f>
        <v>8652.0000000000018</v>
      </c>
      <c r="H100" s="74">
        <v>10692.91</v>
      </c>
      <c r="I100" s="74">
        <f>H100*$I$12</f>
        <v>11762.201000000001</v>
      </c>
      <c r="J100" s="74">
        <v>12467.933060000001</v>
      </c>
      <c r="K100" s="79">
        <f>17207.94/2</f>
        <v>8603.9699999999993</v>
      </c>
      <c r="L100" s="218" t="s">
        <v>208</v>
      </c>
      <c r="M100" s="216">
        <v>20</v>
      </c>
      <c r="N100" s="216"/>
      <c r="O100" s="79">
        <f>ROUND((K100*M100/100),2)</f>
        <v>1720.79</v>
      </c>
      <c r="P100" s="79">
        <f>ROUND(K100*1.14,2)</f>
        <v>9808.5300000000007</v>
      </c>
      <c r="Q100" s="78">
        <f>K100*T100</f>
        <v>13250.113799999999</v>
      </c>
      <c r="R100" s="79">
        <f>K100+O100+P100+Q100</f>
        <v>33383.4038</v>
      </c>
      <c r="S100" s="78">
        <f>ROUND(K100*S$12,2)</f>
        <v>2150.9899999999998</v>
      </c>
      <c r="T100" s="78">
        <v>1.54</v>
      </c>
      <c r="U100" s="78">
        <f>K100+O100+P100+Q100+S100</f>
        <v>35534.393799999998</v>
      </c>
      <c r="V100" s="79">
        <f>R100*0.87</f>
        <v>29043.561306</v>
      </c>
      <c r="W100" s="78">
        <f>U100*0.87</f>
        <v>30914.922605999996</v>
      </c>
      <c r="X100" s="80">
        <v>3</v>
      </c>
      <c r="Y100" s="78"/>
      <c r="Z100" s="80">
        <f>X100-Y100</f>
        <v>3</v>
      </c>
      <c r="AA100" s="80">
        <f>K100*Z100</f>
        <v>25811.909999999996</v>
      </c>
      <c r="AB100" s="80">
        <f>K100*Y100</f>
        <v>0</v>
      </c>
      <c r="AC100" s="80"/>
      <c r="AD100">
        <v>0.1</v>
      </c>
      <c r="AE100" s="78">
        <f>K100*AD100</f>
        <v>860.39699999999993</v>
      </c>
      <c r="AF100">
        <v>0.2</v>
      </c>
      <c r="AG100" s="78">
        <f>AF100*K100</f>
        <v>1720.7939999999999</v>
      </c>
    </row>
    <row r="101" spans="1:33" x14ac:dyDescent="0.2">
      <c r="A101" s="102"/>
      <c r="B101" s="107"/>
      <c r="C101" s="107" t="s">
        <v>45</v>
      </c>
      <c r="D101" s="109">
        <v>1</v>
      </c>
      <c r="E101" s="73">
        <v>6500</v>
      </c>
      <c r="F101" s="74">
        <f>ROUND(E101*F$12,2)</f>
        <v>7150</v>
      </c>
      <c r="G101" s="74">
        <f>F101*1.1*1.1+0.5</f>
        <v>8652.0000000000018</v>
      </c>
      <c r="H101" s="74">
        <v>10692.91</v>
      </c>
      <c r="I101" s="74">
        <f>H101*$I$12</f>
        <v>11762.201000000001</v>
      </c>
      <c r="J101" s="74">
        <v>12467.933060000001</v>
      </c>
      <c r="K101" s="74">
        <v>17207.939999999999</v>
      </c>
      <c r="L101" s="105" t="s">
        <v>104</v>
      </c>
      <c r="M101" s="83">
        <v>15</v>
      </c>
      <c r="N101" s="76"/>
      <c r="O101" s="78">
        <f>ROUND((K101*M101/100),2)</f>
        <v>2581.19</v>
      </c>
      <c r="P101" s="78">
        <f>ROUND(K101*1.14,2)</f>
        <v>19617.05</v>
      </c>
      <c r="Q101" s="78">
        <f>K101*T101</f>
        <v>26500.227599999998</v>
      </c>
      <c r="R101" s="79">
        <f>K101+O101+P101+Q101</f>
        <v>65906.407599999991</v>
      </c>
      <c r="S101" s="78">
        <f>ROUND(K101*S$12,2)</f>
        <v>4301.99</v>
      </c>
      <c r="T101" s="78">
        <v>1.54</v>
      </c>
      <c r="U101" s="78">
        <f>K101+O101+P101+Q101+S101</f>
        <v>70208.397599999997</v>
      </c>
      <c r="V101" s="79">
        <f>R101*0.87</f>
        <v>57338.574611999989</v>
      </c>
      <c r="W101" s="78">
        <f>U101*0.87</f>
        <v>61081.305911999996</v>
      </c>
      <c r="X101" s="80">
        <v>3</v>
      </c>
      <c r="Y101" s="78"/>
      <c r="Z101" s="80">
        <f>X101-Y101</f>
        <v>3</v>
      </c>
      <c r="AA101" s="80">
        <f>K101*Z101</f>
        <v>51623.819999999992</v>
      </c>
      <c r="AB101" s="80">
        <f>K101*Y101</f>
        <v>0</v>
      </c>
      <c r="AC101" s="80"/>
      <c r="AD101">
        <v>0.1</v>
      </c>
      <c r="AE101" s="78">
        <f>K101*AD101</f>
        <v>1720.7939999999999</v>
      </c>
      <c r="AF101">
        <v>0.2</v>
      </c>
      <c r="AG101" s="78">
        <f>AF101*K101</f>
        <v>3441.5879999999997</v>
      </c>
    </row>
    <row r="102" spans="1:33" x14ac:dyDescent="0.2">
      <c r="A102" s="86" t="s">
        <v>0</v>
      </c>
      <c r="B102" s="107"/>
      <c r="C102" s="107" t="s">
        <v>48</v>
      </c>
      <c r="D102" s="109">
        <v>1</v>
      </c>
      <c r="E102" s="73">
        <v>5600</v>
      </c>
      <c r="F102" s="74">
        <f t="shared" si="150"/>
        <v>6160</v>
      </c>
      <c r="G102" s="74">
        <f>F102*1.1*1.1+0.4</f>
        <v>7454.0000000000009</v>
      </c>
      <c r="H102" s="74">
        <v>9212.35</v>
      </c>
      <c r="I102" s="74">
        <f t="shared" si="151"/>
        <v>10133.585000000001</v>
      </c>
      <c r="J102" s="74">
        <v>10741.600100000001</v>
      </c>
      <c r="K102" s="74">
        <v>14825.32</v>
      </c>
      <c r="L102" s="105" t="s">
        <v>197</v>
      </c>
      <c r="M102" s="83">
        <v>30</v>
      </c>
      <c r="N102" s="83"/>
      <c r="O102" s="78">
        <f t="shared" si="152"/>
        <v>4447.6000000000004</v>
      </c>
      <c r="P102" s="78">
        <f t="shared" si="157"/>
        <v>16900.86</v>
      </c>
      <c r="Q102" s="78">
        <f t="shared" si="153"/>
        <v>21348.460799999997</v>
      </c>
      <c r="R102" s="79">
        <f t="shared" si="154"/>
        <v>57522.2408</v>
      </c>
      <c r="S102" s="78">
        <f t="shared" si="155"/>
        <v>3706.33</v>
      </c>
      <c r="T102" s="78">
        <v>1.44</v>
      </c>
      <c r="U102" s="78">
        <f t="shared" si="156"/>
        <v>61228.570800000001</v>
      </c>
      <c r="V102" s="79">
        <f t="shared" si="142"/>
        <v>50044.349496000003</v>
      </c>
      <c r="W102" s="78">
        <f t="shared" si="143"/>
        <v>53268.856595999998</v>
      </c>
      <c r="X102" s="80">
        <v>3</v>
      </c>
      <c r="Y102" s="78"/>
      <c r="Z102" s="80">
        <f t="shared" si="144"/>
        <v>3</v>
      </c>
      <c r="AA102" s="80">
        <f t="shared" si="145"/>
        <v>44475.96</v>
      </c>
      <c r="AB102" s="80">
        <f t="shared" si="146"/>
        <v>0</v>
      </c>
      <c r="AC102" s="80"/>
      <c r="AD102">
        <v>0.1</v>
      </c>
      <c r="AE102" s="78">
        <f t="shared" si="147"/>
        <v>1482.5320000000002</v>
      </c>
      <c r="AF102">
        <v>0.2</v>
      </c>
      <c r="AG102" s="78">
        <f t="shared" si="148"/>
        <v>2965.0640000000003</v>
      </c>
    </row>
    <row r="103" spans="1:33" ht="12" customHeight="1" x14ac:dyDescent="0.2">
      <c r="A103" s="102"/>
      <c r="B103" s="107"/>
      <c r="C103" s="107" t="s">
        <v>48</v>
      </c>
      <c r="D103" s="109">
        <v>1</v>
      </c>
      <c r="E103" s="73">
        <v>5600</v>
      </c>
      <c r="F103" s="74">
        <f t="shared" si="150"/>
        <v>6160</v>
      </c>
      <c r="G103" s="74">
        <f>F103*1.1*1.1+0.4</f>
        <v>7454.0000000000009</v>
      </c>
      <c r="H103" s="74">
        <v>9212.35</v>
      </c>
      <c r="I103" s="74">
        <f t="shared" si="151"/>
        <v>10133.585000000001</v>
      </c>
      <c r="J103" s="74">
        <v>10741.600100000001</v>
      </c>
      <c r="K103" s="74">
        <v>14825.32</v>
      </c>
      <c r="L103" s="75" t="s">
        <v>105</v>
      </c>
      <c r="M103" s="76">
        <v>30</v>
      </c>
      <c r="N103" s="76"/>
      <c r="O103" s="78">
        <f t="shared" si="152"/>
        <v>4447.6000000000004</v>
      </c>
      <c r="P103" s="78">
        <f t="shared" si="157"/>
        <v>16900.86</v>
      </c>
      <c r="Q103" s="78">
        <f t="shared" si="153"/>
        <v>21348.460799999997</v>
      </c>
      <c r="R103" s="79">
        <f t="shared" si="154"/>
        <v>57522.2408</v>
      </c>
      <c r="S103" s="78">
        <f t="shared" si="155"/>
        <v>3706.33</v>
      </c>
      <c r="T103" s="78">
        <v>1.44</v>
      </c>
      <c r="U103" s="78">
        <f t="shared" si="156"/>
        <v>61228.570800000001</v>
      </c>
      <c r="V103" s="79">
        <f t="shared" si="142"/>
        <v>50044.349496000003</v>
      </c>
      <c r="W103" s="78">
        <f t="shared" si="143"/>
        <v>53268.856595999998</v>
      </c>
      <c r="X103" s="80">
        <v>3</v>
      </c>
      <c r="Y103" s="78">
        <v>3</v>
      </c>
      <c r="Z103" s="80">
        <f t="shared" si="144"/>
        <v>0</v>
      </c>
      <c r="AA103" s="80">
        <f t="shared" si="145"/>
        <v>0</v>
      </c>
      <c r="AB103" s="80">
        <f t="shared" si="146"/>
        <v>44475.96</v>
      </c>
      <c r="AC103" s="80"/>
      <c r="AD103">
        <v>0.1</v>
      </c>
      <c r="AE103" s="78">
        <f t="shared" si="147"/>
        <v>1482.5320000000002</v>
      </c>
      <c r="AF103">
        <v>0.2</v>
      </c>
      <c r="AG103" s="78">
        <f t="shared" si="148"/>
        <v>2965.0640000000003</v>
      </c>
    </row>
    <row r="104" spans="1:33" x14ac:dyDescent="0.2">
      <c r="A104" s="102"/>
      <c r="B104" s="107"/>
      <c r="C104" s="107" t="s">
        <v>45</v>
      </c>
      <c r="D104" s="109">
        <v>1</v>
      </c>
      <c r="E104" s="73">
        <v>5600</v>
      </c>
      <c r="F104" s="74">
        <f t="shared" si="150"/>
        <v>6160</v>
      </c>
      <c r="G104" s="74">
        <f>F104*1.1*1.1+0.4</f>
        <v>7454.0000000000009</v>
      </c>
      <c r="H104" s="74">
        <v>9212.35</v>
      </c>
      <c r="I104" s="74">
        <f t="shared" si="151"/>
        <v>10133.585000000001</v>
      </c>
      <c r="J104" s="74">
        <v>10741.600100000001</v>
      </c>
      <c r="K104" s="74">
        <v>17207.939999999999</v>
      </c>
      <c r="L104" s="75" t="s">
        <v>106</v>
      </c>
      <c r="M104" s="83">
        <v>30</v>
      </c>
      <c r="N104" s="76"/>
      <c r="O104" s="78">
        <f t="shared" si="152"/>
        <v>5162.38</v>
      </c>
      <c r="P104" s="78">
        <f t="shared" si="157"/>
        <v>19617.05</v>
      </c>
      <c r="Q104" s="78">
        <f t="shared" si="153"/>
        <v>26500.227599999998</v>
      </c>
      <c r="R104" s="79">
        <f t="shared" si="154"/>
        <v>68487.597599999994</v>
      </c>
      <c r="S104" s="78">
        <f t="shared" si="155"/>
        <v>4301.99</v>
      </c>
      <c r="T104" s="78">
        <v>1.54</v>
      </c>
      <c r="U104" s="78">
        <f t="shared" si="156"/>
        <v>72789.587599999999</v>
      </c>
      <c r="V104" s="79">
        <f t="shared" si="142"/>
        <v>59584.209911999991</v>
      </c>
      <c r="W104" s="78">
        <f t="shared" si="143"/>
        <v>63326.941211999998</v>
      </c>
      <c r="X104" s="80">
        <v>3</v>
      </c>
      <c r="Y104" s="78">
        <v>3</v>
      </c>
      <c r="Z104" s="80">
        <f t="shared" si="144"/>
        <v>0</v>
      </c>
      <c r="AA104" s="80">
        <f t="shared" si="145"/>
        <v>0</v>
      </c>
      <c r="AB104" s="80">
        <f t="shared" si="146"/>
        <v>51623.819999999992</v>
      </c>
      <c r="AC104" s="80"/>
      <c r="AD104">
        <v>0.1</v>
      </c>
      <c r="AE104" s="78">
        <f t="shared" si="147"/>
        <v>1720.7939999999999</v>
      </c>
      <c r="AF104">
        <v>0.2</v>
      </c>
      <c r="AG104" s="78">
        <f t="shared" si="148"/>
        <v>3441.5879999999997</v>
      </c>
    </row>
    <row r="105" spans="1:33" x14ac:dyDescent="0.2">
      <c r="A105" s="102"/>
      <c r="B105" s="87"/>
      <c r="C105" s="87" t="s">
        <v>96</v>
      </c>
      <c r="D105" s="111">
        <f t="shared" ref="D105:I105" si="158">SUM(D95:D104)</f>
        <v>10</v>
      </c>
      <c r="E105" s="95">
        <f t="shared" si="158"/>
        <v>59000</v>
      </c>
      <c r="F105" s="95">
        <f t="shared" si="158"/>
        <v>64900</v>
      </c>
      <c r="G105" s="95">
        <f t="shared" si="158"/>
        <v>78533</v>
      </c>
      <c r="H105" s="95">
        <f t="shared" si="158"/>
        <v>97058.700000000026</v>
      </c>
      <c r="I105" s="95">
        <f t="shared" si="158"/>
        <v>106764.57000000002</v>
      </c>
      <c r="J105" s="95">
        <v>113170.44420000001</v>
      </c>
      <c r="K105" s="90">
        <f>SUM(K95:K104)</f>
        <v>167181.74000000002</v>
      </c>
      <c r="L105" s="90"/>
      <c r="M105" s="90"/>
      <c r="N105" s="90">
        <f t="shared" ref="N105" si="159">SUM(N95:N104)</f>
        <v>0</v>
      </c>
      <c r="O105" s="90">
        <f>SUM(O95:O104)</f>
        <v>38969.359999999993</v>
      </c>
      <c r="P105" s="90">
        <f t="shared" ref="P105:W105" si="160">SUM(P95:P104)</f>
        <v>192837.44</v>
      </c>
      <c r="Q105" s="90">
        <f t="shared" si="160"/>
        <v>254494.81559999997</v>
      </c>
      <c r="R105" s="90">
        <f t="shared" si="160"/>
        <v>653483.35559999989</v>
      </c>
      <c r="S105" s="90">
        <f t="shared" si="160"/>
        <v>41795.46</v>
      </c>
      <c r="T105" s="90">
        <f t="shared" si="160"/>
        <v>15.2</v>
      </c>
      <c r="U105" s="90">
        <f t="shared" si="160"/>
        <v>695278.81559999986</v>
      </c>
      <c r="V105" s="90">
        <f t="shared" si="160"/>
        <v>568530.51937199989</v>
      </c>
      <c r="W105" s="90">
        <f t="shared" si="160"/>
        <v>604892.56957199995</v>
      </c>
      <c r="X105" s="80"/>
      <c r="Y105" s="90"/>
      <c r="Z105" s="80"/>
      <c r="AA105" s="80">
        <f t="shared" si="145"/>
        <v>0</v>
      </c>
      <c r="AB105" s="80">
        <f t="shared" si="146"/>
        <v>0</v>
      </c>
      <c r="AC105" s="91"/>
      <c r="AD105">
        <v>0.1</v>
      </c>
      <c r="AE105" s="95">
        <f t="shared" si="147"/>
        <v>16718.174000000003</v>
      </c>
      <c r="AF105">
        <v>0.2</v>
      </c>
      <c r="AG105" s="95">
        <f t="shared" si="148"/>
        <v>33436.348000000005</v>
      </c>
    </row>
    <row r="106" spans="1:33" ht="19.5" customHeight="1" x14ac:dyDescent="0.2">
      <c r="A106" s="59" t="s">
        <v>107</v>
      </c>
      <c r="B106" s="93"/>
      <c r="C106" s="93"/>
      <c r="D106" s="94"/>
      <c r="E106" s="95"/>
      <c r="F106" s="95"/>
      <c r="G106" s="95"/>
      <c r="H106" s="95"/>
      <c r="I106" s="95"/>
      <c r="J106" s="95"/>
      <c r="K106" s="90"/>
      <c r="L106" s="96"/>
      <c r="M106" s="97"/>
      <c r="N106" s="97"/>
      <c r="O106" s="98"/>
      <c r="P106" s="99" t="s">
        <v>108</v>
      </c>
      <c r="Q106" s="66" t="s">
        <v>109</v>
      </c>
      <c r="R106" s="79"/>
      <c r="S106" s="98"/>
      <c r="T106" s="99"/>
      <c r="U106" s="98"/>
      <c r="V106" s="100"/>
      <c r="W106" s="98"/>
      <c r="X106" s="80"/>
      <c r="Y106" s="98"/>
      <c r="Z106" s="80"/>
      <c r="AA106" s="80">
        <f t="shared" si="145"/>
        <v>0</v>
      </c>
      <c r="AB106" s="80">
        <f t="shared" si="146"/>
        <v>0</v>
      </c>
      <c r="AC106" s="101"/>
      <c r="AD106">
        <v>0.1</v>
      </c>
      <c r="AE106" s="98"/>
      <c r="AG106" s="98"/>
    </row>
    <row r="107" spans="1:33" x14ac:dyDescent="0.2">
      <c r="A107" s="102"/>
      <c r="B107" s="87"/>
      <c r="C107" s="87" t="s">
        <v>58</v>
      </c>
      <c r="D107" s="72">
        <v>1</v>
      </c>
      <c r="E107" s="73">
        <v>8500</v>
      </c>
      <c r="F107" s="74">
        <f t="shared" ref="F107:F116" si="161">ROUND(E107*F$12,2)</f>
        <v>9350</v>
      </c>
      <c r="G107" s="74">
        <f>F107*1.1*1.1+0.5</f>
        <v>11314.000000000002</v>
      </c>
      <c r="H107" s="74">
        <v>13983.03</v>
      </c>
      <c r="I107" s="74">
        <f t="shared" ref="I107:I116" si="162">H107*$I$12</f>
        <v>15381.333000000002</v>
      </c>
      <c r="J107" s="74">
        <v>16304.212980000004</v>
      </c>
      <c r="K107" s="74">
        <v>22502.66</v>
      </c>
      <c r="L107" s="105" t="s">
        <v>110</v>
      </c>
      <c r="M107" s="76">
        <v>20</v>
      </c>
      <c r="N107" s="76"/>
      <c r="O107" s="78">
        <f>ROUND((K107*M107/100),2)</f>
        <v>4500.53</v>
      </c>
      <c r="P107" s="78">
        <f>ROUND(K107*1.24,2)</f>
        <v>27903.3</v>
      </c>
      <c r="Q107" s="78">
        <f>K107*T107</f>
        <v>34654.096400000002</v>
      </c>
      <c r="R107" s="79">
        <f t="shared" si="154"/>
        <v>89560.5864</v>
      </c>
      <c r="S107" s="78">
        <f t="shared" si="155"/>
        <v>5625.67</v>
      </c>
      <c r="T107" s="78">
        <v>1.54</v>
      </c>
      <c r="U107" s="78">
        <f t="shared" si="156"/>
        <v>95186.256399999998</v>
      </c>
      <c r="V107" s="79">
        <f t="shared" si="142"/>
        <v>77917.710168000005</v>
      </c>
      <c r="W107" s="78">
        <f t="shared" si="143"/>
        <v>82812.043067999999</v>
      </c>
      <c r="X107" s="80">
        <v>3</v>
      </c>
      <c r="Y107" s="78">
        <v>3</v>
      </c>
      <c r="Z107" s="80">
        <f t="shared" si="144"/>
        <v>0</v>
      </c>
      <c r="AA107" s="80">
        <f t="shared" si="145"/>
        <v>0</v>
      </c>
      <c r="AB107" s="80">
        <f t="shared" si="146"/>
        <v>67507.98</v>
      </c>
      <c r="AC107" s="80"/>
      <c r="AD107">
        <v>0.1</v>
      </c>
      <c r="AE107" s="78">
        <f t="shared" si="147"/>
        <v>2250.2660000000001</v>
      </c>
      <c r="AF107">
        <v>0.2</v>
      </c>
      <c r="AG107" s="78">
        <f t="shared" si="148"/>
        <v>4500.5320000000002</v>
      </c>
    </row>
    <row r="108" spans="1:33" ht="16.5" customHeight="1" x14ac:dyDescent="0.2">
      <c r="A108" s="102"/>
      <c r="B108" s="87"/>
      <c r="C108" s="82" t="s">
        <v>99</v>
      </c>
      <c r="D108" s="72">
        <v>1</v>
      </c>
      <c r="E108" s="73">
        <v>7700</v>
      </c>
      <c r="F108" s="74">
        <f t="shared" si="161"/>
        <v>8470</v>
      </c>
      <c r="G108" s="74">
        <f>F108*1.1*1.1+0.3</f>
        <v>10249</v>
      </c>
      <c r="H108" s="74">
        <v>12666.98</v>
      </c>
      <c r="I108" s="74">
        <f t="shared" si="162"/>
        <v>13933.678</v>
      </c>
      <c r="J108" s="74">
        <v>14769.698680000001</v>
      </c>
      <c r="K108" s="74">
        <v>20384.77</v>
      </c>
      <c r="L108" s="75" t="s">
        <v>111</v>
      </c>
      <c r="M108" s="76">
        <v>30</v>
      </c>
      <c r="N108" s="76"/>
      <c r="O108" s="78">
        <f t="shared" ref="O108:O130" si="163">ROUND((K108*M108/100),2)</f>
        <v>6115.43</v>
      </c>
      <c r="P108" s="78">
        <f>ROUND(K108*1.14,2)</f>
        <v>23238.639999999999</v>
      </c>
      <c r="Q108" s="78">
        <f t="shared" ref="Q108:Q130" si="164">K108*T108</f>
        <v>31392.5458</v>
      </c>
      <c r="R108" s="79">
        <f t="shared" si="154"/>
        <v>81131.385799999989</v>
      </c>
      <c r="S108" s="78">
        <f t="shared" si="155"/>
        <v>5096.1899999999996</v>
      </c>
      <c r="T108" s="78">
        <v>1.54</v>
      </c>
      <c r="U108" s="78">
        <f t="shared" si="156"/>
        <v>86227.575799999991</v>
      </c>
      <c r="V108" s="79">
        <f t="shared" si="142"/>
        <v>70584.305645999993</v>
      </c>
      <c r="W108" s="78">
        <f t="shared" si="143"/>
        <v>75017.990945999991</v>
      </c>
      <c r="X108" s="80">
        <v>3</v>
      </c>
      <c r="Y108" s="78">
        <v>3</v>
      </c>
      <c r="Z108" s="80">
        <f t="shared" si="144"/>
        <v>0</v>
      </c>
      <c r="AA108" s="80">
        <f t="shared" si="145"/>
        <v>0</v>
      </c>
      <c r="AB108" s="80">
        <f t="shared" si="146"/>
        <v>61154.31</v>
      </c>
      <c r="AC108" s="80"/>
      <c r="AD108">
        <v>0.1</v>
      </c>
      <c r="AE108" s="78">
        <f t="shared" si="147"/>
        <v>2038.4770000000001</v>
      </c>
      <c r="AF108">
        <v>0.2</v>
      </c>
      <c r="AG108" s="78">
        <f t="shared" si="148"/>
        <v>4076.9540000000002</v>
      </c>
    </row>
    <row r="109" spans="1:33" x14ac:dyDescent="0.2">
      <c r="A109" s="102"/>
      <c r="B109" s="107"/>
      <c r="C109" s="107" t="s">
        <v>48</v>
      </c>
      <c r="D109" s="109">
        <v>1</v>
      </c>
      <c r="E109" s="73">
        <v>5600</v>
      </c>
      <c r="F109" s="74">
        <f t="shared" si="161"/>
        <v>6160</v>
      </c>
      <c r="G109" s="74">
        <f>F109*1.1*1.1+0.4</f>
        <v>7454.0000000000009</v>
      </c>
      <c r="H109" s="74">
        <v>9212.35</v>
      </c>
      <c r="I109" s="74">
        <f t="shared" si="162"/>
        <v>10133.585000000001</v>
      </c>
      <c r="J109" s="74">
        <v>10741.600100000001</v>
      </c>
      <c r="K109" s="74">
        <v>14825.32</v>
      </c>
      <c r="L109" s="105" t="s">
        <v>196</v>
      </c>
      <c r="M109" s="76">
        <v>10</v>
      </c>
      <c r="N109" s="76"/>
      <c r="O109" s="78">
        <f t="shared" si="163"/>
        <v>1482.53</v>
      </c>
      <c r="P109" s="78">
        <f>ROUND(K109*1.14,2)</f>
        <v>16900.86</v>
      </c>
      <c r="Q109" s="78">
        <f t="shared" si="164"/>
        <v>21348.460799999997</v>
      </c>
      <c r="R109" s="79">
        <f t="shared" si="154"/>
        <v>54557.170799999993</v>
      </c>
      <c r="S109" s="78">
        <f t="shared" si="155"/>
        <v>3706.33</v>
      </c>
      <c r="T109" s="78">
        <v>1.44</v>
      </c>
      <c r="U109" s="78">
        <f t="shared" si="156"/>
        <v>58263.500799999994</v>
      </c>
      <c r="V109" s="79">
        <f t="shared" si="142"/>
        <v>47464.738595999996</v>
      </c>
      <c r="W109" s="78">
        <f t="shared" si="143"/>
        <v>50689.245695999998</v>
      </c>
      <c r="X109" s="80">
        <v>3</v>
      </c>
      <c r="Y109" s="78">
        <v>3</v>
      </c>
      <c r="Z109" s="80">
        <f t="shared" si="144"/>
        <v>0</v>
      </c>
      <c r="AA109" s="80">
        <f t="shared" si="145"/>
        <v>0</v>
      </c>
      <c r="AB109" s="80">
        <f t="shared" si="146"/>
        <v>44475.96</v>
      </c>
      <c r="AC109" s="80"/>
      <c r="AD109">
        <v>0.1</v>
      </c>
      <c r="AE109" s="78">
        <f t="shared" si="147"/>
        <v>1482.5320000000002</v>
      </c>
      <c r="AF109">
        <v>0.2</v>
      </c>
      <c r="AG109" s="78">
        <f t="shared" si="148"/>
        <v>2965.0640000000003</v>
      </c>
    </row>
    <row r="110" spans="1:33" x14ac:dyDescent="0.2">
      <c r="A110" s="140"/>
      <c r="B110" s="107"/>
      <c r="C110" s="107" t="s">
        <v>48</v>
      </c>
      <c r="D110" s="109">
        <v>1</v>
      </c>
      <c r="E110" s="73">
        <v>5600</v>
      </c>
      <c r="F110" s="74">
        <f t="shared" si="161"/>
        <v>6160</v>
      </c>
      <c r="G110" s="74">
        <f>F110*1.1*1.1+0.4</f>
        <v>7454.0000000000009</v>
      </c>
      <c r="H110" s="74">
        <v>9212.35</v>
      </c>
      <c r="I110" s="74">
        <f t="shared" si="162"/>
        <v>10133.585000000001</v>
      </c>
      <c r="J110" s="74">
        <v>10741.600100000001</v>
      </c>
      <c r="K110" s="74">
        <v>14825.32</v>
      </c>
      <c r="L110" s="141" t="s">
        <v>112</v>
      </c>
      <c r="M110" s="83">
        <v>15</v>
      </c>
      <c r="N110" s="142"/>
      <c r="O110" s="78">
        <f t="shared" si="163"/>
        <v>2223.8000000000002</v>
      </c>
      <c r="P110" s="78">
        <f>ROUND(K110*1.14,2)</f>
        <v>16900.86</v>
      </c>
      <c r="Q110" s="78">
        <f t="shared" si="164"/>
        <v>21348.460799999997</v>
      </c>
      <c r="R110" s="79">
        <f t="shared" si="154"/>
        <v>55298.440799999997</v>
      </c>
      <c r="S110" s="78">
        <f t="shared" si="155"/>
        <v>3706.33</v>
      </c>
      <c r="T110" s="78">
        <v>1.44</v>
      </c>
      <c r="U110" s="78">
        <f t="shared" si="156"/>
        <v>59004.770799999998</v>
      </c>
      <c r="V110" s="79">
        <f t="shared" si="142"/>
        <v>48109.643495999997</v>
      </c>
      <c r="W110" s="78">
        <f t="shared" si="143"/>
        <v>51334.150595999999</v>
      </c>
      <c r="X110" s="80">
        <v>3</v>
      </c>
      <c r="Y110" s="78">
        <v>3</v>
      </c>
      <c r="Z110" s="80">
        <f t="shared" si="144"/>
        <v>0</v>
      </c>
      <c r="AA110" s="80">
        <f t="shared" si="145"/>
        <v>0</v>
      </c>
      <c r="AB110" s="80">
        <f t="shared" si="146"/>
        <v>44475.96</v>
      </c>
      <c r="AC110" s="80"/>
      <c r="AD110">
        <v>0.1</v>
      </c>
      <c r="AE110" s="78">
        <f t="shared" si="147"/>
        <v>1482.5320000000002</v>
      </c>
      <c r="AF110">
        <v>0.2</v>
      </c>
      <c r="AG110" s="78">
        <f t="shared" si="148"/>
        <v>2965.0640000000003</v>
      </c>
    </row>
    <row r="111" spans="1:33" x14ac:dyDescent="0.2">
      <c r="A111" s="102"/>
      <c r="B111" s="107"/>
      <c r="C111" s="107" t="s">
        <v>48</v>
      </c>
      <c r="D111" s="109">
        <v>1</v>
      </c>
      <c r="E111" s="73">
        <v>5600</v>
      </c>
      <c r="F111" s="74">
        <f t="shared" si="161"/>
        <v>6160</v>
      </c>
      <c r="G111" s="74">
        <f>F111*1.1*1.1+0.4</f>
        <v>7454.0000000000009</v>
      </c>
      <c r="H111" s="74">
        <v>9212.35</v>
      </c>
      <c r="I111" s="74">
        <f t="shared" si="162"/>
        <v>10133.585000000001</v>
      </c>
      <c r="J111" s="74">
        <v>10741.600100000001</v>
      </c>
      <c r="K111" s="74">
        <v>14825.32</v>
      </c>
      <c r="L111" s="105" t="s">
        <v>113</v>
      </c>
      <c r="M111" s="76">
        <v>15</v>
      </c>
      <c r="N111" s="76"/>
      <c r="O111" s="78">
        <f t="shared" si="163"/>
        <v>2223.8000000000002</v>
      </c>
      <c r="P111" s="78">
        <f>ROUND(K111*1.14,2)</f>
        <v>16900.86</v>
      </c>
      <c r="Q111" s="78">
        <f t="shared" si="164"/>
        <v>21348.460799999997</v>
      </c>
      <c r="R111" s="79">
        <f t="shared" si="154"/>
        <v>55298.440799999997</v>
      </c>
      <c r="S111" s="78">
        <f t="shared" si="155"/>
        <v>3706.33</v>
      </c>
      <c r="T111" s="78">
        <v>1.44</v>
      </c>
      <c r="U111" s="78">
        <f t="shared" si="156"/>
        <v>59004.770799999998</v>
      </c>
      <c r="V111" s="79">
        <f t="shared" si="142"/>
        <v>48109.643495999997</v>
      </c>
      <c r="W111" s="78">
        <f t="shared" si="143"/>
        <v>51334.150595999999</v>
      </c>
      <c r="X111" s="80">
        <v>3</v>
      </c>
      <c r="Y111" s="78">
        <v>1</v>
      </c>
      <c r="Z111" s="80">
        <f t="shared" si="144"/>
        <v>2</v>
      </c>
      <c r="AA111" s="80">
        <f t="shared" si="145"/>
        <v>29650.639999999999</v>
      </c>
      <c r="AB111" s="80">
        <f t="shared" si="146"/>
        <v>14825.32</v>
      </c>
      <c r="AC111" s="80"/>
      <c r="AD111">
        <v>0.1</v>
      </c>
      <c r="AE111" s="78">
        <f t="shared" si="147"/>
        <v>1482.5320000000002</v>
      </c>
      <c r="AF111">
        <v>0.2</v>
      </c>
      <c r="AG111" s="78">
        <f t="shared" si="148"/>
        <v>2965.0640000000003</v>
      </c>
    </row>
    <row r="112" spans="1:33" x14ac:dyDescent="0.2">
      <c r="A112" s="102"/>
      <c r="B112" s="107"/>
      <c r="C112" s="107" t="s">
        <v>45</v>
      </c>
      <c r="D112" s="109">
        <v>1</v>
      </c>
      <c r="E112" s="73">
        <v>5600</v>
      </c>
      <c r="F112" s="74">
        <v>7150</v>
      </c>
      <c r="G112" s="74">
        <f>F112*1.1*1.1+0.5</f>
        <v>8652.0000000000018</v>
      </c>
      <c r="H112" s="74">
        <v>10692.91</v>
      </c>
      <c r="I112" s="74">
        <f t="shared" si="162"/>
        <v>11762.201000000001</v>
      </c>
      <c r="J112" s="74">
        <v>12467.933060000001</v>
      </c>
      <c r="K112" s="74">
        <v>17207.939999999999</v>
      </c>
      <c r="L112" s="105" t="s">
        <v>114</v>
      </c>
      <c r="M112" s="83">
        <v>20</v>
      </c>
      <c r="N112" s="76"/>
      <c r="O112" s="78">
        <f t="shared" si="163"/>
        <v>3441.59</v>
      </c>
      <c r="P112" s="78">
        <f>ROUND(K112*1.14,2)</f>
        <v>19617.05</v>
      </c>
      <c r="Q112" s="78">
        <f t="shared" si="164"/>
        <v>26500.227599999998</v>
      </c>
      <c r="R112" s="79">
        <f t="shared" si="154"/>
        <v>66766.8076</v>
      </c>
      <c r="S112" s="78">
        <f t="shared" si="155"/>
        <v>4301.99</v>
      </c>
      <c r="T112" s="78">
        <v>1.54</v>
      </c>
      <c r="U112" s="78">
        <f t="shared" si="156"/>
        <v>71068.797600000005</v>
      </c>
      <c r="V112" s="79">
        <f t="shared" si="142"/>
        <v>58087.122611999999</v>
      </c>
      <c r="W112" s="78">
        <f t="shared" si="143"/>
        <v>61829.853912000006</v>
      </c>
      <c r="X112" s="80">
        <v>3</v>
      </c>
      <c r="Y112" s="78">
        <v>3</v>
      </c>
      <c r="Z112" s="80">
        <f t="shared" si="144"/>
        <v>0</v>
      </c>
      <c r="AA112" s="80">
        <f t="shared" si="145"/>
        <v>0</v>
      </c>
      <c r="AB112" s="80">
        <f t="shared" si="146"/>
        <v>51623.819999999992</v>
      </c>
      <c r="AC112" s="80"/>
      <c r="AD112">
        <v>0.1</v>
      </c>
      <c r="AE112" s="78">
        <f t="shared" si="147"/>
        <v>1720.7939999999999</v>
      </c>
      <c r="AF112">
        <v>0.2</v>
      </c>
      <c r="AG112" s="78">
        <f t="shared" si="148"/>
        <v>3441.5879999999997</v>
      </c>
    </row>
    <row r="113" spans="1:33" x14ac:dyDescent="0.2">
      <c r="A113" s="86"/>
      <c r="B113" s="107"/>
      <c r="C113" s="107" t="s">
        <v>115</v>
      </c>
      <c r="D113" s="143">
        <v>1</v>
      </c>
      <c r="E113" s="118">
        <v>4500</v>
      </c>
      <c r="F113" s="74">
        <f t="shared" si="161"/>
        <v>4950</v>
      </c>
      <c r="G113" s="74">
        <f>F113*1.1*1.1+0.5</f>
        <v>5990.0000000000009</v>
      </c>
      <c r="H113" s="74">
        <v>7402.79</v>
      </c>
      <c r="I113" s="74">
        <f t="shared" si="162"/>
        <v>8143.0690000000004</v>
      </c>
      <c r="J113" s="74">
        <v>8631.6531400000003</v>
      </c>
      <c r="K113" s="74">
        <v>11913.2</v>
      </c>
      <c r="L113" s="105" t="s">
        <v>221</v>
      </c>
      <c r="M113" s="83">
        <v>0</v>
      </c>
      <c r="N113" s="83"/>
      <c r="O113" s="78">
        <f t="shared" si="163"/>
        <v>0</v>
      </c>
      <c r="P113" s="78">
        <f>ROUND(K113*1.54,2)</f>
        <v>18346.330000000002</v>
      </c>
      <c r="Q113" s="78">
        <f t="shared" si="164"/>
        <v>17155.008000000002</v>
      </c>
      <c r="R113" s="79">
        <f t="shared" si="154"/>
        <v>47414.538</v>
      </c>
      <c r="S113" s="78">
        <f t="shared" si="155"/>
        <v>2978.3</v>
      </c>
      <c r="T113" s="78">
        <v>1.44</v>
      </c>
      <c r="U113" s="78">
        <f t="shared" si="156"/>
        <v>50392.838000000003</v>
      </c>
      <c r="V113" s="79">
        <f t="shared" si="142"/>
        <v>41250.64806</v>
      </c>
      <c r="W113" s="78">
        <f t="shared" si="143"/>
        <v>43841.769060000006</v>
      </c>
      <c r="X113" s="80">
        <v>3</v>
      </c>
      <c r="Y113" s="78"/>
      <c r="Z113" s="80">
        <f t="shared" si="144"/>
        <v>3</v>
      </c>
      <c r="AA113" s="80">
        <f t="shared" si="145"/>
        <v>35739.600000000006</v>
      </c>
      <c r="AB113" s="80">
        <f t="shared" si="146"/>
        <v>0</v>
      </c>
      <c r="AC113" s="80"/>
      <c r="AD113">
        <v>0.1</v>
      </c>
      <c r="AE113" s="78">
        <f t="shared" si="147"/>
        <v>1191.3200000000002</v>
      </c>
      <c r="AF113">
        <v>0.2</v>
      </c>
      <c r="AG113" s="78">
        <f t="shared" si="148"/>
        <v>2382.6400000000003</v>
      </c>
    </row>
    <row r="114" spans="1:33" x14ac:dyDescent="0.2">
      <c r="A114" s="86"/>
      <c r="B114" s="107"/>
      <c r="C114" s="107" t="s">
        <v>117</v>
      </c>
      <c r="D114" s="143">
        <v>1</v>
      </c>
      <c r="E114" s="118">
        <v>4500</v>
      </c>
      <c r="F114" s="74">
        <f t="shared" si="161"/>
        <v>4950</v>
      </c>
      <c r="G114" s="74">
        <f>F114*1.1*1.1+0.5</f>
        <v>5990.0000000000009</v>
      </c>
      <c r="H114" s="74">
        <v>7402.79</v>
      </c>
      <c r="I114" s="74">
        <f t="shared" si="162"/>
        <v>8143.0690000000004</v>
      </c>
      <c r="J114" s="74">
        <v>8631.6531400000003</v>
      </c>
      <c r="K114" s="74">
        <v>11913.2</v>
      </c>
      <c r="L114" s="105" t="s">
        <v>116</v>
      </c>
      <c r="M114" s="83">
        <v>0</v>
      </c>
      <c r="N114" s="83"/>
      <c r="O114" s="78">
        <f t="shared" si="163"/>
        <v>0</v>
      </c>
      <c r="P114" s="78">
        <f>ROUND(K114*1.34,2)</f>
        <v>15963.69</v>
      </c>
      <c r="Q114" s="78">
        <f t="shared" si="164"/>
        <v>17155.008000000002</v>
      </c>
      <c r="R114" s="79">
        <f t="shared" si="154"/>
        <v>45031.898000000001</v>
      </c>
      <c r="S114" s="78">
        <f t="shared" si="155"/>
        <v>2978.3</v>
      </c>
      <c r="T114" s="78">
        <v>1.44</v>
      </c>
      <c r="U114" s="78">
        <f t="shared" si="156"/>
        <v>48010.198000000004</v>
      </c>
      <c r="V114" s="79">
        <f t="shared" si="142"/>
        <v>39177.751259999997</v>
      </c>
      <c r="W114" s="78">
        <f t="shared" si="143"/>
        <v>41768.872260000004</v>
      </c>
      <c r="X114" s="80">
        <v>3</v>
      </c>
      <c r="Y114" s="78">
        <v>3</v>
      </c>
      <c r="Z114" s="80">
        <f t="shared" si="144"/>
        <v>0</v>
      </c>
      <c r="AA114" s="80">
        <f t="shared" si="145"/>
        <v>0</v>
      </c>
      <c r="AB114" s="80">
        <f t="shared" si="146"/>
        <v>35739.600000000006</v>
      </c>
      <c r="AC114" s="80"/>
      <c r="AD114">
        <v>0.1</v>
      </c>
      <c r="AE114" s="78">
        <f t="shared" si="147"/>
        <v>1191.3200000000002</v>
      </c>
      <c r="AF114">
        <v>0.2</v>
      </c>
      <c r="AG114" s="78">
        <f t="shared" si="148"/>
        <v>2382.6400000000003</v>
      </c>
    </row>
    <row r="115" spans="1:33" x14ac:dyDescent="0.2">
      <c r="A115" s="86"/>
      <c r="B115" s="107"/>
      <c r="C115" s="107" t="s">
        <v>117</v>
      </c>
      <c r="D115" s="143">
        <v>0</v>
      </c>
      <c r="E115" s="118">
        <v>4500</v>
      </c>
      <c r="F115" s="74">
        <f t="shared" si="161"/>
        <v>4950</v>
      </c>
      <c r="G115" s="74">
        <f>F115*1.1*1.1+0.5</f>
        <v>5990.0000000000009</v>
      </c>
      <c r="H115" s="74">
        <v>7402.79</v>
      </c>
      <c r="I115" s="74">
        <f t="shared" si="162"/>
        <v>8143.0690000000004</v>
      </c>
      <c r="J115" s="74">
        <v>8631.6531400000003</v>
      </c>
      <c r="K115" s="74"/>
      <c r="L115" s="105"/>
      <c r="M115" s="83">
        <v>0</v>
      </c>
      <c r="N115" s="83"/>
      <c r="O115" s="78">
        <f t="shared" si="163"/>
        <v>0</v>
      </c>
      <c r="P115" s="78">
        <f>ROUND(K115*1.34,2)</f>
        <v>0</v>
      </c>
      <c r="Q115" s="78">
        <f t="shared" si="164"/>
        <v>0</v>
      </c>
      <c r="R115" s="79">
        <f t="shared" si="154"/>
        <v>0</v>
      </c>
      <c r="S115" s="78">
        <f t="shared" si="155"/>
        <v>0</v>
      </c>
      <c r="T115" s="78">
        <v>1.44</v>
      </c>
      <c r="U115" s="78">
        <f t="shared" si="156"/>
        <v>0</v>
      </c>
      <c r="V115" s="79">
        <f t="shared" si="142"/>
        <v>0</v>
      </c>
      <c r="W115" s="78">
        <f t="shared" si="143"/>
        <v>0</v>
      </c>
      <c r="X115" s="80">
        <v>3</v>
      </c>
      <c r="Y115" s="78">
        <v>3</v>
      </c>
      <c r="Z115" s="80">
        <f t="shared" si="144"/>
        <v>0</v>
      </c>
      <c r="AA115" s="80">
        <f t="shared" si="145"/>
        <v>0</v>
      </c>
      <c r="AB115" s="80">
        <f t="shared" si="146"/>
        <v>0</v>
      </c>
      <c r="AC115" s="80"/>
      <c r="AD115">
        <v>0.1</v>
      </c>
      <c r="AE115" s="78">
        <f t="shared" si="147"/>
        <v>0</v>
      </c>
      <c r="AF115">
        <v>0.2</v>
      </c>
      <c r="AG115" s="78">
        <f t="shared" si="148"/>
        <v>0</v>
      </c>
    </row>
    <row r="116" spans="1:33" x14ac:dyDescent="0.2">
      <c r="A116" s="86"/>
      <c r="B116" s="107"/>
      <c r="C116" s="107" t="s">
        <v>117</v>
      </c>
      <c r="D116" s="143">
        <v>1</v>
      </c>
      <c r="E116" s="118">
        <v>4500</v>
      </c>
      <c r="F116" s="74">
        <f t="shared" si="161"/>
        <v>4950</v>
      </c>
      <c r="G116" s="74">
        <f>F116*1.1*1.1+0.5</f>
        <v>5990.0000000000009</v>
      </c>
      <c r="H116" s="74">
        <v>7402.79</v>
      </c>
      <c r="I116" s="74">
        <f t="shared" si="162"/>
        <v>8143.0690000000004</v>
      </c>
      <c r="J116" s="74">
        <v>8631.6531400000003</v>
      </c>
      <c r="K116" s="74">
        <v>11913.2</v>
      </c>
      <c r="L116" s="105" t="s">
        <v>118</v>
      </c>
      <c r="M116" s="83">
        <v>0</v>
      </c>
      <c r="N116" s="83"/>
      <c r="O116" s="78">
        <f t="shared" si="163"/>
        <v>0</v>
      </c>
      <c r="P116" s="78">
        <f>ROUND(K116*1.34,2)</f>
        <v>15963.69</v>
      </c>
      <c r="Q116" s="78">
        <f t="shared" si="164"/>
        <v>17155.008000000002</v>
      </c>
      <c r="R116" s="79">
        <f t="shared" si="154"/>
        <v>45031.898000000001</v>
      </c>
      <c r="S116" s="78">
        <f t="shared" si="155"/>
        <v>2978.3</v>
      </c>
      <c r="T116" s="78">
        <v>1.44</v>
      </c>
      <c r="U116" s="78">
        <f t="shared" si="156"/>
        <v>48010.198000000004</v>
      </c>
      <c r="V116" s="79">
        <f t="shared" si="142"/>
        <v>39177.751259999997</v>
      </c>
      <c r="W116" s="78">
        <f t="shared" si="143"/>
        <v>41768.872260000004</v>
      </c>
      <c r="X116" s="80">
        <v>3</v>
      </c>
      <c r="Y116" s="78">
        <v>3</v>
      </c>
      <c r="Z116" s="80">
        <f t="shared" si="144"/>
        <v>0</v>
      </c>
      <c r="AA116" s="80">
        <f t="shared" si="145"/>
        <v>0</v>
      </c>
      <c r="AB116" s="80">
        <f t="shared" si="146"/>
        <v>35739.600000000006</v>
      </c>
      <c r="AC116" s="80"/>
      <c r="AD116">
        <v>0.1</v>
      </c>
      <c r="AE116" s="78">
        <f t="shared" si="147"/>
        <v>1191.3200000000002</v>
      </c>
      <c r="AF116">
        <v>0.2</v>
      </c>
      <c r="AG116" s="78">
        <f t="shared" si="148"/>
        <v>2382.6400000000003</v>
      </c>
    </row>
    <row r="117" spans="1:33" x14ac:dyDescent="0.2">
      <c r="A117" s="86"/>
      <c r="B117" s="87"/>
      <c r="C117" s="87" t="s">
        <v>51</v>
      </c>
      <c r="D117" s="111">
        <f t="shared" ref="D117:I117" si="165">SUM(D107:D116)</f>
        <v>9</v>
      </c>
      <c r="E117" s="95">
        <f t="shared" si="165"/>
        <v>56600</v>
      </c>
      <c r="F117" s="95">
        <f t="shared" si="165"/>
        <v>63250</v>
      </c>
      <c r="G117" s="95">
        <f t="shared" si="165"/>
        <v>76537</v>
      </c>
      <c r="H117" s="95">
        <f t="shared" si="165"/>
        <v>94591.129999999976</v>
      </c>
      <c r="I117" s="95">
        <f t="shared" si="165"/>
        <v>104050.24300000002</v>
      </c>
      <c r="J117" s="95">
        <v>121034.85768000003</v>
      </c>
      <c r="K117" s="90">
        <f>SUM(K107:K116)</f>
        <v>140310.93000000002</v>
      </c>
      <c r="L117" s="90"/>
      <c r="M117" s="90"/>
      <c r="N117" s="90">
        <f t="shared" ref="N117" si="166">SUM(N107:N116)</f>
        <v>0</v>
      </c>
      <c r="O117" s="90">
        <f>SUM(O107:O116)</f>
        <v>19987.68</v>
      </c>
      <c r="P117" s="90">
        <f t="shared" ref="P117:W117" si="167">SUM(P107:P116)</f>
        <v>171735.28000000003</v>
      </c>
      <c r="Q117" s="90">
        <f t="shared" si="167"/>
        <v>208057.27619999999</v>
      </c>
      <c r="R117" s="90">
        <f t="shared" si="167"/>
        <v>540091.16619999998</v>
      </c>
      <c r="S117" s="90">
        <f t="shared" si="167"/>
        <v>35077.74</v>
      </c>
      <c r="T117" s="90">
        <f t="shared" si="167"/>
        <v>14.699999999999996</v>
      </c>
      <c r="U117" s="90">
        <f t="shared" si="167"/>
        <v>575168.90619999997</v>
      </c>
      <c r="V117" s="90">
        <f t="shared" si="167"/>
        <v>469879.31459399994</v>
      </c>
      <c r="W117" s="90">
        <f t="shared" si="167"/>
        <v>500396.94839399995</v>
      </c>
      <c r="X117" s="80"/>
      <c r="Y117" s="90"/>
      <c r="Z117" s="80"/>
      <c r="AA117" s="80">
        <f t="shared" si="145"/>
        <v>0</v>
      </c>
      <c r="AB117" s="80">
        <f t="shared" si="146"/>
        <v>0</v>
      </c>
      <c r="AC117" s="91"/>
      <c r="AD117">
        <v>0.1</v>
      </c>
      <c r="AE117" s="112">
        <f t="shared" si="147"/>
        <v>14031.093000000003</v>
      </c>
      <c r="AF117">
        <v>0.2</v>
      </c>
      <c r="AG117" s="112">
        <f t="shared" si="148"/>
        <v>28062.186000000005</v>
      </c>
    </row>
    <row r="118" spans="1:33" ht="19.5" customHeight="1" x14ac:dyDescent="0.2">
      <c r="A118" s="71" t="s">
        <v>119</v>
      </c>
      <c r="B118" s="93"/>
      <c r="C118" s="93"/>
      <c r="D118" s="94"/>
      <c r="E118" s="95"/>
      <c r="F118" s="95"/>
      <c r="G118" s="95"/>
      <c r="H118" s="95"/>
      <c r="I118" s="95"/>
      <c r="J118" s="95"/>
      <c r="K118" s="90"/>
      <c r="L118" s="96"/>
      <c r="M118" s="96"/>
      <c r="N118" s="96"/>
      <c r="O118" s="96"/>
      <c r="P118" s="99" t="s">
        <v>108</v>
      </c>
      <c r="Q118" s="96"/>
      <c r="R118" s="79"/>
      <c r="S118" s="96"/>
      <c r="T118" s="99"/>
      <c r="U118" s="96"/>
      <c r="V118" s="100"/>
      <c r="W118" s="96"/>
      <c r="X118" s="80"/>
      <c r="Y118" s="96"/>
      <c r="Z118" s="80"/>
      <c r="AA118" s="80">
        <f t="shared" si="145"/>
        <v>0</v>
      </c>
      <c r="AB118" s="80">
        <f t="shared" si="146"/>
        <v>0</v>
      </c>
      <c r="AC118" s="144"/>
      <c r="AD118">
        <v>0.1</v>
      </c>
      <c r="AE118" s="96"/>
      <c r="AG118" s="96"/>
    </row>
    <row r="119" spans="1:33" x14ac:dyDescent="0.2">
      <c r="A119" s="133"/>
      <c r="B119" s="87"/>
      <c r="C119" s="87" t="s">
        <v>120</v>
      </c>
      <c r="D119" s="109">
        <v>1</v>
      </c>
      <c r="E119" s="73">
        <v>7500</v>
      </c>
      <c r="F119" s="74">
        <f>ROUND(E119*F$12,2)</f>
        <v>8250</v>
      </c>
      <c r="G119" s="74">
        <f>F119*1.1*1.1+0.5</f>
        <v>9983</v>
      </c>
      <c r="H119" s="74">
        <v>12337.98</v>
      </c>
      <c r="I119" s="74">
        <f>H119*$I$12</f>
        <v>13571.778</v>
      </c>
      <c r="J119" s="74">
        <v>14386.084680000002</v>
      </c>
      <c r="K119" s="74">
        <v>19855.330000000002</v>
      </c>
      <c r="L119" s="105" t="s">
        <v>121</v>
      </c>
      <c r="M119" s="216">
        <v>15</v>
      </c>
      <c r="N119" s="76"/>
      <c r="O119" s="78">
        <f t="shared" si="163"/>
        <v>2978.3</v>
      </c>
      <c r="P119" s="78">
        <f>ROUND(K119*1.14,2)</f>
        <v>22635.08</v>
      </c>
      <c r="Q119" s="78">
        <f t="shared" si="164"/>
        <v>30577.208200000005</v>
      </c>
      <c r="R119" s="79">
        <f t="shared" si="154"/>
        <v>76045.918200000015</v>
      </c>
      <c r="S119" s="78">
        <f t="shared" si="155"/>
        <v>4963.83</v>
      </c>
      <c r="T119" s="78">
        <v>1.54</v>
      </c>
      <c r="U119" s="78">
        <f t="shared" si="156"/>
        <v>81009.748200000016</v>
      </c>
      <c r="V119" s="79">
        <f t="shared" si="142"/>
        <v>66159.94883400001</v>
      </c>
      <c r="W119" s="78">
        <f t="shared" si="143"/>
        <v>70478.480934000021</v>
      </c>
      <c r="X119" s="80">
        <v>3</v>
      </c>
      <c r="Y119" s="78">
        <v>3</v>
      </c>
      <c r="Z119" s="80">
        <f t="shared" si="144"/>
        <v>0</v>
      </c>
      <c r="AA119" s="80">
        <f t="shared" si="145"/>
        <v>0</v>
      </c>
      <c r="AB119" s="80">
        <f t="shared" si="146"/>
        <v>59565.990000000005</v>
      </c>
      <c r="AC119" s="80"/>
      <c r="AD119">
        <v>0.1</v>
      </c>
      <c r="AE119" s="78">
        <f t="shared" si="147"/>
        <v>1985.5330000000004</v>
      </c>
      <c r="AF119">
        <v>0.2</v>
      </c>
      <c r="AG119" s="78">
        <f t="shared" si="148"/>
        <v>3971.0660000000007</v>
      </c>
    </row>
    <row r="120" spans="1:33" x14ac:dyDescent="0.2">
      <c r="A120" s="102"/>
      <c r="B120" s="107"/>
      <c r="C120" s="107" t="s">
        <v>184</v>
      </c>
      <c r="D120" s="109">
        <v>1</v>
      </c>
      <c r="E120" s="73">
        <v>5600</v>
      </c>
      <c r="F120" s="74">
        <v>7150</v>
      </c>
      <c r="G120" s="74">
        <f>F120*1.1*1.1+0.5</f>
        <v>8652.0000000000018</v>
      </c>
      <c r="H120" s="74">
        <v>10692.91</v>
      </c>
      <c r="I120" s="74">
        <f>H120*$I$12</f>
        <v>11762.201000000001</v>
      </c>
      <c r="J120" s="74">
        <v>12467.933060000001</v>
      </c>
      <c r="K120" s="74">
        <v>17207.939999999999</v>
      </c>
      <c r="L120" s="75" t="s">
        <v>186</v>
      </c>
      <c r="M120" s="216">
        <v>10</v>
      </c>
      <c r="N120" s="76"/>
      <c r="O120" s="78">
        <f t="shared" si="163"/>
        <v>1720.79</v>
      </c>
      <c r="P120" s="78">
        <f>ROUND(K120*1.14,2)</f>
        <v>19617.05</v>
      </c>
      <c r="Q120" s="78">
        <f t="shared" si="164"/>
        <v>26500.227599999998</v>
      </c>
      <c r="R120" s="79">
        <f t="shared" si="154"/>
        <v>65046.007599999997</v>
      </c>
      <c r="S120" s="78">
        <f t="shared" si="155"/>
        <v>4301.99</v>
      </c>
      <c r="T120" s="78">
        <v>1.54</v>
      </c>
      <c r="U120" s="78">
        <f t="shared" si="156"/>
        <v>69347.997600000002</v>
      </c>
      <c r="V120" s="79">
        <f t="shared" si="142"/>
        <v>56590.026611999994</v>
      </c>
      <c r="W120" s="78">
        <f t="shared" si="143"/>
        <v>60332.757912000001</v>
      </c>
      <c r="X120" s="80">
        <v>3</v>
      </c>
      <c r="Y120" s="78"/>
      <c r="Z120" s="80">
        <f t="shared" si="144"/>
        <v>3</v>
      </c>
      <c r="AA120" s="80">
        <f t="shared" si="145"/>
        <v>51623.819999999992</v>
      </c>
      <c r="AB120" s="80">
        <f t="shared" si="146"/>
        <v>0</v>
      </c>
      <c r="AC120" s="80"/>
      <c r="AD120">
        <v>0.1</v>
      </c>
      <c r="AE120" s="78">
        <f t="shared" si="147"/>
        <v>1720.7939999999999</v>
      </c>
      <c r="AF120">
        <v>0.2</v>
      </c>
      <c r="AG120" s="78">
        <f t="shared" si="148"/>
        <v>3441.5879999999997</v>
      </c>
    </row>
    <row r="121" spans="1:33" x14ac:dyDescent="0.2">
      <c r="A121" s="86"/>
      <c r="B121" s="87"/>
      <c r="C121" s="87" t="s">
        <v>51</v>
      </c>
      <c r="D121" s="111">
        <f>SUM(D119:D120)</f>
        <v>2</v>
      </c>
      <c r="E121" s="111">
        <f t="shared" ref="E121:N121" si="168">SUM(E119:E120)</f>
        <v>13100</v>
      </c>
      <c r="F121" s="111">
        <f t="shared" si="168"/>
        <v>15400</v>
      </c>
      <c r="G121" s="111">
        <f t="shared" si="168"/>
        <v>18635</v>
      </c>
      <c r="H121" s="111">
        <f t="shared" si="168"/>
        <v>23030.89</v>
      </c>
      <c r="I121" s="111">
        <f t="shared" si="168"/>
        <v>25333.978999999999</v>
      </c>
      <c r="J121" s="111">
        <f t="shared" si="168"/>
        <v>26854.017740000003</v>
      </c>
      <c r="K121" s="90">
        <f t="shared" si="168"/>
        <v>37063.270000000004</v>
      </c>
      <c r="L121" s="90"/>
      <c r="M121" s="90"/>
      <c r="N121" s="90">
        <f t="shared" si="168"/>
        <v>0</v>
      </c>
      <c r="O121" s="90">
        <f>SUM(O119:O120)</f>
        <v>4699.09</v>
      </c>
      <c r="P121" s="90">
        <f t="shared" ref="P121:W121" si="169">SUM(P119:P120)</f>
        <v>42252.130000000005</v>
      </c>
      <c r="Q121" s="90">
        <f t="shared" si="169"/>
        <v>57077.435800000007</v>
      </c>
      <c r="R121" s="90">
        <f t="shared" si="169"/>
        <v>141091.92580000003</v>
      </c>
      <c r="S121" s="90">
        <f t="shared" si="169"/>
        <v>9265.82</v>
      </c>
      <c r="T121" s="90">
        <f t="shared" si="169"/>
        <v>3.08</v>
      </c>
      <c r="U121" s="90">
        <f t="shared" si="169"/>
        <v>150357.74580000003</v>
      </c>
      <c r="V121" s="90">
        <f t="shared" si="169"/>
        <v>122749.975446</v>
      </c>
      <c r="W121" s="90">
        <f t="shared" si="169"/>
        <v>130811.23884600002</v>
      </c>
      <c r="X121" s="80"/>
      <c r="Y121" s="90"/>
      <c r="Z121" s="80"/>
      <c r="AA121" s="80">
        <f t="shared" si="145"/>
        <v>0</v>
      </c>
      <c r="AB121" s="80">
        <f t="shared" si="146"/>
        <v>0</v>
      </c>
      <c r="AC121" s="91"/>
      <c r="AD121">
        <v>0.1</v>
      </c>
      <c r="AE121" s="112">
        <f t="shared" si="147"/>
        <v>3706.3270000000007</v>
      </c>
      <c r="AF121">
        <v>0.2</v>
      </c>
      <c r="AG121" s="112">
        <f t="shared" si="148"/>
        <v>7412.6540000000014</v>
      </c>
    </row>
    <row r="122" spans="1:33" ht="28.5" customHeight="1" x14ac:dyDescent="0.2">
      <c r="A122" s="71" t="s">
        <v>122</v>
      </c>
      <c r="B122" s="93"/>
      <c r="C122" s="93"/>
      <c r="D122" s="94"/>
      <c r="E122" s="95"/>
      <c r="F122" s="95"/>
      <c r="G122" s="95"/>
      <c r="H122" s="95"/>
      <c r="I122" s="95"/>
      <c r="J122" s="95"/>
      <c r="K122" s="90"/>
      <c r="L122" s="90"/>
      <c r="M122" s="90"/>
      <c r="N122" s="90"/>
      <c r="O122" s="90"/>
      <c r="P122" s="99" t="s">
        <v>40</v>
      </c>
      <c r="Q122" s="78">
        <f t="shared" si="164"/>
        <v>0</v>
      </c>
      <c r="R122" s="79"/>
      <c r="S122" s="90"/>
      <c r="T122" s="99"/>
      <c r="U122" s="90"/>
      <c r="V122" s="100"/>
      <c r="W122" s="90"/>
      <c r="X122" s="80"/>
      <c r="Y122" s="90"/>
      <c r="Z122" s="80"/>
      <c r="AA122" s="80">
        <f t="shared" si="145"/>
        <v>0</v>
      </c>
      <c r="AB122" s="80">
        <f t="shared" si="146"/>
        <v>0</v>
      </c>
      <c r="AC122" s="91"/>
      <c r="AD122">
        <v>0.1</v>
      </c>
      <c r="AE122" s="90"/>
      <c r="AG122" s="90"/>
    </row>
    <row r="123" spans="1:33" x14ac:dyDescent="0.2">
      <c r="A123" s="102"/>
      <c r="B123" s="87"/>
      <c r="C123" s="87" t="s">
        <v>58</v>
      </c>
      <c r="D123" s="72">
        <v>1</v>
      </c>
      <c r="E123" s="73">
        <v>8500</v>
      </c>
      <c r="F123" s="74">
        <f t="shared" ref="F123:F128" si="170">ROUND(E123*F$12,2)</f>
        <v>9350</v>
      </c>
      <c r="G123" s="74">
        <f>F123*1.1*1.1+0.5</f>
        <v>11314.000000000002</v>
      </c>
      <c r="H123" s="74">
        <v>13983.03</v>
      </c>
      <c r="I123" s="74">
        <f t="shared" ref="I123:I130" si="171">H123*$I$12</f>
        <v>15381.333000000002</v>
      </c>
      <c r="J123" s="74">
        <v>16304.212980000004</v>
      </c>
      <c r="K123" s="74">
        <v>22502.66</v>
      </c>
      <c r="L123" s="75" t="s">
        <v>218</v>
      </c>
      <c r="M123" s="76">
        <v>30</v>
      </c>
      <c r="N123" s="76"/>
      <c r="O123" s="78">
        <f t="shared" si="163"/>
        <v>6750.8</v>
      </c>
      <c r="P123" s="78">
        <f>ROUND(K123*1.24,2)</f>
        <v>27903.3</v>
      </c>
      <c r="Q123" s="78">
        <f t="shared" si="164"/>
        <v>34654.096400000002</v>
      </c>
      <c r="R123" s="79">
        <f t="shared" si="154"/>
        <v>91810.85639999999</v>
      </c>
      <c r="S123" s="78">
        <f t="shared" si="155"/>
        <v>5625.67</v>
      </c>
      <c r="T123" s="78">
        <v>1.54</v>
      </c>
      <c r="U123" s="78">
        <f t="shared" si="156"/>
        <v>97436.526399999988</v>
      </c>
      <c r="V123" s="79">
        <f t="shared" si="142"/>
        <v>79875.445067999986</v>
      </c>
      <c r="W123" s="78">
        <f t="shared" si="143"/>
        <v>84769.777967999995</v>
      </c>
      <c r="X123" s="80">
        <v>3</v>
      </c>
      <c r="Y123" s="78">
        <v>3</v>
      </c>
      <c r="Z123" s="80">
        <f t="shared" si="144"/>
        <v>0</v>
      </c>
      <c r="AA123" s="80">
        <f t="shared" si="145"/>
        <v>0</v>
      </c>
      <c r="AB123" s="80">
        <f t="shared" si="146"/>
        <v>67507.98</v>
      </c>
      <c r="AC123" s="80"/>
      <c r="AD123">
        <v>0.1</v>
      </c>
      <c r="AE123" s="78">
        <f t="shared" si="147"/>
        <v>2250.2660000000001</v>
      </c>
      <c r="AF123">
        <v>0.2</v>
      </c>
      <c r="AG123" s="78">
        <f t="shared" si="148"/>
        <v>4500.5320000000002</v>
      </c>
    </row>
    <row r="124" spans="1:33" ht="17.25" customHeight="1" x14ac:dyDescent="0.2">
      <c r="A124" s="102"/>
      <c r="B124" s="107"/>
      <c r="C124" s="82" t="s">
        <v>123</v>
      </c>
      <c r="D124" s="72">
        <v>1</v>
      </c>
      <c r="E124" s="73">
        <v>7700</v>
      </c>
      <c r="F124" s="74">
        <f t="shared" si="170"/>
        <v>8470</v>
      </c>
      <c r="G124" s="74">
        <f>F124*1.1*1.1+0.3</f>
        <v>10249</v>
      </c>
      <c r="H124" s="74">
        <v>12666.98</v>
      </c>
      <c r="I124" s="74">
        <f t="shared" si="171"/>
        <v>13933.678</v>
      </c>
      <c r="J124" s="74">
        <v>14769.698680000001</v>
      </c>
      <c r="K124" s="74">
        <v>20384.77</v>
      </c>
      <c r="L124" s="75" t="s">
        <v>124</v>
      </c>
      <c r="M124" s="69">
        <v>30</v>
      </c>
      <c r="N124" s="76"/>
      <c r="O124" s="78">
        <f>ROUND((K124*M124/100),2)</f>
        <v>6115.43</v>
      </c>
      <c r="P124" s="78">
        <f>ROUND(K124*1.14,2)</f>
        <v>23238.639999999999</v>
      </c>
      <c r="Q124" s="78">
        <f t="shared" si="164"/>
        <v>31392.5458</v>
      </c>
      <c r="R124" s="79">
        <f t="shared" si="154"/>
        <v>81131.385799999989</v>
      </c>
      <c r="S124" s="78">
        <f t="shared" si="155"/>
        <v>5096.1899999999996</v>
      </c>
      <c r="T124" s="78">
        <v>1.54</v>
      </c>
      <c r="U124" s="78">
        <f t="shared" si="156"/>
        <v>86227.575799999991</v>
      </c>
      <c r="V124" s="79">
        <f t="shared" si="142"/>
        <v>70584.305645999993</v>
      </c>
      <c r="W124" s="78">
        <f t="shared" si="143"/>
        <v>75017.990945999991</v>
      </c>
      <c r="X124" s="80">
        <v>3</v>
      </c>
      <c r="Y124" s="78">
        <v>3</v>
      </c>
      <c r="Z124" s="80">
        <f t="shared" si="144"/>
        <v>0</v>
      </c>
      <c r="AA124" s="80">
        <f t="shared" si="145"/>
        <v>0</v>
      </c>
      <c r="AB124" s="80">
        <f t="shared" si="146"/>
        <v>61154.31</v>
      </c>
      <c r="AC124" s="80"/>
      <c r="AD124">
        <v>0.1</v>
      </c>
      <c r="AE124" s="78">
        <f t="shared" si="147"/>
        <v>2038.4770000000001</v>
      </c>
      <c r="AF124">
        <v>0.2</v>
      </c>
      <c r="AG124" s="78">
        <f t="shared" si="148"/>
        <v>4076.9540000000002</v>
      </c>
    </row>
    <row r="125" spans="1:33" x14ac:dyDescent="0.2">
      <c r="A125" s="102"/>
      <c r="B125" s="107"/>
      <c r="C125" s="107" t="s">
        <v>45</v>
      </c>
      <c r="D125" s="109">
        <v>1</v>
      </c>
      <c r="E125" s="73">
        <v>6500</v>
      </c>
      <c r="F125" s="74">
        <f t="shared" si="170"/>
        <v>7150</v>
      </c>
      <c r="G125" s="74">
        <f>F125*1.1*1.1+0.5</f>
        <v>8652.0000000000018</v>
      </c>
      <c r="H125" s="74">
        <v>10692.91</v>
      </c>
      <c r="I125" s="74">
        <f t="shared" si="171"/>
        <v>11762.201000000001</v>
      </c>
      <c r="J125" s="74">
        <v>12467.933060000001</v>
      </c>
      <c r="K125" s="74">
        <v>17207.939999999999</v>
      </c>
      <c r="L125" s="75" t="s">
        <v>180</v>
      </c>
      <c r="M125" s="83">
        <v>20</v>
      </c>
      <c r="N125" s="76"/>
      <c r="O125" s="78">
        <f t="shared" si="163"/>
        <v>3441.59</v>
      </c>
      <c r="P125" s="78">
        <f t="shared" ref="P125:P130" si="172">ROUND(K125*1.14,2)</f>
        <v>19617.05</v>
      </c>
      <c r="Q125" s="78">
        <f t="shared" si="164"/>
        <v>26500.227599999998</v>
      </c>
      <c r="R125" s="79">
        <f t="shared" si="154"/>
        <v>66766.8076</v>
      </c>
      <c r="S125" s="78">
        <f t="shared" si="155"/>
        <v>4301.99</v>
      </c>
      <c r="T125" s="78">
        <v>1.54</v>
      </c>
      <c r="U125" s="78">
        <f t="shared" si="156"/>
        <v>71068.797600000005</v>
      </c>
      <c r="V125" s="79">
        <f t="shared" si="142"/>
        <v>58087.122611999999</v>
      </c>
      <c r="W125" s="78">
        <f t="shared" si="143"/>
        <v>61829.853912000006</v>
      </c>
      <c r="X125" s="80">
        <v>3</v>
      </c>
      <c r="Y125" s="78">
        <v>3</v>
      </c>
      <c r="Z125" s="80">
        <f t="shared" si="144"/>
        <v>0</v>
      </c>
      <c r="AA125" s="80">
        <f t="shared" si="145"/>
        <v>0</v>
      </c>
      <c r="AB125" s="80">
        <f t="shared" si="146"/>
        <v>51623.819999999992</v>
      </c>
      <c r="AC125" s="80"/>
      <c r="AD125">
        <v>0.1</v>
      </c>
      <c r="AE125" s="78">
        <f t="shared" si="147"/>
        <v>1720.7939999999999</v>
      </c>
      <c r="AF125">
        <v>0.2</v>
      </c>
      <c r="AG125" s="78">
        <f t="shared" si="148"/>
        <v>3441.5879999999997</v>
      </c>
    </row>
    <row r="126" spans="1:33" x14ac:dyDescent="0.2">
      <c r="A126" s="102"/>
      <c r="B126" s="107"/>
      <c r="C126" s="107" t="s">
        <v>45</v>
      </c>
      <c r="D126" s="109">
        <v>1</v>
      </c>
      <c r="E126" s="73">
        <v>6500</v>
      </c>
      <c r="F126" s="74">
        <f t="shared" si="170"/>
        <v>7150</v>
      </c>
      <c r="G126" s="74">
        <f>F126*1.1*1.1+0.5</f>
        <v>8652.0000000000018</v>
      </c>
      <c r="H126" s="74">
        <v>10692.91</v>
      </c>
      <c r="I126" s="74">
        <f t="shared" si="171"/>
        <v>11762.201000000001</v>
      </c>
      <c r="J126" s="74">
        <v>12467.933060000001</v>
      </c>
      <c r="K126" s="74">
        <v>17207.939999999999</v>
      </c>
      <c r="L126" s="75" t="s">
        <v>125</v>
      </c>
      <c r="M126" s="76">
        <v>30</v>
      </c>
      <c r="N126" s="76"/>
      <c r="O126" s="78">
        <f t="shared" si="163"/>
        <v>5162.38</v>
      </c>
      <c r="P126" s="78">
        <f t="shared" si="172"/>
        <v>19617.05</v>
      </c>
      <c r="Q126" s="78">
        <f t="shared" si="164"/>
        <v>26500.227599999998</v>
      </c>
      <c r="R126" s="79">
        <f t="shared" si="154"/>
        <v>68487.597599999994</v>
      </c>
      <c r="S126" s="78">
        <f t="shared" si="155"/>
        <v>4301.99</v>
      </c>
      <c r="T126" s="78">
        <v>1.54</v>
      </c>
      <c r="U126" s="78">
        <f t="shared" si="156"/>
        <v>72789.587599999999</v>
      </c>
      <c r="V126" s="79">
        <f t="shared" si="142"/>
        <v>59584.209911999991</v>
      </c>
      <c r="W126" s="78">
        <f t="shared" si="143"/>
        <v>63326.941211999998</v>
      </c>
      <c r="X126" s="80">
        <v>3</v>
      </c>
      <c r="Y126" s="78">
        <v>3</v>
      </c>
      <c r="Z126" s="80">
        <f t="shared" si="144"/>
        <v>0</v>
      </c>
      <c r="AA126" s="80">
        <f t="shared" si="145"/>
        <v>0</v>
      </c>
      <c r="AB126" s="80">
        <f t="shared" si="146"/>
        <v>51623.819999999992</v>
      </c>
      <c r="AC126" s="80"/>
      <c r="AD126">
        <v>0.1</v>
      </c>
      <c r="AE126" s="78">
        <f t="shared" si="147"/>
        <v>1720.7939999999999</v>
      </c>
      <c r="AF126">
        <v>0.2</v>
      </c>
      <c r="AG126" s="78">
        <f t="shared" si="148"/>
        <v>3441.5879999999997</v>
      </c>
    </row>
    <row r="127" spans="1:33" x14ac:dyDescent="0.2">
      <c r="A127" s="102"/>
      <c r="B127" s="107"/>
      <c r="C127" s="107" t="s">
        <v>45</v>
      </c>
      <c r="D127" s="109">
        <v>1</v>
      </c>
      <c r="E127" s="73">
        <v>6500</v>
      </c>
      <c r="F127" s="74">
        <f t="shared" si="170"/>
        <v>7150</v>
      </c>
      <c r="G127" s="74">
        <f>F127*1.1*1.1+0.5</f>
        <v>8652.0000000000018</v>
      </c>
      <c r="H127" s="74">
        <v>10692.91</v>
      </c>
      <c r="I127" s="74">
        <f t="shared" si="171"/>
        <v>11762.201000000001</v>
      </c>
      <c r="J127" s="74">
        <v>12467.933060000001</v>
      </c>
      <c r="K127" s="74">
        <v>17207.939999999999</v>
      </c>
      <c r="L127" s="105" t="s">
        <v>126</v>
      </c>
      <c r="M127" s="145">
        <v>30</v>
      </c>
      <c r="N127" s="76"/>
      <c r="O127" s="78">
        <f t="shared" si="163"/>
        <v>5162.38</v>
      </c>
      <c r="P127" s="78">
        <f t="shared" si="172"/>
        <v>19617.05</v>
      </c>
      <c r="Q127" s="78">
        <f t="shared" si="164"/>
        <v>26500.227599999998</v>
      </c>
      <c r="R127" s="79">
        <f t="shared" si="154"/>
        <v>68487.597599999994</v>
      </c>
      <c r="S127" s="78">
        <f t="shared" si="155"/>
        <v>4301.99</v>
      </c>
      <c r="T127" s="78">
        <v>1.54</v>
      </c>
      <c r="U127" s="78">
        <f t="shared" si="156"/>
        <v>72789.587599999999</v>
      </c>
      <c r="V127" s="79">
        <f t="shared" si="142"/>
        <v>59584.209911999991</v>
      </c>
      <c r="W127" s="78">
        <f t="shared" si="143"/>
        <v>63326.941211999998</v>
      </c>
      <c r="X127" s="80">
        <v>3</v>
      </c>
      <c r="Y127" s="78">
        <v>3</v>
      </c>
      <c r="Z127" s="80">
        <f t="shared" si="144"/>
        <v>0</v>
      </c>
      <c r="AA127" s="80">
        <f t="shared" si="145"/>
        <v>0</v>
      </c>
      <c r="AB127" s="80">
        <f t="shared" si="146"/>
        <v>51623.819999999992</v>
      </c>
      <c r="AC127" s="80"/>
      <c r="AD127">
        <v>0.1</v>
      </c>
      <c r="AE127" s="78">
        <f t="shared" si="147"/>
        <v>1720.7939999999999</v>
      </c>
      <c r="AF127">
        <v>0.2</v>
      </c>
      <c r="AG127" s="78">
        <f t="shared" si="148"/>
        <v>3441.5879999999997</v>
      </c>
    </row>
    <row r="128" spans="1:33" x14ac:dyDescent="0.2">
      <c r="A128" s="102" t="s">
        <v>127</v>
      </c>
      <c r="B128" s="107"/>
      <c r="C128" s="107" t="s">
        <v>48</v>
      </c>
      <c r="D128" s="109">
        <v>1</v>
      </c>
      <c r="E128" s="73">
        <v>5600</v>
      </c>
      <c r="F128" s="74">
        <f t="shared" si="170"/>
        <v>6160</v>
      </c>
      <c r="G128" s="74">
        <f>F128*1.1*1.1+0.4</f>
        <v>7454.0000000000009</v>
      </c>
      <c r="H128" s="74">
        <v>9212.35</v>
      </c>
      <c r="I128" s="74">
        <f t="shared" si="171"/>
        <v>10133.585000000001</v>
      </c>
      <c r="J128" s="74">
        <v>10741.600100000001</v>
      </c>
      <c r="K128" s="74">
        <v>14825.32</v>
      </c>
      <c r="L128" s="75" t="s">
        <v>227</v>
      </c>
      <c r="M128" s="145">
        <v>30</v>
      </c>
      <c r="N128" s="76"/>
      <c r="O128" s="78">
        <f>ROUND((K128*M128/100),2)</f>
        <v>4447.6000000000004</v>
      </c>
      <c r="P128" s="78">
        <f t="shared" si="172"/>
        <v>16900.86</v>
      </c>
      <c r="Q128" s="78">
        <f t="shared" si="164"/>
        <v>21348.460799999997</v>
      </c>
      <c r="R128" s="79">
        <f t="shared" si="154"/>
        <v>57522.2408</v>
      </c>
      <c r="S128" s="78">
        <f t="shared" si="155"/>
        <v>3706.33</v>
      </c>
      <c r="T128" s="78">
        <v>1.44</v>
      </c>
      <c r="U128" s="78">
        <f t="shared" si="156"/>
        <v>61228.570800000001</v>
      </c>
      <c r="V128" s="79">
        <f t="shared" si="142"/>
        <v>50044.349496000003</v>
      </c>
      <c r="W128" s="78">
        <f t="shared" si="143"/>
        <v>53268.856595999998</v>
      </c>
      <c r="X128" s="80">
        <v>3</v>
      </c>
      <c r="Y128" s="78"/>
      <c r="Z128" s="80">
        <v>1</v>
      </c>
      <c r="AA128" s="80">
        <f t="shared" si="145"/>
        <v>14825.32</v>
      </c>
      <c r="AB128" s="80">
        <f t="shared" si="146"/>
        <v>0</v>
      </c>
      <c r="AC128" s="80"/>
      <c r="AD128">
        <v>0.1</v>
      </c>
      <c r="AE128" s="78">
        <f t="shared" si="147"/>
        <v>1482.5320000000002</v>
      </c>
      <c r="AF128">
        <v>0.2</v>
      </c>
      <c r="AG128" s="78">
        <f t="shared" si="148"/>
        <v>2965.0640000000003</v>
      </c>
    </row>
    <row r="129" spans="1:33" x14ac:dyDescent="0.2">
      <c r="A129" s="102"/>
      <c r="B129" s="107"/>
      <c r="C129" s="107" t="s">
        <v>45</v>
      </c>
      <c r="D129" s="109">
        <v>1</v>
      </c>
      <c r="E129" s="73"/>
      <c r="F129" s="74"/>
      <c r="G129" s="74"/>
      <c r="H129" s="74">
        <v>9212.35</v>
      </c>
      <c r="I129" s="74">
        <f t="shared" si="171"/>
        <v>10133.585000000001</v>
      </c>
      <c r="J129" s="74">
        <v>10741.600100000001</v>
      </c>
      <c r="K129" s="74">
        <v>17207.939999999999</v>
      </c>
      <c r="L129" s="180" t="s">
        <v>191</v>
      </c>
      <c r="M129" s="146">
        <v>30</v>
      </c>
      <c r="N129" s="76"/>
      <c r="O129" s="78">
        <f>ROUND((K129*M129/100),2)</f>
        <v>5162.38</v>
      </c>
      <c r="P129" s="78">
        <f t="shared" si="172"/>
        <v>19617.05</v>
      </c>
      <c r="Q129" s="78">
        <f t="shared" si="164"/>
        <v>26500.227599999998</v>
      </c>
      <c r="R129" s="79">
        <f t="shared" si="154"/>
        <v>68487.597599999994</v>
      </c>
      <c r="S129" s="78">
        <f t="shared" si="155"/>
        <v>4301.99</v>
      </c>
      <c r="T129" s="78">
        <v>1.54</v>
      </c>
      <c r="U129" s="78">
        <f t="shared" si="156"/>
        <v>72789.587599999999</v>
      </c>
      <c r="V129" s="79">
        <f t="shared" si="142"/>
        <v>59584.209911999991</v>
      </c>
      <c r="W129" s="78">
        <f t="shared" si="143"/>
        <v>63326.941211999998</v>
      </c>
      <c r="X129" s="80">
        <v>3</v>
      </c>
      <c r="Y129" s="124"/>
      <c r="Z129" s="80">
        <v>1</v>
      </c>
      <c r="AA129" s="80">
        <f t="shared" si="145"/>
        <v>17207.939999999999</v>
      </c>
      <c r="AB129" s="80">
        <f t="shared" si="146"/>
        <v>0</v>
      </c>
      <c r="AC129" s="80"/>
      <c r="AD129">
        <v>0.1</v>
      </c>
      <c r="AE129" s="78">
        <f t="shared" si="147"/>
        <v>1720.7939999999999</v>
      </c>
      <c r="AF129">
        <v>0.2</v>
      </c>
      <c r="AG129" s="78">
        <f t="shared" si="148"/>
        <v>3441.5879999999997</v>
      </c>
    </row>
    <row r="130" spans="1:33" x14ac:dyDescent="0.2">
      <c r="A130" s="102"/>
      <c r="B130" s="107"/>
      <c r="C130" s="107" t="s">
        <v>48</v>
      </c>
      <c r="D130" s="143">
        <v>1</v>
      </c>
      <c r="E130" s="118"/>
      <c r="F130" s="74"/>
      <c r="G130" s="74"/>
      <c r="H130" s="74">
        <v>9212.35</v>
      </c>
      <c r="I130" s="74">
        <f t="shared" si="171"/>
        <v>10133.585000000001</v>
      </c>
      <c r="J130" s="74">
        <v>10741.600100000001</v>
      </c>
      <c r="K130" s="74">
        <v>14825.32</v>
      </c>
      <c r="L130" s="180" t="s">
        <v>219</v>
      </c>
      <c r="M130" s="145">
        <v>20</v>
      </c>
      <c r="N130" s="83"/>
      <c r="O130" s="78">
        <f t="shared" si="163"/>
        <v>2965.06</v>
      </c>
      <c r="P130" s="78">
        <f t="shared" si="172"/>
        <v>16900.86</v>
      </c>
      <c r="Q130" s="78">
        <f t="shared" si="164"/>
        <v>21348.460799999997</v>
      </c>
      <c r="R130" s="79">
        <f t="shared" si="154"/>
        <v>56039.700800000006</v>
      </c>
      <c r="S130" s="78">
        <f t="shared" si="155"/>
        <v>3706.33</v>
      </c>
      <c r="T130" s="78">
        <v>1.44</v>
      </c>
      <c r="U130" s="78">
        <f t="shared" si="156"/>
        <v>59746.030800000008</v>
      </c>
      <c r="V130" s="79">
        <f t="shared" si="142"/>
        <v>48754.539696000007</v>
      </c>
      <c r="W130" s="78">
        <f t="shared" si="143"/>
        <v>51979.04679600001</v>
      </c>
      <c r="X130" s="80">
        <v>3</v>
      </c>
      <c r="Y130" s="124"/>
      <c r="Z130" s="80">
        <v>1</v>
      </c>
      <c r="AA130" s="80">
        <f t="shared" si="145"/>
        <v>14825.32</v>
      </c>
      <c r="AB130" s="80">
        <f t="shared" si="146"/>
        <v>0</v>
      </c>
      <c r="AC130" s="80"/>
      <c r="AD130">
        <v>0.1</v>
      </c>
      <c r="AE130" s="78">
        <f t="shared" si="147"/>
        <v>1482.5320000000002</v>
      </c>
      <c r="AF130">
        <v>0.2</v>
      </c>
      <c r="AG130" s="78">
        <f t="shared" si="148"/>
        <v>2965.0640000000003</v>
      </c>
    </row>
    <row r="131" spans="1:33" x14ac:dyDescent="0.2">
      <c r="A131" s="102"/>
      <c r="B131" s="87"/>
      <c r="C131" s="87" t="s">
        <v>51</v>
      </c>
      <c r="D131" s="111">
        <f>SUM(D123:D130)</f>
        <v>8</v>
      </c>
      <c r="E131" s="95">
        <f>SUM(E123:E128)</f>
        <v>41300</v>
      </c>
      <c r="F131" s="95">
        <f>SUM(F123:F128)</f>
        <v>45430</v>
      </c>
      <c r="G131" s="95">
        <f>SUM(G123:G128)</f>
        <v>54973</v>
      </c>
      <c r="H131" s="95">
        <f>SUM(H123:H130)</f>
        <v>86365.790000000023</v>
      </c>
      <c r="I131" s="95">
        <f>SUM(I123:I130)</f>
        <v>95002.369000000021</v>
      </c>
      <c r="J131" s="95">
        <v>100702.51114</v>
      </c>
      <c r="K131" s="147">
        <f>SUM(K123:K130)</f>
        <v>141369.83000000002</v>
      </c>
      <c r="L131" s="148"/>
      <c r="M131" s="148"/>
      <c r="N131" s="148">
        <f t="shared" ref="N131" si="173">SUM(N123:N130)</f>
        <v>0</v>
      </c>
      <c r="O131" s="148">
        <f>SUM(O123:O130)</f>
        <v>39207.619999999995</v>
      </c>
      <c r="P131" s="148">
        <f t="shared" ref="P131:W131" si="174">SUM(P123:P130)</f>
        <v>163411.85999999999</v>
      </c>
      <c r="Q131" s="148">
        <f t="shared" si="174"/>
        <v>214744.4742</v>
      </c>
      <c r="R131" s="148">
        <f t="shared" si="174"/>
        <v>558733.78419999988</v>
      </c>
      <c r="S131" s="148">
        <f t="shared" si="174"/>
        <v>35342.480000000003</v>
      </c>
      <c r="T131" s="148">
        <f t="shared" si="174"/>
        <v>12.12</v>
      </c>
      <c r="U131" s="148">
        <f t="shared" si="174"/>
        <v>594076.26419999986</v>
      </c>
      <c r="V131" s="148">
        <f t="shared" si="174"/>
        <v>486098.39225399989</v>
      </c>
      <c r="W131" s="148">
        <f t="shared" si="174"/>
        <v>516846.34985399991</v>
      </c>
      <c r="X131" s="80"/>
      <c r="Y131" s="148"/>
      <c r="Z131" s="80"/>
      <c r="AA131" s="80">
        <f t="shared" si="145"/>
        <v>0</v>
      </c>
      <c r="AB131" s="80">
        <f t="shared" si="146"/>
        <v>0</v>
      </c>
      <c r="AC131" s="149"/>
      <c r="AD131">
        <v>0.1</v>
      </c>
      <c r="AE131" s="150">
        <f t="shared" si="147"/>
        <v>14136.983000000002</v>
      </c>
      <c r="AF131">
        <v>0.2</v>
      </c>
      <c r="AG131" s="150">
        <f t="shared" si="148"/>
        <v>28273.966000000004</v>
      </c>
    </row>
    <row r="132" spans="1:33" ht="33.75" customHeight="1" x14ac:dyDescent="0.2">
      <c r="A132" s="102"/>
      <c r="B132" s="151"/>
      <c r="C132" s="151" t="s">
        <v>128</v>
      </c>
      <c r="D132" s="152">
        <f>D16+D24+D51+D55+D89+D105+D117+D131+D93+D121</f>
        <v>87</v>
      </c>
      <c r="E132" s="153">
        <f t="shared" ref="E132:J132" si="175">E16+E24+E51+E55+E89+E105+E117+E131+E93+E121</f>
        <v>322200</v>
      </c>
      <c r="F132" s="153">
        <f t="shared" si="175"/>
        <v>355300</v>
      </c>
      <c r="G132" s="153">
        <f t="shared" si="175"/>
        <v>563440</v>
      </c>
      <c r="H132" s="153">
        <f t="shared" si="175"/>
        <v>765283.27000000014</v>
      </c>
      <c r="I132" s="153">
        <f t="shared" si="175"/>
        <v>841811.59700000018</v>
      </c>
      <c r="J132" s="153">
        <f t="shared" si="175"/>
        <v>921092.43886000011</v>
      </c>
      <c r="K132" s="154">
        <f>K16+K24+K51+K55+K89+K105+K117+K131+K93+K121</f>
        <v>1555465.1600000001</v>
      </c>
      <c r="L132" s="154"/>
      <c r="M132" s="154"/>
      <c r="N132" s="154">
        <f t="shared" ref="N132" si="176">N16+N24+N51+N55+N89+N105+N117+N131+N93+N121</f>
        <v>0</v>
      </c>
      <c r="O132" s="154">
        <f>O16+O24+O51+O55+O89+O105+O117+O131+O93+O121</f>
        <v>380771.88</v>
      </c>
      <c r="P132" s="154">
        <f t="shared" ref="P132:W132" si="177">P16+P24+P51+P55+P89+P105+P117+P131+P93+P121</f>
        <v>1830556.4499999997</v>
      </c>
      <c r="Q132" s="154">
        <f t="shared" si="177"/>
        <v>2363314.2735999995</v>
      </c>
      <c r="R132" s="154">
        <f t="shared" si="177"/>
        <v>6102945.7135999994</v>
      </c>
      <c r="S132" s="154">
        <f t="shared" si="177"/>
        <v>392572.88999999996</v>
      </c>
      <c r="T132" s="154">
        <f t="shared" si="177"/>
        <v>133.64000000000001</v>
      </c>
      <c r="U132" s="154">
        <f t="shared" si="177"/>
        <v>6491216.6135999998</v>
      </c>
      <c r="V132" s="154">
        <f t="shared" si="177"/>
        <v>5309562.7708319994</v>
      </c>
      <c r="W132" s="154">
        <f t="shared" si="177"/>
        <v>5647358.4538319986</v>
      </c>
      <c r="X132" s="80"/>
      <c r="Y132" s="154"/>
      <c r="Z132" s="80"/>
      <c r="AA132" s="80">
        <f t="shared" si="145"/>
        <v>0</v>
      </c>
      <c r="AB132" s="80">
        <f t="shared" si="146"/>
        <v>0</v>
      </c>
      <c r="AC132" s="155"/>
      <c r="AD132">
        <v>0.1</v>
      </c>
      <c r="AE132" s="154">
        <f>AE16+AE24+AE51+AE55+AE89+AE105+AE117+AE131+AE93+AE121</f>
        <v>172754.45600000001</v>
      </c>
      <c r="AF132" s="154"/>
      <c r="AG132" s="154">
        <f>AG16+AG24+AG51+AG55+AG89+AG105+AG117+AG131+AG93+AG121</f>
        <v>328300.97200000001</v>
      </c>
    </row>
    <row r="133" spans="1:33" x14ac:dyDescent="0.2">
      <c r="A133" s="156" t="s">
        <v>129</v>
      </c>
      <c r="B133" s="157"/>
      <c r="C133" s="157"/>
      <c r="D133" s="158"/>
      <c r="E133" s="159"/>
      <c r="F133" s="159"/>
      <c r="G133" s="159"/>
      <c r="H133" s="159"/>
      <c r="I133" s="159"/>
      <c r="J133" s="159"/>
      <c r="K133" s="74"/>
      <c r="L133" s="160"/>
      <c r="M133" s="161"/>
      <c r="N133" s="161"/>
      <c r="O133" s="159"/>
      <c r="P133" s="159"/>
      <c r="Q133" s="162"/>
      <c r="R133" s="79"/>
      <c r="S133" s="159"/>
      <c r="T133" s="159"/>
      <c r="U133" s="159"/>
      <c r="V133" s="163"/>
      <c r="W133" s="159"/>
      <c r="X133" s="80"/>
      <c r="Y133" s="159"/>
      <c r="Z133" s="80"/>
      <c r="AA133" s="80">
        <f t="shared" si="145"/>
        <v>0</v>
      </c>
      <c r="AB133" s="80">
        <f t="shared" si="146"/>
        <v>0</v>
      </c>
      <c r="AC133" s="164"/>
      <c r="AD133">
        <v>0.1</v>
      </c>
      <c r="AE133" s="159"/>
      <c r="AG133" s="159"/>
    </row>
    <row r="134" spans="1:33" x14ac:dyDescent="0.2">
      <c r="A134" s="165"/>
      <c r="B134" s="166"/>
      <c r="C134" s="166"/>
      <c r="D134" s="167"/>
      <c r="E134" s="168"/>
      <c r="F134" s="168"/>
      <c r="G134" s="168"/>
      <c r="H134" s="168"/>
      <c r="I134" s="168"/>
      <c r="J134" s="168"/>
      <c r="K134" s="74"/>
      <c r="L134" s="169"/>
      <c r="M134" s="170"/>
      <c r="N134" s="170"/>
      <c r="O134" s="168"/>
      <c r="P134" s="168"/>
      <c r="Q134" s="168"/>
      <c r="R134" s="79"/>
      <c r="S134" s="168"/>
      <c r="T134" s="168"/>
      <c r="U134" s="168"/>
      <c r="V134" s="171"/>
      <c r="W134" s="168"/>
      <c r="X134" s="80"/>
      <c r="Y134" s="168"/>
      <c r="Z134" s="80"/>
      <c r="AA134" s="80">
        <f t="shared" si="145"/>
        <v>0</v>
      </c>
      <c r="AB134" s="80">
        <f t="shared" si="146"/>
        <v>0</v>
      </c>
      <c r="AC134" s="164"/>
      <c r="AD134">
        <v>0.1</v>
      </c>
      <c r="AE134" s="168"/>
      <c r="AG134" s="168"/>
    </row>
    <row r="135" spans="1:33" ht="27" customHeight="1" x14ac:dyDescent="0.2">
      <c r="A135" s="172" t="s">
        <v>130</v>
      </c>
      <c r="B135" s="173"/>
      <c r="C135" s="173"/>
      <c r="D135" s="174"/>
      <c r="E135" s="175"/>
      <c r="F135" s="175"/>
      <c r="G135" s="175"/>
      <c r="H135" s="175"/>
      <c r="I135" s="175"/>
      <c r="J135" s="175"/>
      <c r="K135" s="90"/>
      <c r="L135" s="176"/>
      <c r="M135" s="173"/>
      <c r="N135" s="173"/>
      <c r="O135" s="173"/>
      <c r="P135" s="177"/>
      <c r="Q135" s="178"/>
      <c r="R135" s="79"/>
      <c r="S135" s="173"/>
      <c r="T135" s="177"/>
      <c r="U135" s="173"/>
      <c r="V135" s="179"/>
      <c r="W135" s="173"/>
      <c r="X135" s="80"/>
      <c r="Y135" s="173"/>
      <c r="Z135" s="80"/>
      <c r="AA135" s="80">
        <f t="shared" si="145"/>
        <v>0</v>
      </c>
      <c r="AB135" s="80">
        <f t="shared" si="146"/>
        <v>0</v>
      </c>
      <c r="AC135" s="68"/>
      <c r="AD135">
        <v>0.1</v>
      </c>
      <c r="AE135" s="173"/>
      <c r="AG135" s="173"/>
    </row>
    <row r="136" spans="1:33" ht="26.25" customHeight="1" x14ac:dyDescent="0.2">
      <c r="A136" s="71" t="s">
        <v>131</v>
      </c>
      <c r="B136" s="97"/>
      <c r="C136" s="97"/>
      <c r="D136" s="94"/>
      <c r="E136" s="95"/>
      <c r="F136" s="95"/>
      <c r="G136" s="95"/>
      <c r="H136" s="95"/>
      <c r="I136" s="95"/>
      <c r="J136" s="95"/>
      <c r="K136" s="90"/>
      <c r="L136" s="96"/>
      <c r="M136" s="97"/>
      <c r="N136" s="97"/>
      <c r="O136" s="98"/>
      <c r="P136" s="130">
        <v>1.1399999999999999</v>
      </c>
      <c r="Q136" s="66" t="s">
        <v>132</v>
      </c>
      <c r="R136" s="79"/>
      <c r="S136" s="98"/>
      <c r="T136" s="130"/>
      <c r="U136" s="98"/>
      <c r="V136" s="100"/>
      <c r="W136" s="98"/>
      <c r="X136" s="80"/>
      <c r="Y136" s="98"/>
      <c r="Z136" s="80"/>
      <c r="AA136" s="80">
        <f t="shared" si="145"/>
        <v>0</v>
      </c>
      <c r="AB136" s="80">
        <f t="shared" si="146"/>
        <v>0</v>
      </c>
      <c r="AC136" s="101"/>
      <c r="AD136">
        <v>0.1</v>
      </c>
      <c r="AE136" s="98"/>
      <c r="AG136" s="98"/>
    </row>
    <row r="137" spans="1:33" x14ac:dyDescent="0.2">
      <c r="A137" s="102"/>
      <c r="B137" s="87"/>
      <c r="C137" s="87" t="s">
        <v>133</v>
      </c>
      <c r="D137" s="72">
        <v>1</v>
      </c>
      <c r="E137" s="73">
        <v>7500</v>
      </c>
      <c r="F137" s="74">
        <f t="shared" ref="F137:F142" si="178">ROUND(E137*F$12,2)</f>
        <v>8250</v>
      </c>
      <c r="G137" s="74">
        <f>F137*1.1*1.1+0.5</f>
        <v>9983</v>
      </c>
      <c r="H137" s="74">
        <v>12337.98</v>
      </c>
      <c r="I137" s="74">
        <f t="shared" ref="I137:I142" si="179">H137*$I$12</f>
        <v>13571.778</v>
      </c>
      <c r="J137" s="74">
        <v>14386.084680000002</v>
      </c>
      <c r="K137" s="74">
        <v>19855.330000000002</v>
      </c>
      <c r="L137" s="105" t="s">
        <v>134</v>
      </c>
      <c r="M137" s="76">
        <v>30</v>
      </c>
      <c r="N137" s="76"/>
      <c r="O137" s="78">
        <f>ROUND((K137*M137/100),2)</f>
        <v>5956.6</v>
      </c>
      <c r="P137" s="78">
        <f>ROUND(K137*1.14,2)</f>
        <v>22635.08</v>
      </c>
      <c r="Q137" s="78">
        <f>K137*T137</f>
        <v>28591.675200000001</v>
      </c>
      <c r="R137" s="79">
        <f>K137+O137+P137+Q137</f>
        <v>77038.685200000007</v>
      </c>
      <c r="S137" s="78">
        <f>ROUND(K137*S$12,2)</f>
        <v>4963.83</v>
      </c>
      <c r="T137" s="78">
        <v>1.44</v>
      </c>
      <c r="U137" s="78">
        <f>K137+O137+P137+Q137+S137</f>
        <v>82002.515200000009</v>
      </c>
      <c r="V137" s="79">
        <f t="shared" si="142"/>
        <v>67023.656124000001</v>
      </c>
      <c r="W137" s="78">
        <f t="shared" si="143"/>
        <v>71342.188224000012</v>
      </c>
      <c r="X137" s="80">
        <v>3</v>
      </c>
      <c r="Y137" s="78">
        <v>2</v>
      </c>
      <c r="Z137" s="80">
        <f t="shared" si="144"/>
        <v>1</v>
      </c>
      <c r="AA137" s="80">
        <f t="shared" si="145"/>
        <v>19855.330000000002</v>
      </c>
      <c r="AB137" s="80">
        <f t="shared" si="146"/>
        <v>39710.660000000003</v>
      </c>
      <c r="AC137" s="80"/>
      <c r="AD137">
        <v>0.1</v>
      </c>
      <c r="AE137" s="78">
        <f t="shared" si="147"/>
        <v>1985.5330000000004</v>
      </c>
      <c r="AF137">
        <v>0.1</v>
      </c>
      <c r="AG137" s="78">
        <f>K137*AF137</f>
        <v>1985.5330000000004</v>
      </c>
    </row>
    <row r="138" spans="1:33" ht="21" customHeight="1" x14ac:dyDescent="0.2">
      <c r="A138" s="102"/>
      <c r="B138" s="122"/>
      <c r="C138" s="122" t="s">
        <v>90</v>
      </c>
      <c r="D138" s="72">
        <v>1</v>
      </c>
      <c r="E138" s="73">
        <v>6000</v>
      </c>
      <c r="F138" s="74">
        <f t="shared" si="178"/>
        <v>6600</v>
      </c>
      <c r="G138" s="74">
        <f>F138*1.1*1.1</f>
        <v>7986.0000000000018</v>
      </c>
      <c r="H138" s="74">
        <v>9870.3799999999992</v>
      </c>
      <c r="I138" s="74">
        <f t="shared" si="179"/>
        <v>10857.418</v>
      </c>
      <c r="J138" s="74">
        <v>11508.863080000001</v>
      </c>
      <c r="K138" s="74">
        <v>15884.26</v>
      </c>
      <c r="L138" s="180" t="s">
        <v>135</v>
      </c>
      <c r="M138" s="83">
        <v>30</v>
      </c>
      <c r="N138" s="76"/>
      <c r="O138" s="78">
        <f t="shared" ref="O138:O184" si="180">ROUND((K138*M138/100),2)</f>
        <v>4765.28</v>
      </c>
      <c r="P138" s="78">
        <f t="shared" ref="P138:P184" si="181">ROUND(K138*1.14,2)</f>
        <v>18108.060000000001</v>
      </c>
      <c r="Q138" s="78">
        <f t="shared" ref="Q138:Q184" si="182">K138*T138</f>
        <v>15725.4174</v>
      </c>
      <c r="R138" s="79">
        <f t="shared" ref="R138:R184" si="183">K138+O138+P138+Q138</f>
        <v>54483.017400000004</v>
      </c>
      <c r="S138" s="78">
        <f t="shared" ref="S138:S184" si="184">ROUND(K138*S$12,2)</f>
        <v>3971.07</v>
      </c>
      <c r="T138" s="78">
        <v>0.99</v>
      </c>
      <c r="U138" s="78">
        <f t="shared" ref="U138:U184" si="185">K138+O138+P138+Q138+S138</f>
        <v>58454.087400000004</v>
      </c>
      <c r="V138" s="79">
        <f t="shared" si="142"/>
        <v>47400.225138000002</v>
      </c>
      <c r="W138" s="78">
        <f t="shared" si="143"/>
        <v>50855.056038000002</v>
      </c>
      <c r="X138" s="80">
        <v>3</v>
      </c>
      <c r="Y138" s="78">
        <v>3</v>
      </c>
      <c r="Z138" s="80">
        <f t="shared" si="144"/>
        <v>0</v>
      </c>
      <c r="AA138" s="80">
        <f t="shared" si="145"/>
        <v>0</v>
      </c>
      <c r="AB138" s="80">
        <f t="shared" si="146"/>
        <v>47652.78</v>
      </c>
      <c r="AC138" s="80"/>
      <c r="AD138">
        <v>0.1</v>
      </c>
      <c r="AE138" s="78">
        <f t="shared" si="147"/>
        <v>1588.4260000000002</v>
      </c>
      <c r="AF138">
        <v>0.1</v>
      </c>
      <c r="AG138" s="78">
        <f t="shared" ref="AG138:AG184" si="186">K138*AF138</f>
        <v>1588.4260000000002</v>
      </c>
    </row>
    <row r="139" spans="1:33" ht="15.75" customHeight="1" x14ac:dyDescent="0.2">
      <c r="A139" s="102"/>
      <c r="B139" s="122"/>
      <c r="C139" s="107" t="s">
        <v>48</v>
      </c>
      <c r="D139" s="109">
        <v>1</v>
      </c>
      <c r="E139" s="73">
        <v>5000</v>
      </c>
      <c r="F139" s="74">
        <f t="shared" si="178"/>
        <v>5500</v>
      </c>
      <c r="G139" s="74">
        <f>F139*1.1*1.1</f>
        <v>6655.0000000000018</v>
      </c>
      <c r="H139" s="74">
        <v>8225.31</v>
      </c>
      <c r="I139" s="74">
        <f t="shared" si="179"/>
        <v>9047.8410000000003</v>
      </c>
      <c r="J139" s="74">
        <v>9590.7114600000004</v>
      </c>
      <c r="K139" s="74">
        <v>13236.87</v>
      </c>
      <c r="L139" s="75" t="s">
        <v>211</v>
      </c>
      <c r="M139" s="83">
        <v>30</v>
      </c>
      <c r="N139" s="76"/>
      <c r="O139" s="78">
        <f t="shared" si="180"/>
        <v>3971.06</v>
      </c>
      <c r="P139" s="78">
        <f t="shared" si="181"/>
        <v>15090.03</v>
      </c>
      <c r="Q139" s="78">
        <f t="shared" si="182"/>
        <v>11780.8143</v>
      </c>
      <c r="R139" s="79">
        <f t="shared" si="183"/>
        <v>44078.774299999997</v>
      </c>
      <c r="S139" s="78">
        <f t="shared" si="184"/>
        <v>3309.22</v>
      </c>
      <c r="T139" s="78">
        <v>0.89</v>
      </c>
      <c r="U139" s="78">
        <f t="shared" si="185"/>
        <v>47387.994299999998</v>
      </c>
      <c r="V139" s="79">
        <f t="shared" si="142"/>
        <v>38348.533640999995</v>
      </c>
      <c r="W139" s="78">
        <f t="shared" si="143"/>
        <v>41227.555041</v>
      </c>
      <c r="X139" s="80">
        <v>3</v>
      </c>
      <c r="Y139" s="78">
        <v>3</v>
      </c>
      <c r="Z139" s="80">
        <f t="shared" si="144"/>
        <v>0</v>
      </c>
      <c r="AA139" s="80">
        <f t="shared" si="145"/>
        <v>0</v>
      </c>
      <c r="AB139" s="80">
        <f t="shared" si="146"/>
        <v>39710.61</v>
      </c>
      <c r="AC139" s="80"/>
      <c r="AD139">
        <v>0.1</v>
      </c>
      <c r="AE139" s="78">
        <f t="shared" si="147"/>
        <v>1323.6870000000001</v>
      </c>
      <c r="AF139">
        <v>0.1</v>
      </c>
      <c r="AG139" s="78">
        <f t="shared" si="186"/>
        <v>1323.6870000000001</v>
      </c>
    </row>
    <row r="140" spans="1:33" ht="25.5" x14ac:dyDescent="0.2">
      <c r="A140" s="102"/>
      <c r="B140" s="107"/>
      <c r="C140" s="131" t="s">
        <v>136</v>
      </c>
      <c r="D140" s="109">
        <v>1</v>
      </c>
      <c r="E140" s="73">
        <v>5000</v>
      </c>
      <c r="F140" s="74">
        <f t="shared" si="178"/>
        <v>5500</v>
      </c>
      <c r="G140" s="74">
        <f>F140*1.1*1.1</f>
        <v>6655.0000000000018</v>
      </c>
      <c r="H140" s="74">
        <v>8225.31</v>
      </c>
      <c r="I140" s="74">
        <f t="shared" si="179"/>
        <v>9047.8410000000003</v>
      </c>
      <c r="J140" s="74">
        <v>9590.7114600000004</v>
      </c>
      <c r="K140" s="74">
        <v>15884.26</v>
      </c>
      <c r="L140" s="75"/>
      <c r="M140" s="83"/>
      <c r="N140" s="76"/>
      <c r="O140" s="78">
        <f t="shared" si="180"/>
        <v>0</v>
      </c>
      <c r="P140" s="78">
        <f t="shared" si="181"/>
        <v>18108.060000000001</v>
      </c>
      <c r="Q140" s="78">
        <f t="shared" si="182"/>
        <v>15725.4174</v>
      </c>
      <c r="R140" s="79">
        <f t="shared" si="183"/>
        <v>49717.737399999998</v>
      </c>
      <c r="S140" s="78">
        <f t="shared" si="184"/>
        <v>3971.07</v>
      </c>
      <c r="T140" s="78">
        <v>0.99</v>
      </c>
      <c r="U140" s="78">
        <f t="shared" si="185"/>
        <v>53688.807399999998</v>
      </c>
      <c r="V140" s="79">
        <f t="shared" si="142"/>
        <v>43254.431537999997</v>
      </c>
      <c r="W140" s="78">
        <f t="shared" si="143"/>
        <v>46709.262437999998</v>
      </c>
      <c r="X140" s="80">
        <v>3</v>
      </c>
      <c r="Y140" s="78">
        <v>3</v>
      </c>
      <c r="Z140" s="80">
        <f t="shared" si="144"/>
        <v>0</v>
      </c>
      <c r="AA140" s="80">
        <f t="shared" si="145"/>
        <v>0</v>
      </c>
      <c r="AB140" s="80">
        <f t="shared" si="146"/>
        <v>47652.78</v>
      </c>
      <c r="AC140" s="80"/>
      <c r="AD140">
        <v>0.1</v>
      </c>
      <c r="AE140" s="78">
        <f t="shared" si="147"/>
        <v>1588.4260000000002</v>
      </c>
      <c r="AF140">
        <v>0.1</v>
      </c>
      <c r="AG140" s="78">
        <f t="shared" si="186"/>
        <v>1588.4260000000002</v>
      </c>
    </row>
    <row r="141" spans="1:33" ht="30.75" customHeight="1" x14ac:dyDescent="0.2">
      <c r="A141" s="102"/>
      <c r="B141" s="107"/>
      <c r="C141" s="131" t="s">
        <v>136</v>
      </c>
      <c r="D141" s="109">
        <v>1</v>
      </c>
      <c r="E141" s="73">
        <v>5000</v>
      </c>
      <c r="F141" s="74">
        <f t="shared" si="178"/>
        <v>5500</v>
      </c>
      <c r="G141" s="74">
        <f>F141*1.1*1.1</f>
        <v>6655.0000000000018</v>
      </c>
      <c r="H141" s="74">
        <v>8225.31</v>
      </c>
      <c r="I141" s="74">
        <f t="shared" si="179"/>
        <v>9047.8410000000003</v>
      </c>
      <c r="J141" s="74">
        <v>9590.7114600000004</v>
      </c>
      <c r="K141" s="74">
        <v>15884.26</v>
      </c>
      <c r="L141" s="75" t="s">
        <v>137</v>
      </c>
      <c r="M141" s="83">
        <v>30</v>
      </c>
      <c r="N141" s="76"/>
      <c r="O141" s="78">
        <f t="shared" si="180"/>
        <v>4765.28</v>
      </c>
      <c r="P141" s="78">
        <f t="shared" si="181"/>
        <v>18108.060000000001</v>
      </c>
      <c r="Q141" s="78">
        <f t="shared" si="182"/>
        <v>15725.4174</v>
      </c>
      <c r="R141" s="79">
        <f t="shared" si="183"/>
        <v>54483.017400000004</v>
      </c>
      <c r="S141" s="78">
        <f t="shared" si="184"/>
        <v>3971.07</v>
      </c>
      <c r="T141" s="78">
        <v>0.99</v>
      </c>
      <c r="U141" s="78">
        <f t="shared" si="185"/>
        <v>58454.087400000004</v>
      </c>
      <c r="V141" s="79">
        <f t="shared" si="142"/>
        <v>47400.225138000002</v>
      </c>
      <c r="W141" s="78">
        <f t="shared" si="143"/>
        <v>50855.056038000002</v>
      </c>
      <c r="X141" s="80">
        <v>3</v>
      </c>
      <c r="Y141" s="78">
        <v>3</v>
      </c>
      <c r="Z141" s="80">
        <f t="shared" si="144"/>
        <v>0</v>
      </c>
      <c r="AA141" s="80">
        <f t="shared" si="145"/>
        <v>0</v>
      </c>
      <c r="AB141" s="80">
        <f t="shared" si="146"/>
        <v>47652.78</v>
      </c>
      <c r="AC141" s="80"/>
      <c r="AD141">
        <v>0.1</v>
      </c>
      <c r="AE141" s="78">
        <f t="shared" si="147"/>
        <v>1588.4260000000002</v>
      </c>
      <c r="AF141">
        <v>0.1</v>
      </c>
      <c r="AG141" s="78">
        <f t="shared" si="186"/>
        <v>1588.4260000000002</v>
      </c>
    </row>
    <row r="142" spans="1:33" x14ac:dyDescent="0.2">
      <c r="A142" s="102"/>
      <c r="B142" s="107"/>
      <c r="C142" s="107" t="s">
        <v>138</v>
      </c>
      <c r="D142" s="109">
        <v>1</v>
      </c>
      <c r="E142" s="73">
        <v>4500</v>
      </c>
      <c r="F142" s="74">
        <f t="shared" si="178"/>
        <v>4950</v>
      </c>
      <c r="G142" s="74">
        <f>F142*1.1*1.1+0.5</f>
        <v>5990.0000000000009</v>
      </c>
      <c r="H142" s="74">
        <v>7402.79</v>
      </c>
      <c r="I142" s="74">
        <f t="shared" si="179"/>
        <v>8143.0690000000004</v>
      </c>
      <c r="J142" s="74">
        <v>8631.6531400000003</v>
      </c>
      <c r="K142" s="74">
        <v>11913.2</v>
      </c>
      <c r="L142" s="75" t="s">
        <v>139</v>
      </c>
      <c r="M142" s="76">
        <v>0</v>
      </c>
      <c r="N142" s="76"/>
      <c r="O142" s="78">
        <f>ROUND((K142*M142/100),2)</f>
        <v>0</v>
      </c>
      <c r="P142" s="78">
        <f t="shared" si="181"/>
        <v>13581.05</v>
      </c>
      <c r="Q142" s="78">
        <f t="shared" si="182"/>
        <v>6433.1280000000006</v>
      </c>
      <c r="R142" s="79">
        <f t="shared" si="183"/>
        <v>31927.378000000001</v>
      </c>
      <c r="S142" s="78">
        <f t="shared" si="184"/>
        <v>2978.3</v>
      </c>
      <c r="T142" s="78">
        <v>0.54</v>
      </c>
      <c r="U142" s="78">
        <f t="shared" si="185"/>
        <v>34905.678</v>
      </c>
      <c r="V142" s="79">
        <f t="shared" si="142"/>
        <v>27776.818859999999</v>
      </c>
      <c r="W142" s="78">
        <f t="shared" si="143"/>
        <v>30367.939859999999</v>
      </c>
      <c r="X142" s="80">
        <v>3</v>
      </c>
      <c r="Y142" s="78"/>
      <c r="Z142" s="80">
        <f t="shared" si="144"/>
        <v>3</v>
      </c>
      <c r="AA142" s="80">
        <f t="shared" si="145"/>
        <v>35739.600000000006</v>
      </c>
      <c r="AB142" s="80">
        <f t="shared" si="146"/>
        <v>0</v>
      </c>
      <c r="AC142" s="80"/>
      <c r="AD142">
        <v>0.1</v>
      </c>
      <c r="AE142" s="78">
        <f t="shared" si="147"/>
        <v>1191.3200000000002</v>
      </c>
      <c r="AF142">
        <v>0.1</v>
      </c>
      <c r="AG142" s="78">
        <f t="shared" si="186"/>
        <v>1191.3200000000002</v>
      </c>
    </row>
    <row r="143" spans="1:33" x14ac:dyDescent="0.2">
      <c r="A143" s="107"/>
      <c r="B143" s="181"/>
      <c r="C143" s="181" t="s">
        <v>140</v>
      </c>
      <c r="D143" s="111">
        <f t="shared" ref="D143:I143" si="187">SUM(D137:D142)</f>
        <v>6</v>
      </c>
      <c r="E143" s="89">
        <f t="shared" si="187"/>
        <v>33000</v>
      </c>
      <c r="F143" s="89">
        <f t="shared" si="187"/>
        <v>36300</v>
      </c>
      <c r="G143" s="89">
        <f t="shared" si="187"/>
        <v>43924</v>
      </c>
      <c r="H143" s="89">
        <f t="shared" si="187"/>
        <v>54287.079999999994</v>
      </c>
      <c r="I143" s="89">
        <f t="shared" si="187"/>
        <v>59715.788</v>
      </c>
      <c r="J143" s="89">
        <v>53708.023820000002</v>
      </c>
      <c r="K143" s="90">
        <f>SUM(K137:K142)</f>
        <v>92658.180000000008</v>
      </c>
      <c r="L143" s="90"/>
      <c r="M143" s="90"/>
      <c r="N143" s="90">
        <f t="shared" ref="N143" si="188">SUM(N137:N142)</f>
        <v>0</v>
      </c>
      <c r="O143" s="90">
        <f>SUM(O137:O142)</f>
        <v>19458.22</v>
      </c>
      <c r="P143" s="90">
        <f t="shared" ref="P143:W143" si="189">SUM(P137:P142)</f>
        <v>105630.34</v>
      </c>
      <c r="Q143" s="90">
        <f t="shared" si="189"/>
        <v>93981.86970000001</v>
      </c>
      <c r="R143" s="90">
        <f t="shared" si="189"/>
        <v>311728.60970000003</v>
      </c>
      <c r="S143" s="90">
        <f t="shared" si="189"/>
        <v>23164.559999999998</v>
      </c>
      <c r="T143" s="90">
        <f t="shared" si="189"/>
        <v>5.84</v>
      </c>
      <c r="U143" s="90">
        <f t="shared" si="189"/>
        <v>334893.16970000003</v>
      </c>
      <c r="V143" s="90">
        <f t="shared" si="189"/>
        <v>271203.89043899998</v>
      </c>
      <c r="W143" s="90">
        <f t="shared" si="189"/>
        <v>291357.05763900006</v>
      </c>
      <c r="X143" s="80"/>
      <c r="Y143" s="90"/>
      <c r="Z143" s="80"/>
      <c r="AA143" s="80">
        <f t="shared" si="145"/>
        <v>0</v>
      </c>
      <c r="AB143" s="80">
        <f t="shared" si="146"/>
        <v>0</v>
      </c>
      <c r="AC143" s="91"/>
      <c r="AD143">
        <v>0.1</v>
      </c>
      <c r="AE143" s="90">
        <f t="shared" si="147"/>
        <v>9265.8180000000011</v>
      </c>
      <c r="AF143">
        <v>0.1</v>
      </c>
      <c r="AG143" s="90">
        <f t="shared" si="186"/>
        <v>9265.8180000000011</v>
      </c>
    </row>
    <row r="144" spans="1:33" ht="24.75" customHeight="1" x14ac:dyDescent="0.2">
      <c r="A144" s="71" t="s">
        <v>141</v>
      </c>
      <c r="B144" s="97"/>
      <c r="C144" s="97"/>
      <c r="D144" s="94"/>
      <c r="E144" s="95"/>
      <c r="F144" s="95"/>
      <c r="G144" s="95"/>
      <c r="H144" s="95"/>
      <c r="I144" s="95"/>
      <c r="J144" s="95"/>
      <c r="K144" s="90"/>
      <c r="L144" s="90"/>
      <c r="M144" s="90"/>
      <c r="N144" s="90"/>
      <c r="O144" s="90"/>
      <c r="P144" s="130">
        <v>1.1399999999999999</v>
      </c>
      <c r="Q144" s="90"/>
      <c r="R144" s="79"/>
      <c r="S144" s="90"/>
      <c r="T144" s="130"/>
      <c r="U144" s="90"/>
      <c r="V144" s="79"/>
      <c r="W144" s="90"/>
      <c r="X144" s="80"/>
      <c r="Y144" s="90"/>
      <c r="Z144" s="80"/>
      <c r="AA144" s="80">
        <f t="shared" si="145"/>
        <v>0</v>
      </c>
      <c r="AB144" s="80">
        <f t="shared" si="146"/>
        <v>0</v>
      </c>
      <c r="AC144" s="91"/>
      <c r="AD144">
        <v>0.1</v>
      </c>
      <c r="AE144" s="90"/>
      <c r="AG144" s="90"/>
    </row>
    <row r="145" spans="1:33" x14ac:dyDescent="0.2">
      <c r="A145" s="102"/>
      <c r="B145" s="87"/>
      <c r="C145" s="87" t="s">
        <v>133</v>
      </c>
      <c r="D145" s="72">
        <v>1</v>
      </c>
      <c r="E145" s="73">
        <v>6500</v>
      </c>
      <c r="F145" s="74">
        <f t="shared" ref="F145:F150" si="190">ROUND(E145*F$12,2)</f>
        <v>7150</v>
      </c>
      <c r="G145" s="74">
        <f>F145*1.1*1.1+0.5</f>
        <v>8652.0000000000018</v>
      </c>
      <c r="H145" s="74">
        <v>10692.91</v>
      </c>
      <c r="I145" s="74">
        <f t="shared" ref="I145:I150" si="191">H145*$I$12</f>
        <v>11762.201000000001</v>
      </c>
      <c r="J145" s="74">
        <v>12467.933060000001</v>
      </c>
      <c r="K145" s="74">
        <v>19855.330000000002</v>
      </c>
      <c r="L145" s="75" t="s">
        <v>142</v>
      </c>
      <c r="M145" s="76">
        <v>30</v>
      </c>
      <c r="N145" s="76"/>
      <c r="O145" s="78">
        <f t="shared" si="180"/>
        <v>5956.6</v>
      </c>
      <c r="P145" s="78">
        <f t="shared" si="181"/>
        <v>22635.08</v>
      </c>
      <c r="Q145" s="78">
        <f t="shared" si="182"/>
        <v>28591.675200000001</v>
      </c>
      <c r="R145" s="79">
        <f t="shared" si="183"/>
        <v>77038.685200000007</v>
      </c>
      <c r="S145" s="78">
        <f t="shared" si="184"/>
        <v>4963.83</v>
      </c>
      <c r="T145" s="78">
        <v>1.44</v>
      </c>
      <c r="U145" s="78">
        <f t="shared" si="185"/>
        <v>82002.515200000009</v>
      </c>
      <c r="V145" s="79">
        <f t="shared" si="142"/>
        <v>67023.656124000001</v>
      </c>
      <c r="W145" s="78">
        <f t="shared" si="143"/>
        <v>71342.188224000012</v>
      </c>
      <c r="X145" s="80">
        <v>3</v>
      </c>
      <c r="Y145" s="78">
        <v>3</v>
      </c>
      <c r="Z145" s="80">
        <f t="shared" si="144"/>
        <v>0</v>
      </c>
      <c r="AA145" s="80">
        <f t="shared" si="145"/>
        <v>0</v>
      </c>
      <c r="AB145" s="80">
        <f t="shared" si="146"/>
        <v>59565.990000000005</v>
      </c>
      <c r="AC145" s="80"/>
      <c r="AD145">
        <v>0.1</v>
      </c>
      <c r="AE145" s="78">
        <f t="shared" si="147"/>
        <v>1985.5330000000004</v>
      </c>
      <c r="AF145">
        <v>0.1</v>
      </c>
      <c r="AG145" s="78">
        <f t="shared" si="186"/>
        <v>1985.5330000000004</v>
      </c>
    </row>
    <row r="146" spans="1:33" ht="29.25" customHeight="1" x14ac:dyDescent="0.2">
      <c r="A146" s="102"/>
      <c r="B146" s="107"/>
      <c r="C146" s="131" t="s">
        <v>136</v>
      </c>
      <c r="D146" s="109">
        <v>1</v>
      </c>
      <c r="E146" s="73">
        <v>5000</v>
      </c>
      <c r="F146" s="74">
        <f t="shared" si="190"/>
        <v>5500</v>
      </c>
      <c r="G146" s="74">
        <f>F146*1.1*1.1</f>
        <v>6655.0000000000018</v>
      </c>
      <c r="H146" s="74">
        <v>8225.31</v>
      </c>
      <c r="I146" s="74">
        <f t="shared" si="191"/>
        <v>9047.8410000000003</v>
      </c>
      <c r="J146" s="74">
        <v>9590.7114600000004</v>
      </c>
      <c r="K146" s="74">
        <v>15884.26</v>
      </c>
      <c r="L146" s="75" t="s">
        <v>143</v>
      </c>
      <c r="M146" s="83">
        <v>30</v>
      </c>
      <c r="N146" s="76"/>
      <c r="O146" s="78">
        <f t="shared" si="180"/>
        <v>4765.28</v>
      </c>
      <c r="P146" s="78">
        <f t="shared" si="181"/>
        <v>18108.060000000001</v>
      </c>
      <c r="Q146" s="78">
        <f t="shared" si="182"/>
        <v>15725.4174</v>
      </c>
      <c r="R146" s="79">
        <f t="shared" si="183"/>
        <v>54483.017400000004</v>
      </c>
      <c r="S146" s="78">
        <f t="shared" si="184"/>
        <v>3971.07</v>
      </c>
      <c r="T146" s="78">
        <v>0.99</v>
      </c>
      <c r="U146" s="78">
        <f t="shared" si="185"/>
        <v>58454.087400000004</v>
      </c>
      <c r="V146" s="79">
        <f t="shared" si="142"/>
        <v>47400.225138000002</v>
      </c>
      <c r="W146" s="78">
        <f t="shared" si="143"/>
        <v>50855.056038000002</v>
      </c>
      <c r="X146" s="80">
        <v>3</v>
      </c>
      <c r="Y146" s="78">
        <v>3</v>
      </c>
      <c r="Z146" s="80">
        <f t="shared" si="144"/>
        <v>0</v>
      </c>
      <c r="AA146" s="80">
        <f t="shared" si="145"/>
        <v>0</v>
      </c>
      <c r="AB146" s="80">
        <f t="shared" si="146"/>
        <v>47652.78</v>
      </c>
      <c r="AC146" s="80"/>
      <c r="AD146">
        <v>0.1</v>
      </c>
      <c r="AE146" s="78">
        <f t="shared" si="147"/>
        <v>1588.4260000000002</v>
      </c>
      <c r="AF146">
        <v>0.1</v>
      </c>
      <c r="AG146" s="78">
        <f t="shared" si="186"/>
        <v>1588.4260000000002</v>
      </c>
    </row>
    <row r="147" spans="1:33" ht="26.25" customHeight="1" x14ac:dyDescent="0.2">
      <c r="A147" s="102"/>
      <c r="B147" s="107"/>
      <c r="C147" s="131" t="s">
        <v>136</v>
      </c>
      <c r="D147" s="109">
        <v>1</v>
      </c>
      <c r="E147" s="73">
        <v>5000</v>
      </c>
      <c r="F147" s="74">
        <f t="shared" si="190"/>
        <v>5500</v>
      </c>
      <c r="G147" s="74">
        <f>F147*1.1*1.1</f>
        <v>6655.0000000000018</v>
      </c>
      <c r="H147" s="74">
        <v>8225.31</v>
      </c>
      <c r="I147" s="74">
        <f t="shared" si="191"/>
        <v>9047.8410000000003</v>
      </c>
      <c r="J147" s="74">
        <v>9590.7114600000004</v>
      </c>
      <c r="K147" s="74">
        <v>15884.26</v>
      </c>
      <c r="L147" s="75" t="s">
        <v>144</v>
      </c>
      <c r="M147" s="83">
        <v>30</v>
      </c>
      <c r="N147" s="76"/>
      <c r="O147" s="78">
        <f t="shared" si="180"/>
        <v>4765.28</v>
      </c>
      <c r="P147" s="78">
        <f t="shared" si="181"/>
        <v>18108.060000000001</v>
      </c>
      <c r="Q147" s="78">
        <f t="shared" si="182"/>
        <v>15725.4174</v>
      </c>
      <c r="R147" s="79">
        <f t="shared" si="183"/>
        <v>54483.017400000004</v>
      </c>
      <c r="S147" s="78">
        <f t="shared" si="184"/>
        <v>3971.07</v>
      </c>
      <c r="T147" s="78">
        <v>0.99</v>
      </c>
      <c r="U147" s="78">
        <f t="shared" si="185"/>
        <v>58454.087400000004</v>
      </c>
      <c r="V147" s="79">
        <f t="shared" si="142"/>
        <v>47400.225138000002</v>
      </c>
      <c r="W147" s="78">
        <f t="shared" si="143"/>
        <v>50855.056038000002</v>
      </c>
      <c r="X147" s="80">
        <v>3</v>
      </c>
      <c r="Y147" s="78"/>
      <c r="Z147" s="80">
        <f t="shared" si="144"/>
        <v>3</v>
      </c>
      <c r="AA147" s="80">
        <f t="shared" si="145"/>
        <v>47652.78</v>
      </c>
      <c r="AB147" s="80">
        <f t="shared" si="146"/>
        <v>0</v>
      </c>
      <c r="AC147" s="80"/>
      <c r="AD147">
        <v>0.1</v>
      </c>
      <c r="AE147" s="78">
        <f t="shared" si="147"/>
        <v>1588.4260000000002</v>
      </c>
      <c r="AF147">
        <v>0.1</v>
      </c>
      <c r="AG147" s="78">
        <f t="shared" si="186"/>
        <v>1588.4260000000002</v>
      </c>
    </row>
    <row r="148" spans="1:33" ht="14.25" customHeight="1" x14ac:dyDescent="0.2">
      <c r="A148" s="102"/>
      <c r="B148" s="107"/>
      <c r="C148" s="122" t="s">
        <v>90</v>
      </c>
      <c r="D148" s="109">
        <v>1</v>
      </c>
      <c r="E148" s="73">
        <v>5000</v>
      </c>
      <c r="F148" s="74">
        <f t="shared" si="190"/>
        <v>5500</v>
      </c>
      <c r="G148" s="74">
        <f>F148*1.1*1.1</f>
        <v>6655.0000000000018</v>
      </c>
      <c r="H148" s="74">
        <v>8225.31</v>
      </c>
      <c r="I148" s="74">
        <f t="shared" si="191"/>
        <v>9047.8410000000003</v>
      </c>
      <c r="J148" s="74">
        <v>9590.7114600000004</v>
      </c>
      <c r="K148" s="74">
        <v>15884.26</v>
      </c>
      <c r="L148" s="75" t="s">
        <v>145</v>
      </c>
      <c r="M148" s="76">
        <v>30</v>
      </c>
      <c r="N148" s="76"/>
      <c r="O148" s="78">
        <f t="shared" si="180"/>
        <v>4765.28</v>
      </c>
      <c r="P148" s="78">
        <f t="shared" si="181"/>
        <v>18108.060000000001</v>
      </c>
      <c r="Q148" s="78">
        <f t="shared" si="182"/>
        <v>15725.4174</v>
      </c>
      <c r="R148" s="79">
        <f t="shared" si="183"/>
        <v>54483.017400000004</v>
      </c>
      <c r="S148" s="78">
        <f t="shared" si="184"/>
        <v>3971.07</v>
      </c>
      <c r="T148" s="78">
        <v>0.99</v>
      </c>
      <c r="U148" s="78">
        <f t="shared" si="185"/>
        <v>58454.087400000004</v>
      </c>
      <c r="V148" s="79">
        <f t="shared" si="142"/>
        <v>47400.225138000002</v>
      </c>
      <c r="W148" s="78">
        <f t="shared" si="143"/>
        <v>50855.056038000002</v>
      </c>
      <c r="X148" s="80">
        <v>3</v>
      </c>
      <c r="Y148" s="78"/>
      <c r="Z148" s="80">
        <f t="shared" si="144"/>
        <v>3</v>
      </c>
      <c r="AA148" s="80">
        <f t="shared" si="145"/>
        <v>47652.78</v>
      </c>
      <c r="AB148" s="80">
        <f t="shared" si="146"/>
        <v>0</v>
      </c>
      <c r="AC148" s="80"/>
      <c r="AD148">
        <v>0.1</v>
      </c>
      <c r="AE148" s="78">
        <f t="shared" si="147"/>
        <v>1588.4260000000002</v>
      </c>
      <c r="AF148">
        <v>0.1</v>
      </c>
      <c r="AG148" s="78">
        <f t="shared" si="186"/>
        <v>1588.4260000000002</v>
      </c>
    </row>
    <row r="149" spans="1:33" ht="14.25" customHeight="1" x14ac:dyDescent="0.2">
      <c r="A149" s="102"/>
      <c r="B149" s="107"/>
      <c r="C149" s="107" t="s">
        <v>48</v>
      </c>
      <c r="D149" s="109">
        <v>1</v>
      </c>
      <c r="E149" s="73">
        <v>5000</v>
      </c>
      <c r="F149" s="74">
        <f t="shared" si="190"/>
        <v>5500</v>
      </c>
      <c r="G149" s="74">
        <f>F149*1.1*1.1</f>
        <v>6655.0000000000018</v>
      </c>
      <c r="H149" s="74">
        <v>8225.31</v>
      </c>
      <c r="I149" s="74">
        <f t="shared" si="191"/>
        <v>9047.8410000000003</v>
      </c>
      <c r="J149" s="74">
        <v>9590.7114600000004</v>
      </c>
      <c r="K149" s="74">
        <v>13236.87</v>
      </c>
      <c r="L149" s="75" t="s">
        <v>146</v>
      </c>
      <c r="M149" s="76">
        <v>20</v>
      </c>
      <c r="N149" s="76"/>
      <c r="O149" s="78">
        <f t="shared" si="180"/>
        <v>2647.37</v>
      </c>
      <c r="P149" s="78">
        <f t="shared" si="181"/>
        <v>15090.03</v>
      </c>
      <c r="Q149" s="78">
        <f t="shared" si="182"/>
        <v>11780.8143</v>
      </c>
      <c r="R149" s="79">
        <f t="shared" si="183"/>
        <v>42755.084300000002</v>
      </c>
      <c r="S149" s="78">
        <f t="shared" si="184"/>
        <v>3309.22</v>
      </c>
      <c r="T149" s="78">
        <v>0.89</v>
      </c>
      <c r="U149" s="78">
        <f t="shared" si="185"/>
        <v>46064.304300000003</v>
      </c>
      <c r="V149" s="79">
        <f t="shared" si="142"/>
        <v>37196.923341000002</v>
      </c>
      <c r="W149" s="78">
        <f t="shared" si="143"/>
        <v>40075.944740999999</v>
      </c>
      <c r="X149" s="80">
        <v>3</v>
      </c>
      <c r="Y149" s="78">
        <v>3</v>
      </c>
      <c r="Z149" s="80">
        <f t="shared" si="144"/>
        <v>0</v>
      </c>
      <c r="AA149" s="80">
        <f t="shared" si="145"/>
        <v>0</v>
      </c>
      <c r="AB149" s="80">
        <f t="shared" si="146"/>
        <v>39710.61</v>
      </c>
      <c r="AC149" s="80"/>
      <c r="AD149">
        <v>0.1</v>
      </c>
      <c r="AE149" s="78">
        <f t="shared" si="147"/>
        <v>1323.6870000000001</v>
      </c>
      <c r="AF149">
        <v>0.1</v>
      </c>
      <c r="AG149" s="78">
        <f t="shared" si="186"/>
        <v>1323.6870000000001</v>
      </c>
    </row>
    <row r="150" spans="1:33" x14ac:dyDescent="0.2">
      <c r="A150" s="102"/>
      <c r="B150" s="107"/>
      <c r="C150" s="107" t="s">
        <v>138</v>
      </c>
      <c r="D150" s="109">
        <v>1</v>
      </c>
      <c r="E150" s="73">
        <v>4500</v>
      </c>
      <c r="F150" s="74">
        <f t="shared" si="190"/>
        <v>4950</v>
      </c>
      <c r="G150" s="74">
        <f>F150*1.1*1.1+0.5</f>
        <v>5990.0000000000009</v>
      </c>
      <c r="H150" s="74">
        <v>7402.79</v>
      </c>
      <c r="I150" s="74">
        <f t="shared" si="191"/>
        <v>8143.0690000000004</v>
      </c>
      <c r="J150" s="74">
        <v>8631.6531400000003</v>
      </c>
      <c r="K150" s="74">
        <v>11913.2</v>
      </c>
      <c r="L150" s="75" t="s">
        <v>147</v>
      </c>
      <c r="M150" s="76">
        <v>0</v>
      </c>
      <c r="N150" s="76"/>
      <c r="O150" s="78">
        <f t="shared" si="180"/>
        <v>0</v>
      </c>
      <c r="P150" s="78">
        <f t="shared" si="181"/>
        <v>13581.05</v>
      </c>
      <c r="Q150" s="78">
        <f t="shared" si="182"/>
        <v>6433.1280000000006</v>
      </c>
      <c r="R150" s="79">
        <f t="shared" si="183"/>
        <v>31927.378000000001</v>
      </c>
      <c r="S150" s="78">
        <f t="shared" si="184"/>
        <v>2978.3</v>
      </c>
      <c r="T150" s="78">
        <v>0.54</v>
      </c>
      <c r="U150" s="78">
        <f t="shared" si="185"/>
        <v>34905.678</v>
      </c>
      <c r="V150" s="79">
        <f t="shared" si="142"/>
        <v>27776.818859999999</v>
      </c>
      <c r="W150" s="78">
        <f t="shared" si="143"/>
        <v>30367.939859999999</v>
      </c>
      <c r="X150" s="80">
        <v>3</v>
      </c>
      <c r="Y150" s="78">
        <v>3</v>
      </c>
      <c r="Z150" s="80">
        <f t="shared" si="144"/>
        <v>0</v>
      </c>
      <c r="AA150" s="80">
        <f t="shared" si="145"/>
        <v>0</v>
      </c>
      <c r="AB150" s="80">
        <f t="shared" si="146"/>
        <v>35739.600000000006</v>
      </c>
      <c r="AC150" s="80"/>
      <c r="AD150">
        <v>0.1</v>
      </c>
      <c r="AE150" s="78">
        <f t="shared" si="147"/>
        <v>1191.3200000000002</v>
      </c>
      <c r="AF150">
        <v>0.1</v>
      </c>
      <c r="AG150" s="78">
        <f t="shared" si="186"/>
        <v>1191.3200000000002</v>
      </c>
    </row>
    <row r="151" spans="1:33" x14ac:dyDescent="0.2">
      <c r="A151" s="107"/>
      <c r="B151" s="181"/>
      <c r="C151" s="181" t="s">
        <v>140</v>
      </c>
      <c r="D151" s="88">
        <f t="shared" ref="D151:I151" si="192">SUM(D145:D150)</f>
        <v>6</v>
      </c>
      <c r="E151" s="95">
        <f t="shared" si="192"/>
        <v>31000</v>
      </c>
      <c r="F151" s="95">
        <f t="shared" si="192"/>
        <v>34100</v>
      </c>
      <c r="G151" s="95">
        <f t="shared" si="192"/>
        <v>41262.000000000007</v>
      </c>
      <c r="H151" s="95">
        <f t="shared" si="192"/>
        <v>50996.939999999995</v>
      </c>
      <c r="I151" s="95">
        <f t="shared" si="192"/>
        <v>56096.634000000005</v>
      </c>
      <c r="J151" s="95">
        <v>40281.00912000001</v>
      </c>
      <c r="K151" s="90">
        <f>SUM(K145:K150)</f>
        <v>92658.18</v>
      </c>
      <c r="L151" s="90"/>
      <c r="M151" s="90"/>
      <c r="N151" s="90">
        <f t="shared" ref="N151" si="193">SUM(N145:N150)</f>
        <v>0</v>
      </c>
      <c r="O151" s="90">
        <f>SUM(O145:O150)</f>
        <v>22899.809999999998</v>
      </c>
      <c r="P151" s="90">
        <f t="shared" ref="P151:W151" si="194">SUM(P145:P150)</f>
        <v>105630.34</v>
      </c>
      <c r="Q151" s="90">
        <f t="shared" si="194"/>
        <v>93981.869699999996</v>
      </c>
      <c r="R151" s="90">
        <f t="shared" si="194"/>
        <v>315170.19970000006</v>
      </c>
      <c r="S151" s="90">
        <f t="shared" si="194"/>
        <v>23164.560000000001</v>
      </c>
      <c r="T151" s="90">
        <f t="shared" si="194"/>
        <v>5.84</v>
      </c>
      <c r="U151" s="90">
        <f t="shared" si="194"/>
        <v>338334.75970000005</v>
      </c>
      <c r="V151" s="90">
        <f t="shared" si="194"/>
        <v>274198.07373900001</v>
      </c>
      <c r="W151" s="90">
        <f t="shared" si="194"/>
        <v>294351.24093900004</v>
      </c>
      <c r="X151" s="80"/>
      <c r="Y151" s="90"/>
      <c r="Z151" s="80"/>
      <c r="AA151" s="80">
        <f t="shared" si="145"/>
        <v>0</v>
      </c>
      <c r="AB151" s="80">
        <f t="shared" si="146"/>
        <v>0</v>
      </c>
      <c r="AC151" s="91"/>
      <c r="AD151">
        <v>0.1</v>
      </c>
      <c r="AE151" s="90">
        <f t="shared" si="147"/>
        <v>9265.8179999999993</v>
      </c>
      <c r="AF151">
        <v>0.1</v>
      </c>
      <c r="AG151" s="90">
        <f t="shared" si="186"/>
        <v>9265.8179999999993</v>
      </c>
    </row>
    <row r="152" spans="1:33" ht="32.25" customHeight="1" x14ac:dyDescent="0.2">
      <c r="A152" s="71" t="s">
        <v>148</v>
      </c>
      <c r="B152" s="129"/>
      <c r="C152" s="129"/>
      <c r="D152" s="92"/>
      <c r="E152" s="182"/>
      <c r="F152" s="182"/>
      <c r="G152" s="182"/>
      <c r="H152" s="182"/>
      <c r="I152" s="182"/>
      <c r="J152" s="182"/>
      <c r="K152" s="90"/>
      <c r="L152" s="90"/>
      <c r="M152" s="90"/>
      <c r="N152" s="90"/>
      <c r="O152" s="90"/>
      <c r="P152" s="130">
        <v>1.1399999999999999</v>
      </c>
      <c r="Q152" s="90"/>
      <c r="R152" s="79"/>
      <c r="S152" s="90"/>
      <c r="T152" s="130"/>
      <c r="U152" s="90"/>
      <c r="V152" s="79"/>
      <c r="W152" s="90"/>
      <c r="X152" s="80"/>
      <c r="Y152" s="90"/>
      <c r="Z152" s="80"/>
      <c r="AA152" s="80">
        <f t="shared" si="145"/>
        <v>0</v>
      </c>
      <c r="AB152" s="80">
        <f t="shared" si="146"/>
        <v>0</v>
      </c>
      <c r="AC152" s="91"/>
      <c r="AD152">
        <v>0.1</v>
      </c>
      <c r="AE152" s="90"/>
      <c r="AG152" s="90"/>
    </row>
    <row r="153" spans="1:33" x14ac:dyDescent="0.2">
      <c r="A153" s="183"/>
      <c r="B153" s="87"/>
      <c r="C153" s="87" t="s">
        <v>133</v>
      </c>
      <c r="D153" s="72">
        <v>1</v>
      </c>
      <c r="E153" s="73">
        <v>7500</v>
      </c>
      <c r="F153" s="74">
        <f t="shared" ref="F153:F159" si="195">ROUND(E153*F$12,2)</f>
        <v>8250</v>
      </c>
      <c r="G153" s="74">
        <f>F153*1.1*1.1+0.5</f>
        <v>9983</v>
      </c>
      <c r="H153" s="74">
        <v>12337.98</v>
      </c>
      <c r="I153" s="74">
        <f t="shared" ref="I153:I159" si="196">H153*$I$12</f>
        <v>13571.778</v>
      </c>
      <c r="J153" s="74">
        <v>14386.084680000002</v>
      </c>
      <c r="K153" s="74">
        <v>19855.330000000002</v>
      </c>
      <c r="L153" s="75" t="s">
        <v>149</v>
      </c>
      <c r="M153" s="69">
        <v>30</v>
      </c>
      <c r="N153" s="76"/>
      <c r="O153" s="78">
        <f t="shared" si="180"/>
        <v>5956.6</v>
      </c>
      <c r="P153" s="78">
        <f t="shared" si="181"/>
        <v>22635.08</v>
      </c>
      <c r="Q153" s="78">
        <f t="shared" si="182"/>
        <v>28591.675200000001</v>
      </c>
      <c r="R153" s="79">
        <f t="shared" si="183"/>
        <v>77038.685200000007</v>
      </c>
      <c r="S153" s="78">
        <f t="shared" si="184"/>
        <v>4963.83</v>
      </c>
      <c r="T153" s="78">
        <v>1.44</v>
      </c>
      <c r="U153" s="78">
        <f t="shared" si="185"/>
        <v>82002.515200000009</v>
      </c>
      <c r="V153" s="79">
        <f t="shared" si="142"/>
        <v>67023.656124000001</v>
      </c>
      <c r="W153" s="78">
        <f t="shared" si="143"/>
        <v>71342.188224000012</v>
      </c>
      <c r="X153" s="80">
        <v>3</v>
      </c>
      <c r="Y153" s="78">
        <v>3</v>
      </c>
      <c r="Z153" s="80">
        <f t="shared" si="144"/>
        <v>0</v>
      </c>
      <c r="AA153" s="80">
        <f t="shared" si="145"/>
        <v>0</v>
      </c>
      <c r="AB153" s="80">
        <f t="shared" si="146"/>
        <v>59565.990000000005</v>
      </c>
      <c r="AC153" s="80"/>
      <c r="AD153">
        <v>0.1</v>
      </c>
      <c r="AE153" s="78">
        <f t="shared" si="147"/>
        <v>1985.5330000000004</v>
      </c>
      <c r="AF153">
        <v>0.1</v>
      </c>
      <c r="AG153" s="78">
        <f t="shared" si="186"/>
        <v>1985.5330000000004</v>
      </c>
    </row>
    <row r="154" spans="1:33" x14ac:dyDescent="0.2">
      <c r="A154" s="102"/>
      <c r="B154" s="107"/>
      <c r="C154" s="107" t="s">
        <v>150</v>
      </c>
      <c r="D154" s="109">
        <v>1</v>
      </c>
      <c r="E154" s="73">
        <v>5000</v>
      </c>
      <c r="F154" s="74">
        <f t="shared" si="195"/>
        <v>5500</v>
      </c>
      <c r="G154" s="74">
        <f>F154*1.1*1.1</f>
        <v>6655.0000000000018</v>
      </c>
      <c r="H154" s="74">
        <v>8225.31</v>
      </c>
      <c r="I154" s="74">
        <f t="shared" si="196"/>
        <v>9047.8410000000003</v>
      </c>
      <c r="J154" s="74">
        <v>9590.7114600000004</v>
      </c>
      <c r="K154" s="74">
        <v>15884.26</v>
      </c>
      <c r="L154" s="110" t="s">
        <v>151</v>
      </c>
      <c r="M154" s="76">
        <v>20</v>
      </c>
      <c r="N154" s="76"/>
      <c r="O154" s="78">
        <f t="shared" si="180"/>
        <v>3176.85</v>
      </c>
      <c r="P154" s="78">
        <f t="shared" si="181"/>
        <v>18108.060000000001</v>
      </c>
      <c r="Q154" s="78">
        <f t="shared" si="182"/>
        <v>15725.4174</v>
      </c>
      <c r="R154" s="79">
        <f t="shared" si="183"/>
        <v>52894.587399999997</v>
      </c>
      <c r="S154" s="78">
        <f t="shared" si="184"/>
        <v>3971.07</v>
      </c>
      <c r="T154" s="78">
        <v>0.99</v>
      </c>
      <c r="U154" s="78">
        <f t="shared" si="185"/>
        <v>56865.657399999996</v>
      </c>
      <c r="V154" s="79">
        <f t="shared" si="142"/>
        <v>46018.291037999996</v>
      </c>
      <c r="W154" s="78">
        <f t="shared" si="143"/>
        <v>49473.121937999997</v>
      </c>
      <c r="X154" s="80">
        <v>3</v>
      </c>
      <c r="Y154" s="78">
        <v>3</v>
      </c>
      <c r="Z154" s="80">
        <f t="shared" si="144"/>
        <v>0</v>
      </c>
      <c r="AA154" s="80">
        <f t="shared" si="145"/>
        <v>0</v>
      </c>
      <c r="AB154" s="80">
        <f t="shared" si="146"/>
        <v>47652.78</v>
      </c>
      <c r="AC154" s="80"/>
      <c r="AD154">
        <v>0.1</v>
      </c>
      <c r="AE154" s="78">
        <f t="shared" si="147"/>
        <v>1588.4260000000002</v>
      </c>
      <c r="AF154">
        <v>0.1</v>
      </c>
      <c r="AG154" s="78">
        <f t="shared" si="186"/>
        <v>1588.4260000000002</v>
      </c>
    </row>
    <row r="155" spans="1:33" x14ac:dyDescent="0.2">
      <c r="A155" s="102"/>
      <c r="B155" s="107"/>
      <c r="C155" s="107" t="s">
        <v>48</v>
      </c>
      <c r="D155" s="109">
        <v>1</v>
      </c>
      <c r="E155" s="73">
        <v>5000</v>
      </c>
      <c r="F155" s="74">
        <f t="shared" si="195"/>
        <v>5500</v>
      </c>
      <c r="G155" s="74">
        <f>F155*1.1*1.1</f>
        <v>6655.0000000000018</v>
      </c>
      <c r="H155" s="74">
        <v>8225.31</v>
      </c>
      <c r="I155" s="74">
        <f t="shared" si="196"/>
        <v>9047.8410000000003</v>
      </c>
      <c r="J155" s="74">
        <v>9590.7114600000004</v>
      </c>
      <c r="K155" s="74">
        <v>13236.87</v>
      </c>
      <c r="L155" s="75" t="s">
        <v>152</v>
      </c>
      <c r="M155" s="83">
        <v>20</v>
      </c>
      <c r="N155" s="76"/>
      <c r="O155" s="78">
        <f t="shared" si="180"/>
        <v>2647.37</v>
      </c>
      <c r="P155" s="78">
        <f t="shared" si="181"/>
        <v>15090.03</v>
      </c>
      <c r="Q155" s="78">
        <f t="shared" si="182"/>
        <v>11780.8143</v>
      </c>
      <c r="R155" s="79">
        <f t="shared" si="183"/>
        <v>42755.084300000002</v>
      </c>
      <c r="S155" s="78">
        <f t="shared" si="184"/>
        <v>3309.22</v>
      </c>
      <c r="T155" s="78">
        <v>0.89</v>
      </c>
      <c r="U155" s="78">
        <f t="shared" si="185"/>
        <v>46064.304300000003</v>
      </c>
      <c r="V155" s="79">
        <f t="shared" ref="V155:V184" si="197">R155*0.87</f>
        <v>37196.923341000002</v>
      </c>
      <c r="W155" s="78">
        <f t="shared" ref="W155:W184" si="198">U155*0.87</f>
        <v>40075.944740999999</v>
      </c>
      <c r="X155" s="80">
        <v>3</v>
      </c>
      <c r="Y155" s="78">
        <v>3</v>
      </c>
      <c r="Z155" s="80">
        <f t="shared" si="144"/>
        <v>0</v>
      </c>
      <c r="AA155" s="80">
        <f t="shared" si="145"/>
        <v>0</v>
      </c>
      <c r="AB155" s="80">
        <f t="shared" si="146"/>
        <v>39710.61</v>
      </c>
      <c r="AC155" s="80"/>
      <c r="AD155">
        <v>0.1</v>
      </c>
      <c r="AE155" s="78">
        <f t="shared" si="147"/>
        <v>1323.6870000000001</v>
      </c>
      <c r="AF155">
        <v>0.1</v>
      </c>
      <c r="AG155" s="78">
        <f t="shared" si="186"/>
        <v>1323.6870000000001</v>
      </c>
    </row>
    <row r="156" spans="1:33" x14ac:dyDescent="0.2">
      <c r="A156" s="102"/>
      <c r="B156" s="107"/>
      <c r="C156" s="107" t="s">
        <v>48</v>
      </c>
      <c r="D156" s="109">
        <v>1</v>
      </c>
      <c r="E156" s="73">
        <v>5000</v>
      </c>
      <c r="F156" s="74">
        <f t="shared" si="195"/>
        <v>5500</v>
      </c>
      <c r="G156" s="74">
        <f>F156*1.1*1.1</f>
        <v>6655.0000000000018</v>
      </c>
      <c r="H156" s="74">
        <v>8225.31</v>
      </c>
      <c r="I156" s="74">
        <f t="shared" si="196"/>
        <v>9047.8410000000003</v>
      </c>
      <c r="J156" s="74">
        <v>9590.7114600000004</v>
      </c>
      <c r="K156" s="74">
        <v>13236.87</v>
      </c>
      <c r="L156" s="75" t="s">
        <v>153</v>
      </c>
      <c r="M156" s="83">
        <v>30</v>
      </c>
      <c r="N156" s="76"/>
      <c r="O156" s="78">
        <f t="shared" si="180"/>
        <v>3971.06</v>
      </c>
      <c r="P156" s="78">
        <f t="shared" si="181"/>
        <v>15090.03</v>
      </c>
      <c r="Q156" s="78">
        <f t="shared" si="182"/>
        <v>11780.8143</v>
      </c>
      <c r="R156" s="79">
        <f t="shared" si="183"/>
        <v>44078.774299999997</v>
      </c>
      <c r="S156" s="78">
        <f t="shared" si="184"/>
        <v>3309.22</v>
      </c>
      <c r="T156" s="78">
        <v>0.89</v>
      </c>
      <c r="U156" s="78">
        <f t="shared" si="185"/>
        <v>47387.994299999998</v>
      </c>
      <c r="V156" s="79">
        <f t="shared" si="197"/>
        <v>38348.533640999995</v>
      </c>
      <c r="W156" s="78">
        <f t="shared" si="198"/>
        <v>41227.555041</v>
      </c>
      <c r="X156" s="80">
        <v>3</v>
      </c>
      <c r="Y156" s="78"/>
      <c r="Z156" s="80">
        <f t="shared" ref="Z156:Z184" si="199">X156-Y156</f>
        <v>3</v>
      </c>
      <c r="AA156" s="80">
        <f t="shared" ref="AA156:AA184" si="200">K156*Z156</f>
        <v>39710.61</v>
      </c>
      <c r="AB156" s="80">
        <f t="shared" ref="AB156:AB184" si="201">K156*Y156</f>
        <v>0</v>
      </c>
      <c r="AC156" s="80"/>
      <c r="AD156">
        <v>0.1</v>
      </c>
      <c r="AE156" s="78">
        <f t="shared" ref="AE156:AE184" si="202">K156*AD156</f>
        <v>1323.6870000000001</v>
      </c>
      <c r="AF156">
        <v>0.1</v>
      </c>
      <c r="AG156" s="78">
        <f t="shared" si="186"/>
        <v>1323.6870000000001</v>
      </c>
    </row>
    <row r="157" spans="1:33" x14ac:dyDescent="0.2">
      <c r="A157" s="102"/>
      <c r="B157" s="107"/>
      <c r="C157" s="107" t="s">
        <v>150</v>
      </c>
      <c r="D157" s="109">
        <v>1</v>
      </c>
      <c r="E157" s="73">
        <v>5000</v>
      </c>
      <c r="F157" s="74">
        <f t="shared" si="195"/>
        <v>5500</v>
      </c>
      <c r="G157" s="74">
        <f>F157*1.1*1.1</f>
        <v>6655.0000000000018</v>
      </c>
      <c r="H157" s="74">
        <v>8225.31</v>
      </c>
      <c r="I157" s="74">
        <f t="shared" si="196"/>
        <v>9047.8410000000003</v>
      </c>
      <c r="J157" s="74">
        <v>9590.7114600000004</v>
      </c>
      <c r="K157" s="74">
        <v>15884.26</v>
      </c>
      <c r="L157" s="75" t="s">
        <v>154</v>
      </c>
      <c r="M157" s="83">
        <v>30</v>
      </c>
      <c r="N157" s="76"/>
      <c r="O157" s="78">
        <f t="shared" si="180"/>
        <v>4765.28</v>
      </c>
      <c r="P157" s="78">
        <f t="shared" si="181"/>
        <v>18108.060000000001</v>
      </c>
      <c r="Q157" s="78">
        <f t="shared" si="182"/>
        <v>15725.4174</v>
      </c>
      <c r="R157" s="79">
        <f t="shared" si="183"/>
        <v>54483.017400000004</v>
      </c>
      <c r="S157" s="78">
        <f t="shared" si="184"/>
        <v>3971.07</v>
      </c>
      <c r="T157" s="78">
        <v>0.99</v>
      </c>
      <c r="U157" s="78">
        <f t="shared" si="185"/>
        <v>58454.087400000004</v>
      </c>
      <c r="V157" s="79">
        <f t="shared" si="197"/>
        <v>47400.225138000002</v>
      </c>
      <c r="W157" s="78">
        <f t="shared" si="198"/>
        <v>50855.056038000002</v>
      </c>
      <c r="X157" s="80">
        <v>3</v>
      </c>
      <c r="Y157" s="78">
        <v>3</v>
      </c>
      <c r="Z157" s="80">
        <f t="shared" si="199"/>
        <v>0</v>
      </c>
      <c r="AA157" s="80">
        <f t="shared" si="200"/>
        <v>0</v>
      </c>
      <c r="AB157" s="80">
        <f t="shared" si="201"/>
        <v>47652.78</v>
      </c>
      <c r="AC157" s="80"/>
      <c r="AD157">
        <v>0.1</v>
      </c>
      <c r="AE157" s="78">
        <f t="shared" si="202"/>
        <v>1588.4260000000002</v>
      </c>
      <c r="AF157">
        <v>0.1</v>
      </c>
      <c r="AG157" s="78">
        <f t="shared" si="186"/>
        <v>1588.4260000000002</v>
      </c>
    </row>
    <row r="158" spans="1:33" x14ac:dyDescent="0.2">
      <c r="A158" s="102"/>
      <c r="B158" s="107"/>
      <c r="C158" s="107" t="s">
        <v>150</v>
      </c>
      <c r="D158" s="109">
        <v>0</v>
      </c>
      <c r="E158" s="73">
        <v>5000</v>
      </c>
      <c r="F158" s="74">
        <f t="shared" si="195"/>
        <v>5500</v>
      </c>
      <c r="G158" s="74">
        <f>F158*1.1*1.1</f>
        <v>6655.0000000000018</v>
      </c>
      <c r="H158" s="74">
        <v>8225.31</v>
      </c>
      <c r="I158" s="74">
        <f t="shared" si="196"/>
        <v>9047.8410000000003</v>
      </c>
      <c r="J158" s="74">
        <v>9590.7114600000004</v>
      </c>
      <c r="K158" s="74">
        <v>0</v>
      </c>
      <c r="L158" s="75"/>
      <c r="M158" s="83">
        <v>0</v>
      </c>
      <c r="N158" s="76"/>
      <c r="O158" s="78">
        <f t="shared" si="180"/>
        <v>0</v>
      </c>
      <c r="P158" s="78">
        <f t="shared" si="181"/>
        <v>0</v>
      </c>
      <c r="Q158" s="78">
        <f t="shared" si="182"/>
        <v>0</v>
      </c>
      <c r="R158" s="79">
        <f t="shared" si="183"/>
        <v>0</v>
      </c>
      <c r="S158" s="78">
        <f t="shared" si="184"/>
        <v>0</v>
      </c>
      <c r="T158" s="78">
        <v>0.99</v>
      </c>
      <c r="U158" s="78">
        <f t="shared" si="185"/>
        <v>0</v>
      </c>
      <c r="V158" s="79">
        <f t="shared" si="197"/>
        <v>0</v>
      </c>
      <c r="W158" s="78">
        <f t="shared" si="198"/>
        <v>0</v>
      </c>
      <c r="X158" s="80">
        <v>3</v>
      </c>
      <c r="Y158" s="78">
        <v>3</v>
      </c>
      <c r="Z158" s="80">
        <f t="shared" si="199"/>
        <v>0</v>
      </c>
      <c r="AA158" s="80">
        <f t="shared" si="200"/>
        <v>0</v>
      </c>
      <c r="AB158" s="80">
        <f t="shared" si="201"/>
        <v>0</v>
      </c>
      <c r="AC158" s="80"/>
      <c r="AD158">
        <v>0.1</v>
      </c>
      <c r="AE158" s="78">
        <f t="shared" si="202"/>
        <v>0</v>
      </c>
      <c r="AF158">
        <v>0.1</v>
      </c>
      <c r="AG158" s="78">
        <f t="shared" si="186"/>
        <v>0</v>
      </c>
    </row>
    <row r="159" spans="1:33" x14ac:dyDescent="0.2">
      <c r="A159" s="102"/>
      <c r="B159" s="107"/>
      <c r="C159" s="107" t="s">
        <v>138</v>
      </c>
      <c r="D159" s="109">
        <v>1</v>
      </c>
      <c r="E159" s="73">
        <v>4500</v>
      </c>
      <c r="F159" s="74">
        <f t="shared" si="195"/>
        <v>4950</v>
      </c>
      <c r="G159" s="74">
        <f>F159*1.1*1.1+0.5</f>
        <v>5990.0000000000009</v>
      </c>
      <c r="H159" s="74">
        <v>7402.79</v>
      </c>
      <c r="I159" s="74">
        <f t="shared" si="196"/>
        <v>8143.0690000000004</v>
      </c>
      <c r="J159" s="74">
        <v>8631.6531400000003</v>
      </c>
      <c r="K159" s="74">
        <v>11913.2</v>
      </c>
      <c r="L159" s="75" t="s">
        <v>155</v>
      </c>
      <c r="M159" s="76">
        <v>0</v>
      </c>
      <c r="N159" s="76"/>
      <c r="O159" s="78">
        <f t="shared" si="180"/>
        <v>0</v>
      </c>
      <c r="P159" s="78">
        <f t="shared" si="181"/>
        <v>13581.05</v>
      </c>
      <c r="Q159" s="78">
        <f t="shared" si="182"/>
        <v>6433.1280000000006</v>
      </c>
      <c r="R159" s="79">
        <f t="shared" si="183"/>
        <v>31927.378000000001</v>
      </c>
      <c r="S159" s="78">
        <f t="shared" si="184"/>
        <v>2978.3</v>
      </c>
      <c r="T159" s="78">
        <v>0.54</v>
      </c>
      <c r="U159" s="78">
        <f t="shared" si="185"/>
        <v>34905.678</v>
      </c>
      <c r="V159" s="79">
        <f t="shared" si="197"/>
        <v>27776.818859999999</v>
      </c>
      <c r="W159" s="78">
        <f t="shared" si="198"/>
        <v>30367.939859999999</v>
      </c>
      <c r="X159" s="80">
        <v>3</v>
      </c>
      <c r="Y159" s="78">
        <v>3</v>
      </c>
      <c r="Z159" s="80">
        <f t="shared" si="199"/>
        <v>0</v>
      </c>
      <c r="AA159" s="80">
        <f t="shared" si="200"/>
        <v>0</v>
      </c>
      <c r="AB159" s="80">
        <f t="shared" si="201"/>
        <v>35739.600000000006</v>
      </c>
      <c r="AC159" s="80"/>
      <c r="AD159">
        <v>0.1</v>
      </c>
      <c r="AE159" s="78">
        <f t="shared" si="202"/>
        <v>1191.3200000000002</v>
      </c>
      <c r="AF159">
        <v>0.1</v>
      </c>
      <c r="AG159" s="78">
        <f t="shared" si="186"/>
        <v>1191.3200000000002</v>
      </c>
    </row>
    <row r="160" spans="1:33" x14ac:dyDescent="0.2">
      <c r="A160" s="107"/>
      <c r="B160" s="181"/>
      <c r="C160" s="181" t="s">
        <v>140</v>
      </c>
      <c r="D160" s="111">
        <f t="shared" ref="D160:I160" si="203">SUM(D153:D159)</f>
        <v>6</v>
      </c>
      <c r="E160" s="89">
        <f t="shared" si="203"/>
        <v>37000</v>
      </c>
      <c r="F160" s="89">
        <f t="shared" si="203"/>
        <v>40700</v>
      </c>
      <c r="G160" s="89">
        <f t="shared" si="203"/>
        <v>49248</v>
      </c>
      <c r="H160" s="89">
        <f t="shared" si="203"/>
        <v>60867.319999999992</v>
      </c>
      <c r="I160" s="89">
        <f t="shared" si="203"/>
        <v>66954.051999999996</v>
      </c>
      <c r="J160" s="89">
        <v>42199.160740000007</v>
      </c>
      <c r="K160" s="90">
        <f>SUM(K153:K159)</f>
        <v>90010.790000000008</v>
      </c>
      <c r="L160" s="90"/>
      <c r="M160" s="90"/>
      <c r="N160" s="90">
        <f t="shared" ref="N160" si="204">SUM(N153:N159)</f>
        <v>0</v>
      </c>
      <c r="O160" s="90">
        <f>SUM(O153:O159)</f>
        <v>20517.16</v>
      </c>
      <c r="P160" s="90">
        <f t="shared" ref="P160:W160" si="205">SUM(P153:P159)</f>
        <v>102612.31</v>
      </c>
      <c r="Q160" s="90">
        <f t="shared" si="205"/>
        <v>90037.266600000003</v>
      </c>
      <c r="R160" s="90">
        <f t="shared" si="205"/>
        <v>303177.52660000004</v>
      </c>
      <c r="S160" s="90">
        <f t="shared" si="205"/>
        <v>22502.71</v>
      </c>
      <c r="T160" s="90">
        <f t="shared" si="205"/>
        <v>6.73</v>
      </c>
      <c r="U160" s="90">
        <f t="shared" si="205"/>
        <v>325680.2366</v>
      </c>
      <c r="V160" s="90">
        <f t="shared" si="205"/>
        <v>263764.44814200001</v>
      </c>
      <c r="W160" s="90">
        <f t="shared" si="205"/>
        <v>283341.80584200006</v>
      </c>
      <c r="X160" s="80"/>
      <c r="Y160" s="90"/>
      <c r="Z160" s="80"/>
      <c r="AA160" s="80">
        <f t="shared" si="200"/>
        <v>0</v>
      </c>
      <c r="AB160" s="80">
        <f t="shared" si="201"/>
        <v>0</v>
      </c>
      <c r="AC160" s="91"/>
      <c r="AD160">
        <v>0.1</v>
      </c>
      <c r="AE160" s="90">
        <f t="shared" si="202"/>
        <v>9001.0790000000015</v>
      </c>
      <c r="AF160">
        <v>0.1</v>
      </c>
      <c r="AG160" s="90">
        <f t="shared" si="186"/>
        <v>9001.0790000000015</v>
      </c>
    </row>
    <row r="161" spans="1:33" ht="30" customHeight="1" x14ac:dyDescent="0.2">
      <c r="A161" s="71" t="s">
        <v>156</v>
      </c>
      <c r="B161" s="97"/>
      <c r="C161" s="97"/>
      <c r="D161" s="94"/>
      <c r="E161" s="95"/>
      <c r="F161" s="95"/>
      <c r="G161" s="95"/>
      <c r="H161" s="95"/>
      <c r="I161" s="95"/>
      <c r="J161" s="95"/>
      <c r="K161" s="90"/>
      <c r="L161" s="90"/>
      <c r="M161" s="90"/>
      <c r="N161" s="90"/>
      <c r="O161" s="90"/>
      <c r="P161" s="130">
        <v>1.1399999999999999</v>
      </c>
      <c r="Q161" s="90"/>
      <c r="R161" s="79"/>
      <c r="S161" s="90"/>
      <c r="T161" s="130"/>
      <c r="U161" s="90"/>
      <c r="V161" s="79"/>
      <c r="W161" s="90"/>
      <c r="X161" s="80"/>
      <c r="Y161" s="90"/>
      <c r="Z161" s="80"/>
      <c r="AA161" s="80">
        <f t="shared" si="200"/>
        <v>0</v>
      </c>
      <c r="AB161" s="80">
        <f t="shared" si="201"/>
        <v>0</v>
      </c>
      <c r="AC161" s="91"/>
      <c r="AD161">
        <v>0.1</v>
      </c>
      <c r="AE161" s="90"/>
      <c r="AG161" s="90"/>
    </row>
    <row r="162" spans="1:33" x14ac:dyDescent="0.2">
      <c r="A162" s="133"/>
      <c r="B162" s="87"/>
      <c r="C162" s="87" t="s">
        <v>133</v>
      </c>
      <c r="D162" s="72">
        <v>1</v>
      </c>
      <c r="E162" s="73">
        <v>7500</v>
      </c>
      <c r="F162" s="74">
        <f t="shared" ref="F162:F168" si="206">ROUND(E162*F$12,2)</f>
        <v>8250</v>
      </c>
      <c r="G162" s="74">
        <f>F162*1.1*1.1+0.5</f>
        <v>9983</v>
      </c>
      <c r="H162" s="74">
        <v>12337.98</v>
      </c>
      <c r="I162" s="74">
        <f t="shared" ref="I162:I168" si="207">H162*$I$12</f>
        <v>13571.778</v>
      </c>
      <c r="J162" s="74">
        <v>14386.084680000002</v>
      </c>
      <c r="K162" s="74">
        <v>19855.330000000002</v>
      </c>
      <c r="L162" s="75" t="s">
        <v>157</v>
      </c>
      <c r="M162" s="69">
        <v>30</v>
      </c>
      <c r="N162" s="69"/>
      <c r="O162" s="78">
        <f t="shared" si="180"/>
        <v>5956.6</v>
      </c>
      <c r="P162" s="78">
        <f t="shared" si="181"/>
        <v>22635.08</v>
      </c>
      <c r="Q162" s="78">
        <f t="shared" si="182"/>
        <v>28591.675200000001</v>
      </c>
      <c r="R162" s="79">
        <f t="shared" si="183"/>
        <v>77038.685200000007</v>
      </c>
      <c r="S162" s="78">
        <f t="shared" si="184"/>
        <v>4963.83</v>
      </c>
      <c r="T162" s="78">
        <v>1.44</v>
      </c>
      <c r="U162" s="78">
        <f t="shared" si="185"/>
        <v>82002.515200000009</v>
      </c>
      <c r="V162" s="79">
        <f t="shared" si="197"/>
        <v>67023.656124000001</v>
      </c>
      <c r="W162" s="78">
        <f t="shared" si="198"/>
        <v>71342.188224000012</v>
      </c>
      <c r="X162" s="80">
        <v>3</v>
      </c>
      <c r="Y162" s="78">
        <v>2</v>
      </c>
      <c r="Z162" s="80">
        <f t="shared" si="199"/>
        <v>1</v>
      </c>
      <c r="AA162" s="80">
        <f t="shared" si="200"/>
        <v>19855.330000000002</v>
      </c>
      <c r="AB162" s="80">
        <f t="shared" si="201"/>
        <v>39710.660000000003</v>
      </c>
      <c r="AC162" s="80"/>
      <c r="AD162">
        <v>0.1</v>
      </c>
      <c r="AE162" s="78">
        <f t="shared" si="202"/>
        <v>1985.5330000000004</v>
      </c>
      <c r="AF162">
        <v>0.1</v>
      </c>
      <c r="AG162" s="78">
        <f t="shared" si="186"/>
        <v>1985.5330000000004</v>
      </c>
    </row>
    <row r="163" spans="1:33" ht="16.5" customHeight="1" x14ac:dyDescent="0.2">
      <c r="A163" s="102"/>
      <c r="B163" s="122"/>
      <c r="C163" s="122" t="s">
        <v>90</v>
      </c>
      <c r="D163" s="72">
        <v>1</v>
      </c>
      <c r="E163" s="73">
        <v>6000</v>
      </c>
      <c r="F163" s="74">
        <f t="shared" si="206"/>
        <v>6600</v>
      </c>
      <c r="G163" s="74">
        <f>F163*1.1*1.1</f>
        <v>7986.0000000000018</v>
      </c>
      <c r="H163" s="74">
        <v>9870.3799999999992</v>
      </c>
      <c r="I163" s="74">
        <f t="shared" si="207"/>
        <v>10857.418</v>
      </c>
      <c r="J163" s="74">
        <v>11508.863080000001</v>
      </c>
      <c r="K163" s="74">
        <v>15884.26</v>
      </c>
      <c r="L163" s="75" t="s">
        <v>158</v>
      </c>
      <c r="M163" s="69">
        <v>30</v>
      </c>
      <c r="N163" s="76"/>
      <c r="O163" s="78">
        <f t="shared" si="180"/>
        <v>4765.28</v>
      </c>
      <c r="P163" s="78">
        <f t="shared" si="181"/>
        <v>18108.060000000001</v>
      </c>
      <c r="Q163" s="78">
        <f t="shared" si="182"/>
        <v>15725.4174</v>
      </c>
      <c r="R163" s="79">
        <f t="shared" si="183"/>
        <v>54483.017400000004</v>
      </c>
      <c r="S163" s="78">
        <f t="shared" si="184"/>
        <v>3971.07</v>
      </c>
      <c r="T163" s="78">
        <v>0.99</v>
      </c>
      <c r="U163" s="78">
        <f t="shared" si="185"/>
        <v>58454.087400000004</v>
      </c>
      <c r="V163" s="79">
        <f t="shared" si="197"/>
        <v>47400.225138000002</v>
      </c>
      <c r="W163" s="78">
        <f t="shared" si="198"/>
        <v>50855.056038000002</v>
      </c>
      <c r="X163" s="80">
        <v>3</v>
      </c>
      <c r="Y163" s="78">
        <v>3</v>
      </c>
      <c r="Z163" s="80">
        <f t="shared" si="199"/>
        <v>0</v>
      </c>
      <c r="AA163" s="80">
        <f t="shared" si="200"/>
        <v>0</v>
      </c>
      <c r="AB163" s="80">
        <f t="shared" si="201"/>
        <v>47652.78</v>
      </c>
      <c r="AC163" s="80"/>
      <c r="AD163">
        <v>0.1</v>
      </c>
      <c r="AE163" s="78">
        <f t="shared" si="202"/>
        <v>1588.4260000000002</v>
      </c>
      <c r="AF163">
        <v>0.1</v>
      </c>
      <c r="AG163" s="78">
        <f t="shared" si="186"/>
        <v>1588.4260000000002</v>
      </c>
    </row>
    <row r="164" spans="1:33" x14ac:dyDescent="0.2">
      <c r="A164" s="102"/>
      <c r="B164" s="107"/>
      <c r="C164" s="107" t="s">
        <v>48</v>
      </c>
      <c r="D164" s="109">
        <v>1</v>
      </c>
      <c r="E164" s="73">
        <v>5000</v>
      </c>
      <c r="F164" s="74">
        <f t="shared" si="206"/>
        <v>5500</v>
      </c>
      <c r="G164" s="74">
        <f>F164*1.1*1.1</f>
        <v>6655.0000000000018</v>
      </c>
      <c r="H164" s="74">
        <v>8225.31</v>
      </c>
      <c r="I164" s="74">
        <f t="shared" si="207"/>
        <v>9047.8410000000003</v>
      </c>
      <c r="J164" s="74">
        <v>9590.7114600000004</v>
      </c>
      <c r="K164" s="74">
        <v>13236.87</v>
      </c>
      <c r="L164" s="75" t="s">
        <v>159</v>
      </c>
      <c r="M164" s="83">
        <v>30</v>
      </c>
      <c r="N164" s="75"/>
      <c r="O164" s="78">
        <f t="shared" si="180"/>
        <v>3971.06</v>
      </c>
      <c r="P164" s="78">
        <f t="shared" si="181"/>
        <v>15090.03</v>
      </c>
      <c r="Q164" s="78">
        <f t="shared" si="182"/>
        <v>11780.8143</v>
      </c>
      <c r="R164" s="79">
        <f t="shared" si="183"/>
        <v>44078.774299999997</v>
      </c>
      <c r="S164" s="78">
        <f t="shared" si="184"/>
        <v>3309.22</v>
      </c>
      <c r="T164" s="78">
        <v>0.89</v>
      </c>
      <c r="U164" s="78">
        <f t="shared" si="185"/>
        <v>47387.994299999998</v>
      </c>
      <c r="V164" s="79">
        <f t="shared" si="197"/>
        <v>38348.533640999995</v>
      </c>
      <c r="W164" s="78">
        <f t="shared" si="198"/>
        <v>41227.555041</v>
      </c>
      <c r="X164" s="80">
        <v>3</v>
      </c>
      <c r="Y164" s="78">
        <v>3</v>
      </c>
      <c r="Z164" s="80">
        <f t="shared" si="199"/>
        <v>0</v>
      </c>
      <c r="AA164" s="80">
        <f t="shared" si="200"/>
        <v>0</v>
      </c>
      <c r="AB164" s="80">
        <f t="shared" si="201"/>
        <v>39710.61</v>
      </c>
      <c r="AC164" s="80"/>
      <c r="AD164">
        <v>0.1</v>
      </c>
      <c r="AE164" s="78">
        <f t="shared" si="202"/>
        <v>1323.6870000000001</v>
      </c>
      <c r="AF164">
        <v>0.1</v>
      </c>
      <c r="AG164" s="78">
        <f t="shared" si="186"/>
        <v>1323.6870000000001</v>
      </c>
    </row>
    <row r="165" spans="1:33" x14ac:dyDescent="0.2">
      <c r="A165" s="102"/>
      <c r="B165" s="107"/>
      <c r="C165" s="107" t="s">
        <v>48</v>
      </c>
      <c r="D165" s="109">
        <v>1</v>
      </c>
      <c r="E165" s="73">
        <v>5000</v>
      </c>
      <c r="F165" s="74">
        <f>ROUND(E165*F$12,2)</f>
        <v>5500</v>
      </c>
      <c r="G165" s="74">
        <f>F165*1.1*1.1</f>
        <v>6655.0000000000018</v>
      </c>
      <c r="H165" s="74">
        <v>8225.31</v>
      </c>
      <c r="I165" s="74">
        <f>H165*$I$12</f>
        <v>9047.8410000000003</v>
      </c>
      <c r="J165" s="74">
        <v>9590.7114600000004</v>
      </c>
      <c r="K165" s="74">
        <v>13236.87</v>
      </c>
      <c r="L165" s="75" t="s">
        <v>160</v>
      </c>
      <c r="M165" s="83">
        <v>20</v>
      </c>
      <c r="N165" s="75"/>
      <c r="O165" s="78">
        <f t="shared" si="180"/>
        <v>2647.37</v>
      </c>
      <c r="P165" s="78">
        <f t="shared" si="181"/>
        <v>15090.03</v>
      </c>
      <c r="Q165" s="78">
        <f t="shared" si="182"/>
        <v>11780.8143</v>
      </c>
      <c r="R165" s="79">
        <f t="shared" si="183"/>
        <v>42755.084300000002</v>
      </c>
      <c r="S165" s="78">
        <f t="shared" si="184"/>
        <v>3309.22</v>
      </c>
      <c r="T165" s="78">
        <v>0.89</v>
      </c>
      <c r="U165" s="78">
        <f t="shared" si="185"/>
        <v>46064.304300000003</v>
      </c>
      <c r="V165" s="79">
        <f t="shared" si="197"/>
        <v>37196.923341000002</v>
      </c>
      <c r="W165" s="78">
        <f t="shared" si="198"/>
        <v>40075.944740999999</v>
      </c>
      <c r="X165" s="80">
        <v>3</v>
      </c>
      <c r="Y165" s="78"/>
      <c r="Z165" s="80">
        <f t="shared" si="199"/>
        <v>3</v>
      </c>
      <c r="AA165" s="80">
        <f t="shared" si="200"/>
        <v>39710.61</v>
      </c>
      <c r="AB165" s="80">
        <f t="shared" si="201"/>
        <v>0</v>
      </c>
      <c r="AC165" s="80"/>
      <c r="AD165">
        <v>0.1</v>
      </c>
      <c r="AE165" s="78">
        <f t="shared" si="202"/>
        <v>1323.6870000000001</v>
      </c>
      <c r="AF165">
        <v>0.1</v>
      </c>
      <c r="AG165" s="78">
        <f t="shared" si="186"/>
        <v>1323.6870000000001</v>
      </c>
    </row>
    <row r="166" spans="1:33" x14ac:dyDescent="0.2">
      <c r="A166" s="102"/>
      <c r="B166" s="107"/>
      <c r="C166" s="122" t="s">
        <v>90</v>
      </c>
      <c r="D166" s="109">
        <v>1</v>
      </c>
      <c r="E166" s="73">
        <v>5000</v>
      </c>
      <c r="F166" s="74">
        <f>ROUND(E166*F$12,2)</f>
        <v>5500</v>
      </c>
      <c r="G166" s="74">
        <f>F166*1.1*1.1</f>
        <v>6655.0000000000018</v>
      </c>
      <c r="H166" s="74">
        <v>8225.31</v>
      </c>
      <c r="I166" s="74">
        <f>H166*$I$12</f>
        <v>9047.8410000000003</v>
      </c>
      <c r="J166" s="74">
        <v>9590.7114600000004</v>
      </c>
      <c r="K166" s="74">
        <v>15884.26</v>
      </c>
      <c r="L166" s="75" t="s">
        <v>161</v>
      </c>
      <c r="M166" s="83">
        <v>30</v>
      </c>
      <c r="N166" s="76"/>
      <c r="O166" s="78">
        <f t="shared" si="180"/>
        <v>4765.28</v>
      </c>
      <c r="P166" s="78">
        <f t="shared" si="181"/>
        <v>18108.060000000001</v>
      </c>
      <c r="Q166" s="78">
        <f t="shared" si="182"/>
        <v>15725.4174</v>
      </c>
      <c r="R166" s="79">
        <f t="shared" si="183"/>
        <v>54483.017400000004</v>
      </c>
      <c r="S166" s="78">
        <f t="shared" si="184"/>
        <v>3971.07</v>
      </c>
      <c r="T166" s="78">
        <v>0.99</v>
      </c>
      <c r="U166" s="78">
        <f t="shared" si="185"/>
        <v>58454.087400000004</v>
      </c>
      <c r="V166" s="79">
        <f t="shared" si="197"/>
        <v>47400.225138000002</v>
      </c>
      <c r="W166" s="78">
        <f t="shared" si="198"/>
        <v>50855.056038000002</v>
      </c>
      <c r="X166" s="80">
        <v>3</v>
      </c>
      <c r="Y166" s="78">
        <v>3</v>
      </c>
      <c r="Z166" s="80">
        <f t="shared" si="199"/>
        <v>0</v>
      </c>
      <c r="AA166" s="80">
        <f t="shared" si="200"/>
        <v>0</v>
      </c>
      <c r="AB166" s="80">
        <f t="shared" si="201"/>
        <v>47652.78</v>
      </c>
      <c r="AC166" s="80"/>
      <c r="AD166">
        <v>0.1</v>
      </c>
      <c r="AE166" s="78">
        <f t="shared" si="202"/>
        <v>1588.4260000000002</v>
      </c>
      <c r="AF166">
        <v>0.1</v>
      </c>
      <c r="AG166" s="78">
        <f t="shared" si="186"/>
        <v>1588.4260000000002</v>
      </c>
    </row>
    <row r="167" spans="1:33" ht="23.25" customHeight="1" x14ac:dyDescent="0.2">
      <c r="A167" s="102"/>
      <c r="B167" s="107"/>
      <c r="C167" s="131" t="s">
        <v>136</v>
      </c>
      <c r="D167" s="109">
        <v>1</v>
      </c>
      <c r="E167" s="73">
        <v>4500</v>
      </c>
      <c r="F167" s="74">
        <f t="shared" si="206"/>
        <v>4950</v>
      </c>
      <c r="G167" s="74">
        <f>F167*1.1*1.1+0.5</f>
        <v>5990.0000000000009</v>
      </c>
      <c r="H167" s="74">
        <v>8225.31</v>
      </c>
      <c r="I167" s="74">
        <f t="shared" si="207"/>
        <v>9047.8410000000003</v>
      </c>
      <c r="J167" s="74">
        <v>9590.7114600000004</v>
      </c>
      <c r="K167" s="74">
        <v>15884.26</v>
      </c>
      <c r="L167" s="75" t="s">
        <v>162</v>
      </c>
      <c r="M167" s="83">
        <v>30</v>
      </c>
      <c r="N167" s="76"/>
      <c r="O167" s="78">
        <f t="shared" si="180"/>
        <v>4765.28</v>
      </c>
      <c r="P167" s="78">
        <f t="shared" si="181"/>
        <v>18108.060000000001</v>
      </c>
      <c r="Q167" s="78">
        <f t="shared" si="182"/>
        <v>15725.4174</v>
      </c>
      <c r="R167" s="79">
        <f t="shared" si="183"/>
        <v>54483.017400000004</v>
      </c>
      <c r="S167" s="78">
        <f t="shared" si="184"/>
        <v>3971.07</v>
      </c>
      <c r="T167" s="78">
        <v>0.99</v>
      </c>
      <c r="U167" s="78">
        <f t="shared" si="185"/>
        <v>58454.087400000004</v>
      </c>
      <c r="V167" s="79">
        <f t="shared" si="197"/>
        <v>47400.225138000002</v>
      </c>
      <c r="W167" s="78">
        <f t="shared" si="198"/>
        <v>50855.056038000002</v>
      </c>
      <c r="X167" s="80">
        <v>3</v>
      </c>
      <c r="Y167" s="78">
        <v>3</v>
      </c>
      <c r="Z167" s="80">
        <f t="shared" si="199"/>
        <v>0</v>
      </c>
      <c r="AA167" s="80">
        <f t="shared" si="200"/>
        <v>0</v>
      </c>
      <c r="AB167" s="80">
        <f t="shared" si="201"/>
        <v>47652.78</v>
      </c>
      <c r="AC167" s="80"/>
      <c r="AD167">
        <v>0.1</v>
      </c>
      <c r="AE167" s="78">
        <f t="shared" si="202"/>
        <v>1588.4260000000002</v>
      </c>
      <c r="AF167">
        <v>0.1</v>
      </c>
      <c r="AG167" s="78">
        <f t="shared" si="186"/>
        <v>1588.4260000000002</v>
      </c>
    </row>
    <row r="168" spans="1:33" x14ac:dyDescent="0.2">
      <c r="A168" s="102"/>
      <c r="B168" s="107"/>
      <c r="C168" s="107" t="s">
        <v>138</v>
      </c>
      <c r="D168" s="109">
        <v>1</v>
      </c>
      <c r="E168" s="73">
        <v>4500</v>
      </c>
      <c r="F168" s="74">
        <f t="shared" si="206"/>
        <v>4950</v>
      </c>
      <c r="G168" s="74">
        <f>F168*1.1*1.1+0.5</f>
        <v>5990.0000000000009</v>
      </c>
      <c r="H168" s="74">
        <v>7402.79</v>
      </c>
      <c r="I168" s="74">
        <f t="shared" si="207"/>
        <v>8143.0690000000004</v>
      </c>
      <c r="J168" s="74">
        <v>8631.6531400000003</v>
      </c>
      <c r="K168" s="74">
        <v>11913.2</v>
      </c>
      <c r="L168" s="75" t="s">
        <v>163</v>
      </c>
      <c r="M168" s="76">
        <v>0</v>
      </c>
      <c r="N168" s="76"/>
      <c r="O168" s="78">
        <f t="shared" si="180"/>
        <v>0</v>
      </c>
      <c r="P168" s="78">
        <f t="shared" si="181"/>
        <v>13581.05</v>
      </c>
      <c r="Q168" s="78">
        <f t="shared" si="182"/>
        <v>6433.1280000000006</v>
      </c>
      <c r="R168" s="79">
        <f t="shared" si="183"/>
        <v>31927.378000000001</v>
      </c>
      <c r="S168" s="78">
        <f t="shared" si="184"/>
        <v>2978.3</v>
      </c>
      <c r="T168" s="78">
        <v>0.54</v>
      </c>
      <c r="U168" s="78">
        <f t="shared" si="185"/>
        <v>34905.678</v>
      </c>
      <c r="V168" s="79">
        <f t="shared" si="197"/>
        <v>27776.818859999999</v>
      </c>
      <c r="W168" s="78">
        <f t="shared" si="198"/>
        <v>30367.939859999999</v>
      </c>
      <c r="X168" s="80">
        <v>3</v>
      </c>
      <c r="Y168" s="78">
        <v>3</v>
      </c>
      <c r="Z168" s="80">
        <f t="shared" si="199"/>
        <v>0</v>
      </c>
      <c r="AA168" s="80">
        <f t="shared" si="200"/>
        <v>0</v>
      </c>
      <c r="AB168" s="80">
        <f t="shared" si="201"/>
        <v>35739.600000000006</v>
      </c>
      <c r="AC168" s="80"/>
      <c r="AD168">
        <v>0.1</v>
      </c>
      <c r="AE168" s="78">
        <f t="shared" si="202"/>
        <v>1191.3200000000002</v>
      </c>
      <c r="AF168">
        <v>0.1</v>
      </c>
      <c r="AG168" s="78">
        <f t="shared" si="186"/>
        <v>1191.3200000000002</v>
      </c>
    </row>
    <row r="169" spans="1:33" x14ac:dyDescent="0.2">
      <c r="A169" s="107"/>
      <c r="B169" s="181"/>
      <c r="C169" s="181" t="s">
        <v>140</v>
      </c>
      <c r="D169" s="111">
        <f t="shared" ref="D169:I169" si="208">SUM(D162:D168)</f>
        <v>7</v>
      </c>
      <c r="E169" s="95">
        <f t="shared" si="208"/>
        <v>37500</v>
      </c>
      <c r="F169" s="95">
        <f t="shared" si="208"/>
        <v>41250</v>
      </c>
      <c r="G169" s="95">
        <f t="shared" si="208"/>
        <v>49914</v>
      </c>
      <c r="H169" s="95">
        <f t="shared" si="208"/>
        <v>62512.389999999992</v>
      </c>
      <c r="I169" s="95">
        <f t="shared" si="208"/>
        <v>68763.629000000001</v>
      </c>
      <c r="J169" s="95">
        <v>63298.735280000001</v>
      </c>
      <c r="K169" s="90">
        <f>SUM(K162:K168)</f>
        <v>105895.05</v>
      </c>
      <c r="L169" s="90"/>
      <c r="M169" s="90"/>
      <c r="N169" s="90">
        <f t="shared" ref="N169" si="209">SUM(N162:N168)</f>
        <v>0</v>
      </c>
      <c r="O169" s="90">
        <f>SUM(O162:O168)</f>
        <v>26870.87</v>
      </c>
      <c r="P169" s="90">
        <f t="shared" ref="P169:W169" si="210">SUM(P162:P168)</f>
        <v>120720.37</v>
      </c>
      <c r="Q169" s="90">
        <f t="shared" si="210"/>
        <v>105762.68400000001</v>
      </c>
      <c r="R169" s="90">
        <f t="shared" si="210"/>
        <v>359248.97400000005</v>
      </c>
      <c r="S169" s="90">
        <f t="shared" si="210"/>
        <v>26473.78</v>
      </c>
      <c r="T169" s="90">
        <f t="shared" si="210"/>
        <v>6.73</v>
      </c>
      <c r="U169" s="90">
        <f t="shared" si="210"/>
        <v>385722.75400000007</v>
      </c>
      <c r="V169" s="90">
        <f t="shared" si="210"/>
        <v>312546.60738</v>
      </c>
      <c r="W169" s="90">
        <f t="shared" si="210"/>
        <v>335578.79598000005</v>
      </c>
      <c r="X169" s="80"/>
      <c r="Y169" s="90"/>
      <c r="Z169" s="80"/>
      <c r="AA169" s="80">
        <f t="shared" si="200"/>
        <v>0</v>
      </c>
      <c r="AB169" s="80">
        <f t="shared" si="201"/>
        <v>0</v>
      </c>
      <c r="AC169" s="91"/>
      <c r="AD169">
        <v>0.1</v>
      </c>
      <c r="AE169" s="90">
        <f t="shared" si="202"/>
        <v>10589.505000000001</v>
      </c>
      <c r="AF169">
        <v>0.1</v>
      </c>
      <c r="AG169" s="90">
        <f t="shared" si="186"/>
        <v>10589.505000000001</v>
      </c>
    </row>
    <row r="170" spans="1:33" ht="22.5" customHeight="1" x14ac:dyDescent="0.2">
      <c r="A170" s="71" t="s">
        <v>164</v>
      </c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130">
        <v>1.1399999999999999</v>
      </c>
      <c r="Q170" s="93"/>
      <c r="R170" s="184"/>
      <c r="S170" s="93"/>
      <c r="T170" s="130"/>
      <c r="U170" s="93"/>
      <c r="V170" s="184"/>
      <c r="W170" s="93"/>
      <c r="X170" s="80"/>
      <c r="Y170" s="93"/>
      <c r="Z170" s="80"/>
      <c r="AA170" s="80">
        <f t="shared" si="200"/>
        <v>0</v>
      </c>
      <c r="AB170" s="80">
        <f t="shared" si="201"/>
        <v>0</v>
      </c>
      <c r="AC170" s="185"/>
      <c r="AD170">
        <v>0.1</v>
      </c>
      <c r="AE170" s="93"/>
      <c r="AG170" s="93"/>
    </row>
    <row r="171" spans="1:33" x14ac:dyDescent="0.2">
      <c r="A171" s="102"/>
      <c r="B171" s="87"/>
      <c r="C171" s="87" t="s">
        <v>133</v>
      </c>
      <c r="D171" s="72">
        <v>1</v>
      </c>
      <c r="E171" s="73">
        <v>7500</v>
      </c>
      <c r="F171" s="74">
        <f>ROUND(E171*F$12,2)</f>
        <v>8250</v>
      </c>
      <c r="G171" s="74">
        <f>F171*1.1*1.1+0.5</f>
        <v>9983</v>
      </c>
      <c r="H171" s="74">
        <v>12337.98</v>
      </c>
      <c r="I171" s="74">
        <f>H171*$I$12</f>
        <v>13571.778</v>
      </c>
      <c r="J171" s="74">
        <v>14386.084680000002</v>
      </c>
      <c r="K171" s="74">
        <v>19855.330000000002</v>
      </c>
      <c r="L171" s="75" t="s">
        <v>165</v>
      </c>
      <c r="M171" s="83">
        <v>30</v>
      </c>
      <c r="N171" s="83"/>
      <c r="O171" s="78">
        <f t="shared" si="180"/>
        <v>5956.6</v>
      </c>
      <c r="P171" s="78">
        <f t="shared" si="181"/>
        <v>22635.08</v>
      </c>
      <c r="Q171" s="78">
        <f t="shared" si="182"/>
        <v>28591.675200000001</v>
      </c>
      <c r="R171" s="79">
        <f t="shared" si="183"/>
        <v>77038.685200000007</v>
      </c>
      <c r="S171" s="78">
        <f t="shared" si="184"/>
        <v>4963.83</v>
      </c>
      <c r="T171" s="78">
        <v>1.44</v>
      </c>
      <c r="U171" s="78">
        <f t="shared" si="185"/>
        <v>82002.515200000009</v>
      </c>
      <c r="V171" s="79">
        <f t="shared" si="197"/>
        <v>67023.656124000001</v>
      </c>
      <c r="W171" s="78">
        <f t="shared" si="198"/>
        <v>71342.188224000012</v>
      </c>
      <c r="X171" s="80">
        <v>3</v>
      </c>
      <c r="Y171" s="78"/>
      <c r="Z171" s="80">
        <f t="shared" si="199"/>
        <v>3</v>
      </c>
      <c r="AA171" s="80">
        <f t="shared" si="200"/>
        <v>59565.990000000005</v>
      </c>
      <c r="AB171" s="80">
        <f t="shared" si="201"/>
        <v>0</v>
      </c>
      <c r="AC171" s="80"/>
      <c r="AD171">
        <v>0.1</v>
      </c>
      <c r="AE171" s="78">
        <f t="shared" si="202"/>
        <v>1985.5330000000004</v>
      </c>
      <c r="AF171">
        <v>0.1</v>
      </c>
      <c r="AG171" s="78">
        <f t="shared" si="186"/>
        <v>1985.5330000000004</v>
      </c>
    </row>
    <row r="172" spans="1:33" ht="19.5" customHeight="1" x14ac:dyDescent="0.2">
      <c r="A172" s="102"/>
      <c r="B172" s="87"/>
      <c r="C172" s="131" t="s">
        <v>90</v>
      </c>
      <c r="D172" s="72">
        <v>1</v>
      </c>
      <c r="E172" s="73">
        <v>6000</v>
      </c>
      <c r="F172" s="74">
        <f>ROUND(E172*F$12,2)</f>
        <v>6600</v>
      </c>
      <c r="G172" s="74">
        <f>F172*1.1*1.1</f>
        <v>7986.0000000000018</v>
      </c>
      <c r="H172" s="74">
        <v>9870.3799999999992</v>
      </c>
      <c r="I172" s="74">
        <f>H172*$I$12</f>
        <v>10857.418</v>
      </c>
      <c r="J172" s="74">
        <v>11508.863080000001</v>
      </c>
      <c r="K172" s="74">
        <v>15884.26</v>
      </c>
      <c r="L172" s="105" t="s">
        <v>166</v>
      </c>
      <c r="M172" s="83">
        <v>30</v>
      </c>
      <c r="N172" s="83"/>
      <c r="O172" s="78">
        <f t="shared" si="180"/>
        <v>4765.28</v>
      </c>
      <c r="P172" s="78">
        <f t="shared" si="181"/>
        <v>18108.060000000001</v>
      </c>
      <c r="Q172" s="78">
        <f t="shared" si="182"/>
        <v>15725.4174</v>
      </c>
      <c r="R172" s="79">
        <f t="shared" si="183"/>
        <v>54483.017400000004</v>
      </c>
      <c r="S172" s="78">
        <f t="shared" si="184"/>
        <v>3971.07</v>
      </c>
      <c r="T172" s="78">
        <v>0.99</v>
      </c>
      <c r="U172" s="78">
        <f t="shared" si="185"/>
        <v>58454.087400000004</v>
      </c>
      <c r="V172" s="79">
        <f t="shared" si="197"/>
        <v>47400.225138000002</v>
      </c>
      <c r="W172" s="78">
        <f t="shared" si="198"/>
        <v>50855.056038000002</v>
      </c>
      <c r="X172" s="80">
        <v>3</v>
      </c>
      <c r="Y172" s="78">
        <v>3</v>
      </c>
      <c r="Z172" s="80">
        <f t="shared" si="199"/>
        <v>0</v>
      </c>
      <c r="AA172" s="80">
        <f t="shared" si="200"/>
        <v>0</v>
      </c>
      <c r="AB172" s="80">
        <f t="shared" si="201"/>
        <v>47652.78</v>
      </c>
      <c r="AC172" s="80"/>
      <c r="AD172">
        <v>0.1</v>
      </c>
      <c r="AE172" s="78">
        <f t="shared" si="202"/>
        <v>1588.4260000000002</v>
      </c>
      <c r="AF172">
        <v>0.1</v>
      </c>
      <c r="AG172" s="78">
        <f t="shared" si="186"/>
        <v>1588.4260000000002</v>
      </c>
    </row>
    <row r="173" spans="1:33" ht="12" customHeight="1" x14ac:dyDescent="0.2">
      <c r="A173" s="102"/>
      <c r="B173" s="87"/>
      <c r="C173" s="107" t="s">
        <v>48</v>
      </c>
      <c r="D173" s="109">
        <v>1</v>
      </c>
      <c r="E173" s="73">
        <v>5000</v>
      </c>
      <c r="F173" s="74">
        <f>ROUND(E173*F$12,2)</f>
        <v>5500</v>
      </c>
      <c r="G173" s="74">
        <f>F173*1.1*1.1</f>
        <v>6655.0000000000018</v>
      </c>
      <c r="H173" s="74">
        <v>8225.31</v>
      </c>
      <c r="I173" s="74">
        <f>H173*$I$12</f>
        <v>9047.8410000000003</v>
      </c>
      <c r="J173" s="74">
        <v>9590.7114600000004</v>
      </c>
      <c r="K173" s="74">
        <v>13236.87</v>
      </c>
      <c r="L173" s="105" t="s">
        <v>167</v>
      </c>
      <c r="M173" s="83">
        <v>30</v>
      </c>
      <c r="N173" s="83"/>
      <c r="O173" s="78">
        <f t="shared" si="180"/>
        <v>3971.06</v>
      </c>
      <c r="P173" s="78">
        <f t="shared" si="181"/>
        <v>15090.03</v>
      </c>
      <c r="Q173" s="78">
        <f t="shared" si="182"/>
        <v>11780.8143</v>
      </c>
      <c r="R173" s="79">
        <f t="shared" si="183"/>
        <v>44078.774299999997</v>
      </c>
      <c r="S173" s="78">
        <f t="shared" si="184"/>
        <v>3309.22</v>
      </c>
      <c r="T173" s="78">
        <v>0.89</v>
      </c>
      <c r="U173" s="78">
        <f t="shared" si="185"/>
        <v>47387.994299999998</v>
      </c>
      <c r="V173" s="79">
        <f t="shared" si="197"/>
        <v>38348.533640999995</v>
      </c>
      <c r="W173" s="78">
        <f t="shared" si="198"/>
        <v>41227.555041</v>
      </c>
      <c r="X173" s="80">
        <v>3</v>
      </c>
      <c r="Y173" s="78"/>
      <c r="Z173" s="80">
        <f t="shared" si="199"/>
        <v>3</v>
      </c>
      <c r="AA173" s="80">
        <f t="shared" si="200"/>
        <v>39710.61</v>
      </c>
      <c r="AB173" s="80">
        <f t="shared" si="201"/>
        <v>0</v>
      </c>
      <c r="AC173" s="80"/>
      <c r="AD173">
        <v>0.1</v>
      </c>
      <c r="AE173" s="78">
        <f t="shared" si="202"/>
        <v>1323.6870000000001</v>
      </c>
      <c r="AF173">
        <v>0.1</v>
      </c>
      <c r="AG173" s="78">
        <f t="shared" si="186"/>
        <v>1323.6870000000001</v>
      </c>
    </row>
    <row r="174" spans="1:33" ht="30" customHeight="1" x14ac:dyDescent="0.2">
      <c r="A174" s="102"/>
      <c r="B174" s="107"/>
      <c r="C174" s="131" t="s">
        <v>136</v>
      </c>
      <c r="D174" s="109">
        <v>1</v>
      </c>
      <c r="E174" s="73">
        <v>5000</v>
      </c>
      <c r="F174" s="74">
        <f>ROUND(E174*F$12,2)</f>
        <v>5500</v>
      </c>
      <c r="G174" s="74">
        <f>F174*1.1*1.1</f>
        <v>6655.0000000000018</v>
      </c>
      <c r="H174" s="74">
        <v>8225.31</v>
      </c>
      <c r="I174" s="74">
        <f>H174*$I$12</f>
        <v>9047.8410000000003</v>
      </c>
      <c r="J174" s="74">
        <v>9590.7114600000004</v>
      </c>
      <c r="K174" s="74">
        <v>15884.26</v>
      </c>
      <c r="L174" s="105" t="s">
        <v>168</v>
      </c>
      <c r="M174" s="83">
        <v>20</v>
      </c>
      <c r="N174" s="83"/>
      <c r="O174" s="78">
        <f t="shared" si="180"/>
        <v>3176.85</v>
      </c>
      <c r="P174" s="78">
        <f t="shared" si="181"/>
        <v>18108.060000000001</v>
      </c>
      <c r="Q174" s="78">
        <f t="shared" si="182"/>
        <v>15725.4174</v>
      </c>
      <c r="R174" s="79">
        <f t="shared" si="183"/>
        <v>52894.587399999997</v>
      </c>
      <c r="S174" s="78">
        <f t="shared" si="184"/>
        <v>3971.07</v>
      </c>
      <c r="T174" s="78">
        <v>0.99</v>
      </c>
      <c r="U174" s="78">
        <f t="shared" si="185"/>
        <v>56865.657399999996</v>
      </c>
      <c r="V174" s="79">
        <f t="shared" si="197"/>
        <v>46018.291037999996</v>
      </c>
      <c r="W174" s="78">
        <f t="shared" si="198"/>
        <v>49473.121937999997</v>
      </c>
      <c r="X174" s="80">
        <v>3</v>
      </c>
      <c r="Y174" s="78">
        <v>3</v>
      </c>
      <c r="Z174" s="80">
        <f t="shared" si="199"/>
        <v>0</v>
      </c>
      <c r="AA174" s="80">
        <f t="shared" si="200"/>
        <v>0</v>
      </c>
      <c r="AB174" s="80">
        <f t="shared" si="201"/>
        <v>47652.78</v>
      </c>
      <c r="AC174" s="80"/>
      <c r="AD174">
        <v>0.1</v>
      </c>
      <c r="AE174" s="78">
        <f t="shared" si="202"/>
        <v>1588.4260000000002</v>
      </c>
      <c r="AF174">
        <v>0.1</v>
      </c>
      <c r="AG174" s="78">
        <f t="shared" si="186"/>
        <v>1588.4260000000002</v>
      </c>
    </row>
    <row r="175" spans="1:33" x14ac:dyDescent="0.2">
      <c r="A175" s="102"/>
      <c r="B175" s="107"/>
      <c r="C175" s="107" t="s">
        <v>138</v>
      </c>
      <c r="D175" s="109">
        <v>1</v>
      </c>
      <c r="E175" s="73">
        <v>4500</v>
      </c>
      <c r="F175" s="74">
        <f>ROUND(E175*F$12,2)</f>
        <v>4950</v>
      </c>
      <c r="G175" s="74">
        <f>F175*1.1*1.1+0.5</f>
        <v>5990.0000000000009</v>
      </c>
      <c r="H175" s="74">
        <v>7402.79</v>
      </c>
      <c r="I175" s="74">
        <f>H175*$I$12</f>
        <v>8143.0690000000004</v>
      </c>
      <c r="J175" s="74">
        <v>8631.6531400000003</v>
      </c>
      <c r="K175" s="74">
        <v>11913.2</v>
      </c>
      <c r="L175" s="105" t="s">
        <v>169</v>
      </c>
      <c r="M175" s="76">
        <v>0</v>
      </c>
      <c r="N175" s="76"/>
      <c r="O175" s="78">
        <f t="shared" si="180"/>
        <v>0</v>
      </c>
      <c r="P175" s="78">
        <f t="shared" si="181"/>
        <v>13581.05</v>
      </c>
      <c r="Q175" s="78">
        <f t="shared" si="182"/>
        <v>6433.1280000000006</v>
      </c>
      <c r="R175" s="79">
        <f t="shared" si="183"/>
        <v>31927.378000000001</v>
      </c>
      <c r="S175" s="78">
        <f t="shared" si="184"/>
        <v>2978.3</v>
      </c>
      <c r="T175" s="78">
        <v>0.54</v>
      </c>
      <c r="U175" s="78">
        <f t="shared" si="185"/>
        <v>34905.678</v>
      </c>
      <c r="V175" s="79">
        <f t="shared" si="197"/>
        <v>27776.818859999999</v>
      </c>
      <c r="W175" s="78">
        <f t="shared" si="198"/>
        <v>30367.939859999999</v>
      </c>
      <c r="X175" s="80">
        <v>3</v>
      </c>
      <c r="Y175" s="78"/>
      <c r="Z175" s="80">
        <f t="shared" si="199"/>
        <v>3</v>
      </c>
      <c r="AA175" s="80">
        <f t="shared" si="200"/>
        <v>35739.600000000006</v>
      </c>
      <c r="AB175" s="80">
        <f t="shared" si="201"/>
        <v>0</v>
      </c>
      <c r="AC175" s="80"/>
      <c r="AD175">
        <v>0.1</v>
      </c>
      <c r="AE175" s="78">
        <f t="shared" si="202"/>
        <v>1191.3200000000002</v>
      </c>
      <c r="AF175">
        <v>0.1</v>
      </c>
      <c r="AG175" s="78">
        <f t="shared" si="186"/>
        <v>1191.3200000000002</v>
      </c>
    </row>
    <row r="176" spans="1:33" x14ac:dyDescent="0.2">
      <c r="A176" s="107"/>
      <c r="B176" s="181"/>
      <c r="C176" s="181" t="s">
        <v>140</v>
      </c>
      <c r="D176" s="111">
        <f t="shared" ref="D176:I176" si="211">SUM(D171:D175)</f>
        <v>5</v>
      </c>
      <c r="E176" s="95">
        <f t="shared" si="211"/>
        <v>28000</v>
      </c>
      <c r="F176" s="95">
        <f t="shared" si="211"/>
        <v>30800</v>
      </c>
      <c r="G176" s="95">
        <f t="shared" si="211"/>
        <v>37269</v>
      </c>
      <c r="H176" s="95">
        <f t="shared" si="211"/>
        <v>46061.77</v>
      </c>
      <c r="I176" s="95">
        <f t="shared" si="211"/>
        <v>50667.947</v>
      </c>
      <c r="J176" s="95">
        <v>53708.023820000002</v>
      </c>
      <c r="K176" s="90">
        <f>SUM(K171:K175)</f>
        <v>76773.920000000013</v>
      </c>
      <c r="L176" s="90"/>
      <c r="M176" s="90"/>
      <c r="N176" s="90">
        <f t="shared" ref="N176" si="212">SUM(N171:N175)</f>
        <v>0</v>
      </c>
      <c r="O176" s="90">
        <f>SUM(O171:O175)</f>
        <v>17869.79</v>
      </c>
      <c r="P176" s="90">
        <f t="shared" ref="P176:W176" si="213">SUM(P171:P175)</f>
        <v>87522.28</v>
      </c>
      <c r="Q176" s="90">
        <f t="shared" si="213"/>
        <v>78256.452300000004</v>
      </c>
      <c r="R176" s="90">
        <f t="shared" si="213"/>
        <v>260422.4423</v>
      </c>
      <c r="S176" s="90">
        <f t="shared" si="213"/>
        <v>19193.489999999998</v>
      </c>
      <c r="T176" s="90">
        <f t="shared" si="213"/>
        <v>4.8499999999999996</v>
      </c>
      <c r="U176" s="90">
        <f t="shared" si="213"/>
        <v>279615.93229999999</v>
      </c>
      <c r="V176" s="90">
        <f t="shared" si="213"/>
        <v>226567.52480099999</v>
      </c>
      <c r="W176" s="90">
        <f t="shared" si="213"/>
        <v>243265.86110100005</v>
      </c>
      <c r="X176" s="80"/>
      <c r="Y176" s="90"/>
      <c r="Z176" s="80"/>
      <c r="AA176" s="80">
        <f t="shared" si="200"/>
        <v>0</v>
      </c>
      <c r="AB176" s="80">
        <f t="shared" si="201"/>
        <v>0</v>
      </c>
      <c r="AC176" s="91"/>
      <c r="AD176">
        <v>0.1</v>
      </c>
      <c r="AE176" s="90">
        <f t="shared" si="202"/>
        <v>7677.3920000000016</v>
      </c>
      <c r="AF176">
        <v>0.1</v>
      </c>
      <c r="AG176" s="90">
        <f t="shared" si="186"/>
        <v>7677.3920000000016</v>
      </c>
    </row>
    <row r="177" spans="1:33" ht="31.5" customHeight="1" x14ac:dyDescent="0.2">
      <c r="A177" s="71" t="s">
        <v>170</v>
      </c>
      <c r="B177" s="97"/>
      <c r="C177" s="97"/>
      <c r="D177" s="94"/>
      <c r="E177" s="95"/>
      <c r="F177" s="95"/>
      <c r="G177" s="95"/>
      <c r="H177" s="95"/>
      <c r="I177" s="95"/>
      <c r="J177" s="95"/>
      <c r="K177" s="90"/>
      <c r="L177" s="96"/>
      <c r="M177" s="96"/>
      <c r="N177" s="96"/>
      <c r="O177" s="96"/>
      <c r="P177" s="130">
        <v>1.1399999999999999</v>
      </c>
      <c r="Q177" s="96"/>
      <c r="R177" s="186"/>
      <c r="S177" s="96"/>
      <c r="T177" s="130"/>
      <c r="U177" s="96"/>
      <c r="V177" s="186"/>
      <c r="W177" s="96"/>
      <c r="X177" s="80"/>
      <c r="Y177" s="96"/>
      <c r="Z177" s="80"/>
      <c r="AA177" s="80">
        <f t="shared" si="200"/>
        <v>0</v>
      </c>
      <c r="AB177" s="80">
        <f t="shared" si="201"/>
        <v>0</v>
      </c>
      <c r="AC177" s="144"/>
      <c r="AD177">
        <v>0.1</v>
      </c>
      <c r="AE177" s="96"/>
      <c r="AG177" s="96"/>
    </row>
    <row r="178" spans="1:33" x14ac:dyDescent="0.2">
      <c r="A178" s="102"/>
      <c r="B178" s="87"/>
      <c r="C178" s="87" t="s">
        <v>133</v>
      </c>
      <c r="D178" s="72">
        <v>1</v>
      </c>
      <c r="E178" s="73">
        <v>7000</v>
      </c>
      <c r="F178" s="74">
        <f t="shared" ref="F178:F184" si="214">ROUND(E178*F$12,2)</f>
        <v>7700</v>
      </c>
      <c r="G178" s="74">
        <f>F178*1.1*1.1</f>
        <v>9317</v>
      </c>
      <c r="H178" s="74">
        <v>11515.44</v>
      </c>
      <c r="I178" s="74">
        <f t="shared" ref="I178:I184" si="215">H178*$I$12</f>
        <v>12666.984000000002</v>
      </c>
      <c r="J178" s="74">
        <v>13427.003040000003</v>
      </c>
      <c r="K178" s="74">
        <v>19855.330000000002</v>
      </c>
      <c r="L178" s="75" t="s">
        <v>171</v>
      </c>
      <c r="M178" s="76">
        <v>30</v>
      </c>
      <c r="N178" s="76"/>
      <c r="O178" s="78">
        <f t="shared" si="180"/>
        <v>5956.6</v>
      </c>
      <c r="P178" s="78">
        <f t="shared" si="181"/>
        <v>22635.08</v>
      </c>
      <c r="Q178" s="78">
        <f t="shared" si="182"/>
        <v>28591.675200000001</v>
      </c>
      <c r="R178" s="79">
        <f t="shared" si="183"/>
        <v>77038.685200000007</v>
      </c>
      <c r="S178" s="78">
        <f t="shared" si="184"/>
        <v>4963.83</v>
      </c>
      <c r="T178" s="78">
        <v>1.44</v>
      </c>
      <c r="U178" s="78">
        <f t="shared" si="185"/>
        <v>82002.515200000009</v>
      </c>
      <c r="V178" s="79">
        <f t="shared" si="197"/>
        <v>67023.656124000001</v>
      </c>
      <c r="W178" s="78">
        <f t="shared" si="198"/>
        <v>71342.188224000012</v>
      </c>
      <c r="X178" s="80">
        <v>3</v>
      </c>
      <c r="Y178" s="78">
        <v>3</v>
      </c>
      <c r="Z178" s="80">
        <f t="shared" si="199"/>
        <v>0</v>
      </c>
      <c r="AA178" s="80">
        <f t="shared" si="200"/>
        <v>0</v>
      </c>
      <c r="AB178" s="80">
        <f t="shared" si="201"/>
        <v>59565.990000000005</v>
      </c>
      <c r="AC178" s="80"/>
      <c r="AD178">
        <v>0.1</v>
      </c>
      <c r="AE178" s="78">
        <f t="shared" si="202"/>
        <v>1985.5330000000004</v>
      </c>
      <c r="AF178">
        <v>0.1</v>
      </c>
      <c r="AG178" s="78">
        <f t="shared" si="186"/>
        <v>1985.5330000000004</v>
      </c>
    </row>
    <row r="179" spans="1:33" ht="20.25" customHeight="1" x14ac:dyDescent="0.2">
      <c r="A179" s="102"/>
      <c r="B179" s="122"/>
      <c r="C179" s="122"/>
      <c r="D179" s="72">
        <v>0</v>
      </c>
      <c r="E179" s="73">
        <v>5700</v>
      </c>
      <c r="F179" s="74">
        <f t="shared" si="214"/>
        <v>6270</v>
      </c>
      <c r="G179" s="74">
        <f>F179*1.1*1.1+0.3</f>
        <v>7587.0000000000018</v>
      </c>
      <c r="H179" s="74">
        <v>9376.86</v>
      </c>
      <c r="I179" s="74">
        <f t="shared" si="215"/>
        <v>10314.546000000002</v>
      </c>
      <c r="J179" s="74">
        <v>10933.418760000002</v>
      </c>
      <c r="K179" s="74">
        <v>0</v>
      </c>
      <c r="L179" s="110"/>
      <c r="M179" s="76">
        <v>30</v>
      </c>
      <c r="N179" s="76"/>
      <c r="O179" s="78">
        <f t="shared" si="180"/>
        <v>0</v>
      </c>
      <c r="P179" s="78">
        <f t="shared" si="181"/>
        <v>0</v>
      </c>
      <c r="Q179" s="78">
        <f t="shared" si="182"/>
        <v>0</v>
      </c>
      <c r="R179" s="79">
        <f t="shared" si="183"/>
        <v>0</v>
      </c>
      <c r="S179" s="78">
        <f t="shared" si="184"/>
        <v>0</v>
      </c>
      <c r="T179" s="78">
        <v>0.99</v>
      </c>
      <c r="U179" s="78">
        <f t="shared" si="185"/>
        <v>0</v>
      </c>
      <c r="V179" s="79">
        <f t="shared" si="197"/>
        <v>0</v>
      </c>
      <c r="W179" s="78">
        <f t="shared" si="198"/>
        <v>0</v>
      </c>
      <c r="X179" s="80">
        <v>3</v>
      </c>
      <c r="Y179" s="78">
        <v>3</v>
      </c>
      <c r="Z179" s="80">
        <f t="shared" si="199"/>
        <v>0</v>
      </c>
      <c r="AA179" s="80">
        <f t="shared" si="200"/>
        <v>0</v>
      </c>
      <c r="AB179" s="80">
        <f t="shared" si="201"/>
        <v>0</v>
      </c>
      <c r="AC179" s="80"/>
      <c r="AD179">
        <v>0.1</v>
      </c>
      <c r="AE179" s="78">
        <f t="shared" si="202"/>
        <v>0</v>
      </c>
      <c r="AF179">
        <v>0.1</v>
      </c>
      <c r="AG179" s="78">
        <f t="shared" si="186"/>
        <v>0</v>
      </c>
    </row>
    <row r="180" spans="1:33" x14ac:dyDescent="0.2">
      <c r="A180" s="102"/>
      <c r="B180" s="107"/>
      <c r="C180" s="107" t="s">
        <v>48</v>
      </c>
      <c r="D180" s="109">
        <v>1</v>
      </c>
      <c r="E180" s="73">
        <v>5000</v>
      </c>
      <c r="F180" s="74">
        <f t="shared" si="214"/>
        <v>5500</v>
      </c>
      <c r="G180" s="74">
        <f>F180*1.1*1.1</f>
        <v>6655.0000000000018</v>
      </c>
      <c r="H180" s="74">
        <v>8225.31</v>
      </c>
      <c r="I180" s="74">
        <f t="shared" si="215"/>
        <v>9047.8410000000003</v>
      </c>
      <c r="J180" s="74">
        <v>9590.7114600000004</v>
      </c>
      <c r="K180" s="74">
        <v>13236.87</v>
      </c>
      <c r="L180" s="75" t="s">
        <v>172</v>
      </c>
      <c r="M180" s="145">
        <v>30</v>
      </c>
      <c r="N180" s="145"/>
      <c r="O180" s="78">
        <f t="shared" si="180"/>
        <v>3971.06</v>
      </c>
      <c r="P180" s="78">
        <f t="shared" si="181"/>
        <v>15090.03</v>
      </c>
      <c r="Q180" s="78">
        <f t="shared" si="182"/>
        <v>11780.8143</v>
      </c>
      <c r="R180" s="79">
        <f t="shared" si="183"/>
        <v>44078.774299999997</v>
      </c>
      <c r="S180" s="78">
        <f t="shared" si="184"/>
        <v>3309.22</v>
      </c>
      <c r="T180" s="78">
        <v>0.89</v>
      </c>
      <c r="U180" s="78">
        <f t="shared" si="185"/>
        <v>47387.994299999998</v>
      </c>
      <c r="V180" s="79">
        <f t="shared" si="197"/>
        <v>38348.533640999995</v>
      </c>
      <c r="W180" s="78">
        <f t="shared" si="198"/>
        <v>41227.555041</v>
      </c>
      <c r="X180" s="80">
        <v>3</v>
      </c>
      <c r="Y180" s="78">
        <v>3</v>
      </c>
      <c r="Z180" s="80">
        <f t="shared" si="199"/>
        <v>0</v>
      </c>
      <c r="AA180" s="80">
        <f t="shared" si="200"/>
        <v>0</v>
      </c>
      <c r="AB180" s="80">
        <f t="shared" si="201"/>
        <v>39710.61</v>
      </c>
      <c r="AC180" s="80"/>
      <c r="AD180">
        <v>0.1</v>
      </c>
      <c r="AE180" s="78">
        <f t="shared" si="202"/>
        <v>1323.6870000000001</v>
      </c>
      <c r="AF180">
        <v>0.1</v>
      </c>
      <c r="AG180" s="78">
        <f t="shared" si="186"/>
        <v>1323.6870000000001</v>
      </c>
    </row>
    <row r="181" spans="1:33" x14ac:dyDescent="0.2">
      <c r="A181" s="102"/>
      <c r="B181" s="107"/>
      <c r="C181" s="107" t="s">
        <v>48</v>
      </c>
      <c r="D181" s="109">
        <v>1</v>
      </c>
      <c r="E181" s="73">
        <v>5000</v>
      </c>
      <c r="F181" s="74">
        <f t="shared" si="214"/>
        <v>5500</v>
      </c>
      <c r="G181" s="74">
        <f>F181*1.1*1.1</f>
        <v>6655.0000000000018</v>
      </c>
      <c r="H181" s="74">
        <v>8225.31</v>
      </c>
      <c r="I181" s="74">
        <f t="shared" si="215"/>
        <v>9047.8410000000003</v>
      </c>
      <c r="J181" s="74">
        <v>9590.7114600000004</v>
      </c>
      <c r="K181" s="74">
        <v>13236.87</v>
      </c>
      <c r="L181" s="187" t="s">
        <v>173</v>
      </c>
      <c r="M181" s="83">
        <v>10</v>
      </c>
      <c r="N181" s="76"/>
      <c r="O181" s="78">
        <f t="shared" si="180"/>
        <v>1323.69</v>
      </c>
      <c r="P181" s="78">
        <f t="shared" si="181"/>
        <v>15090.03</v>
      </c>
      <c r="Q181" s="78">
        <f t="shared" si="182"/>
        <v>11780.8143</v>
      </c>
      <c r="R181" s="79">
        <f t="shared" si="183"/>
        <v>41431.404300000002</v>
      </c>
      <c r="S181" s="78">
        <f t="shared" si="184"/>
        <v>3309.22</v>
      </c>
      <c r="T181" s="78">
        <v>0.89</v>
      </c>
      <c r="U181" s="78">
        <f t="shared" si="185"/>
        <v>44740.624300000003</v>
      </c>
      <c r="V181" s="79">
        <f t="shared" si="197"/>
        <v>36045.321741</v>
      </c>
      <c r="W181" s="78">
        <f t="shared" si="198"/>
        <v>38924.343141000005</v>
      </c>
      <c r="X181" s="80">
        <v>3</v>
      </c>
      <c r="Y181" s="78">
        <v>3</v>
      </c>
      <c r="Z181" s="80">
        <f t="shared" si="199"/>
        <v>0</v>
      </c>
      <c r="AA181" s="80">
        <f t="shared" si="200"/>
        <v>0</v>
      </c>
      <c r="AB181" s="80">
        <f t="shared" si="201"/>
        <v>39710.61</v>
      </c>
      <c r="AC181" s="80"/>
      <c r="AD181">
        <v>0.1</v>
      </c>
      <c r="AE181" s="78">
        <f t="shared" si="202"/>
        <v>1323.6870000000001</v>
      </c>
      <c r="AF181">
        <v>0.1</v>
      </c>
      <c r="AG181" s="78">
        <f t="shared" si="186"/>
        <v>1323.6870000000001</v>
      </c>
    </row>
    <row r="182" spans="1:33" ht="26.25" customHeight="1" x14ac:dyDescent="0.2">
      <c r="A182" s="102"/>
      <c r="B182" s="107"/>
      <c r="C182" s="131" t="s">
        <v>136</v>
      </c>
      <c r="D182" s="109">
        <v>1</v>
      </c>
      <c r="E182" s="73">
        <v>5000</v>
      </c>
      <c r="F182" s="74">
        <f t="shared" si="214"/>
        <v>5500</v>
      </c>
      <c r="G182" s="74">
        <f>F182*1.1*1.1</f>
        <v>6655.0000000000018</v>
      </c>
      <c r="H182" s="74">
        <v>8225.31</v>
      </c>
      <c r="I182" s="74">
        <f t="shared" si="215"/>
        <v>9047.8410000000003</v>
      </c>
      <c r="J182" s="74">
        <v>9590.7114600000004</v>
      </c>
      <c r="K182" s="74">
        <v>15884.26</v>
      </c>
      <c r="L182" s="105" t="s">
        <v>225</v>
      </c>
      <c r="M182" s="83">
        <v>30</v>
      </c>
      <c r="N182" s="83"/>
      <c r="O182" s="78">
        <f t="shared" si="180"/>
        <v>4765.28</v>
      </c>
      <c r="P182" s="78">
        <f t="shared" si="181"/>
        <v>18108.060000000001</v>
      </c>
      <c r="Q182" s="78">
        <f t="shared" si="182"/>
        <v>15725.4174</v>
      </c>
      <c r="R182" s="79">
        <f t="shared" si="183"/>
        <v>54483.017400000004</v>
      </c>
      <c r="S182" s="78">
        <f>ROUND(K182*S$12,2)</f>
        <v>3971.07</v>
      </c>
      <c r="T182" s="78">
        <v>0.99</v>
      </c>
      <c r="U182" s="78">
        <f>K182+O182+P182+Q182+S182</f>
        <v>58454.087400000004</v>
      </c>
      <c r="V182" s="79">
        <f t="shared" si="197"/>
        <v>47400.225138000002</v>
      </c>
      <c r="W182" s="78">
        <f t="shared" si="198"/>
        <v>50855.056038000002</v>
      </c>
      <c r="X182" s="80">
        <v>3</v>
      </c>
      <c r="Y182" s="78">
        <v>3</v>
      </c>
      <c r="Z182" s="80">
        <f t="shared" si="199"/>
        <v>0</v>
      </c>
      <c r="AA182" s="80">
        <f t="shared" si="200"/>
        <v>0</v>
      </c>
      <c r="AB182" s="80">
        <f t="shared" si="201"/>
        <v>47652.78</v>
      </c>
      <c r="AC182" s="80"/>
      <c r="AD182">
        <v>0.1</v>
      </c>
      <c r="AE182" s="78">
        <f t="shared" si="202"/>
        <v>1588.4260000000002</v>
      </c>
      <c r="AF182">
        <v>0.1</v>
      </c>
      <c r="AG182" s="78">
        <f t="shared" si="186"/>
        <v>1588.4260000000002</v>
      </c>
    </row>
    <row r="183" spans="1:33" ht="24" customHeight="1" x14ac:dyDescent="0.2">
      <c r="A183" s="102"/>
      <c r="B183" s="107"/>
      <c r="C183" s="131" t="s">
        <v>136</v>
      </c>
      <c r="D183" s="109">
        <v>1</v>
      </c>
      <c r="E183" s="73">
        <v>5000</v>
      </c>
      <c r="F183" s="74">
        <f>ROUND(E183*F$12,2)</f>
        <v>5500</v>
      </c>
      <c r="G183" s="74">
        <f>F183*1.1*1.1</f>
        <v>6655.0000000000018</v>
      </c>
      <c r="H183" s="74">
        <v>8225.31</v>
      </c>
      <c r="I183" s="74">
        <f>H183*$I$12</f>
        <v>9047.8410000000003</v>
      </c>
      <c r="J183" s="74">
        <v>9590.7114600000004</v>
      </c>
      <c r="K183" s="74">
        <v>15884.26</v>
      </c>
      <c r="L183" s="75" t="s">
        <v>174</v>
      </c>
      <c r="M183" s="83">
        <v>30</v>
      </c>
      <c r="N183" s="76"/>
      <c r="O183" s="78">
        <f t="shared" si="180"/>
        <v>4765.28</v>
      </c>
      <c r="P183" s="78">
        <f t="shared" si="181"/>
        <v>18108.060000000001</v>
      </c>
      <c r="Q183" s="78">
        <f t="shared" si="182"/>
        <v>15725.4174</v>
      </c>
      <c r="R183" s="79">
        <f t="shared" si="183"/>
        <v>54483.017400000004</v>
      </c>
      <c r="S183" s="78">
        <f t="shared" si="184"/>
        <v>3971.07</v>
      </c>
      <c r="T183" s="78">
        <v>0.99</v>
      </c>
      <c r="U183" s="78">
        <f t="shared" si="185"/>
        <v>58454.087400000004</v>
      </c>
      <c r="V183" s="79">
        <f t="shared" si="197"/>
        <v>47400.225138000002</v>
      </c>
      <c r="W183" s="78">
        <f t="shared" si="198"/>
        <v>50855.056038000002</v>
      </c>
      <c r="X183" s="80">
        <v>3</v>
      </c>
      <c r="Y183" s="78"/>
      <c r="Z183" s="80">
        <f t="shared" si="199"/>
        <v>3</v>
      </c>
      <c r="AA183" s="80">
        <f t="shared" si="200"/>
        <v>47652.78</v>
      </c>
      <c r="AB183" s="80">
        <f t="shared" si="201"/>
        <v>0</v>
      </c>
      <c r="AC183" s="80"/>
      <c r="AD183">
        <v>0.1</v>
      </c>
      <c r="AE183" s="78">
        <f t="shared" si="202"/>
        <v>1588.4260000000002</v>
      </c>
      <c r="AF183">
        <v>0.1</v>
      </c>
      <c r="AG183" s="78">
        <f t="shared" si="186"/>
        <v>1588.4260000000002</v>
      </c>
    </row>
    <row r="184" spans="1:33" x14ac:dyDescent="0.2">
      <c r="A184" s="102"/>
      <c r="B184" s="107"/>
      <c r="C184" s="107" t="s">
        <v>138</v>
      </c>
      <c r="D184" s="109">
        <v>1</v>
      </c>
      <c r="E184" s="73">
        <v>4500</v>
      </c>
      <c r="F184" s="74">
        <f t="shared" si="214"/>
        <v>4950</v>
      </c>
      <c r="G184" s="74">
        <f>F184*1.1*1.1+0.5</f>
        <v>5990.0000000000009</v>
      </c>
      <c r="H184" s="74">
        <v>7402.79</v>
      </c>
      <c r="I184" s="74">
        <f t="shared" si="215"/>
        <v>8143.0690000000004</v>
      </c>
      <c r="J184" s="74">
        <v>8631.6531400000003</v>
      </c>
      <c r="K184" s="74">
        <v>11913.2</v>
      </c>
      <c r="L184" s="105" t="s">
        <v>206</v>
      </c>
      <c r="M184" s="76">
        <v>0</v>
      </c>
      <c r="N184" s="76"/>
      <c r="O184" s="78">
        <f t="shared" si="180"/>
        <v>0</v>
      </c>
      <c r="P184" s="78">
        <f t="shared" si="181"/>
        <v>13581.05</v>
      </c>
      <c r="Q184" s="78">
        <f t="shared" si="182"/>
        <v>6433.1280000000006</v>
      </c>
      <c r="R184" s="79">
        <f t="shared" si="183"/>
        <v>31927.378000000001</v>
      </c>
      <c r="S184" s="78">
        <f t="shared" si="184"/>
        <v>2978.3</v>
      </c>
      <c r="T184" s="78">
        <v>0.54</v>
      </c>
      <c r="U184" s="78">
        <f t="shared" si="185"/>
        <v>34905.678</v>
      </c>
      <c r="V184" s="79">
        <f t="shared" si="197"/>
        <v>27776.818859999999</v>
      </c>
      <c r="W184" s="78">
        <f t="shared" si="198"/>
        <v>30367.939859999999</v>
      </c>
      <c r="X184" s="80">
        <v>3</v>
      </c>
      <c r="Y184" s="78">
        <v>3</v>
      </c>
      <c r="Z184" s="80">
        <f t="shared" si="199"/>
        <v>0</v>
      </c>
      <c r="AA184" s="80">
        <f t="shared" si="200"/>
        <v>0</v>
      </c>
      <c r="AB184" s="80">
        <f t="shared" si="201"/>
        <v>35739.600000000006</v>
      </c>
      <c r="AC184" s="80"/>
      <c r="AD184">
        <v>0.1</v>
      </c>
      <c r="AE184" s="78">
        <f t="shared" si="202"/>
        <v>1191.3200000000002</v>
      </c>
      <c r="AF184">
        <v>0.1</v>
      </c>
      <c r="AG184" s="78">
        <f t="shared" si="186"/>
        <v>1191.3200000000002</v>
      </c>
    </row>
    <row r="185" spans="1:33" x14ac:dyDescent="0.2">
      <c r="A185" s="107"/>
      <c r="B185" s="181"/>
      <c r="C185" s="181" t="s">
        <v>140</v>
      </c>
      <c r="D185" s="111">
        <f t="shared" ref="D185:I185" si="216">SUM(D178:D184)</f>
        <v>6</v>
      </c>
      <c r="E185" s="95">
        <f t="shared" si="216"/>
        <v>37200</v>
      </c>
      <c r="F185" s="95">
        <f t="shared" si="216"/>
        <v>40920</v>
      </c>
      <c r="G185" s="95">
        <f t="shared" si="216"/>
        <v>49514</v>
      </c>
      <c r="H185" s="95">
        <f t="shared" si="216"/>
        <v>61196.329999999994</v>
      </c>
      <c r="I185" s="95">
        <f t="shared" si="216"/>
        <v>67315.963000000003</v>
      </c>
      <c r="J185" s="95">
        <v>61764.209320000016</v>
      </c>
      <c r="K185" s="90">
        <f>SUM(K178:K184)</f>
        <v>90010.790000000008</v>
      </c>
      <c r="L185" s="90"/>
      <c r="M185" s="90"/>
      <c r="N185" s="90">
        <f t="shared" ref="N185" si="217">SUM(N178:N184)</f>
        <v>0</v>
      </c>
      <c r="O185" s="90">
        <f>SUM(O178:O184)</f>
        <v>20781.91</v>
      </c>
      <c r="P185" s="90">
        <f t="shared" ref="P185:W185" si="218">SUM(P178:P184)</f>
        <v>102612.31</v>
      </c>
      <c r="Q185" s="90">
        <f t="shared" si="218"/>
        <v>90037.266600000003</v>
      </c>
      <c r="R185" s="90">
        <f t="shared" si="218"/>
        <v>303442.27660000004</v>
      </c>
      <c r="S185" s="90">
        <f t="shared" si="218"/>
        <v>22502.71</v>
      </c>
      <c r="T185" s="90">
        <f t="shared" si="218"/>
        <v>6.73</v>
      </c>
      <c r="U185" s="90">
        <f t="shared" si="218"/>
        <v>325944.98660000006</v>
      </c>
      <c r="V185" s="90">
        <f t="shared" si="218"/>
        <v>263994.78064200003</v>
      </c>
      <c r="W185" s="90">
        <f t="shared" si="218"/>
        <v>283572.13834200002</v>
      </c>
      <c r="X185" s="80"/>
      <c r="Y185" s="90"/>
      <c r="Z185" s="80"/>
      <c r="AA185" s="90">
        <f>SUM(AA13:AA184)</f>
        <v>1719867.4700000007</v>
      </c>
      <c r="AB185" s="90">
        <f>SUM(AB13:AB184)</f>
        <v>5143055.74</v>
      </c>
      <c r="AC185" s="90"/>
      <c r="AD185" s="90"/>
      <c r="AE185" s="90">
        <f>SUM(AE178:AE184)</f>
        <v>9001.0790000000015</v>
      </c>
      <c r="AF185" s="90"/>
      <c r="AG185" s="90">
        <f>SUM(AG178:AG184)</f>
        <v>9001.0790000000015</v>
      </c>
    </row>
    <row r="186" spans="1:33" x14ac:dyDescent="0.2">
      <c r="A186" s="188"/>
      <c r="B186" s="188"/>
      <c r="C186" s="188" t="s">
        <v>175</v>
      </c>
      <c r="D186" s="189">
        <f>D143+D151+D160+D169+D176+D185</f>
        <v>36</v>
      </c>
      <c r="E186" s="189">
        <f t="shared" ref="E186:K186" si="219">E143+E151+E160+E169+E176+E185</f>
        <v>203700</v>
      </c>
      <c r="F186" s="189">
        <f t="shared" si="219"/>
        <v>224070</v>
      </c>
      <c r="G186" s="189">
        <f t="shared" si="219"/>
        <v>271131</v>
      </c>
      <c r="H186" s="189">
        <f t="shared" si="219"/>
        <v>335921.82999999996</v>
      </c>
      <c r="I186" s="189">
        <f t="shared" si="219"/>
        <v>369514.01299999998</v>
      </c>
      <c r="J186" s="189">
        <f t="shared" si="219"/>
        <v>314959.16210000002</v>
      </c>
      <c r="K186" s="90">
        <f t="shared" si="219"/>
        <v>548006.91</v>
      </c>
      <c r="L186" s="90"/>
      <c r="M186" s="90"/>
      <c r="N186" s="90">
        <f t="shared" ref="N186" si="220">N143+N151+N160+N169+N176+N185</f>
        <v>0</v>
      </c>
      <c r="O186" s="90">
        <f>O143+O151+O160+O169+O176+O185</f>
        <v>128397.76000000001</v>
      </c>
      <c r="P186" s="90">
        <f t="shared" ref="P186:W186" si="221">P143+P151+P160+P169+P176+P185</f>
        <v>624727.94999999995</v>
      </c>
      <c r="Q186" s="90">
        <f t="shared" si="221"/>
        <v>552057.40890000004</v>
      </c>
      <c r="R186" s="90">
        <f t="shared" si="221"/>
        <v>1853190.0289</v>
      </c>
      <c r="S186" s="90">
        <f t="shared" si="221"/>
        <v>137001.80999999997</v>
      </c>
      <c r="T186" s="90">
        <f t="shared" si="221"/>
        <v>36.72</v>
      </c>
      <c r="U186" s="90">
        <f t="shared" si="221"/>
        <v>1990191.8388999999</v>
      </c>
      <c r="V186" s="90">
        <f t="shared" si="221"/>
        <v>1612275.3251430001</v>
      </c>
      <c r="W186" s="90">
        <f t="shared" si="221"/>
        <v>1731466.8998430003</v>
      </c>
      <c r="X186" s="80"/>
      <c r="Y186" s="90"/>
      <c r="Z186" s="80"/>
      <c r="AA186" s="90"/>
      <c r="AB186" s="90"/>
      <c r="AC186" s="90"/>
      <c r="AD186" s="90"/>
      <c r="AE186" s="90">
        <f>AE143+AE151+AE160+AE169+AE176+AE185</f>
        <v>54800.691000000006</v>
      </c>
      <c r="AF186" s="90"/>
      <c r="AG186" s="90">
        <f>AG143+AG151+AG160+AG169+AG176+AG185</f>
        <v>54800.691000000006</v>
      </c>
    </row>
    <row r="187" spans="1:33" ht="13.5" x14ac:dyDescent="0.25">
      <c r="A187" s="190"/>
      <c r="B187" s="190"/>
      <c r="C187" s="191" t="s">
        <v>176</v>
      </c>
      <c r="D187" s="192">
        <f>D186+D132</f>
        <v>123</v>
      </c>
      <c r="E187" s="193">
        <f t="shared" ref="E187:I187" si="222">E186+E132</f>
        <v>525900</v>
      </c>
      <c r="F187" s="193">
        <f t="shared" si="222"/>
        <v>579370</v>
      </c>
      <c r="G187" s="193">
        <f t="shared" si="222"/>
        <v>834571</v>
      </c>
      <c r="H187" s="193">
        <f t="shared" si="222"/>
        <v>1101205.1000000001</v>
      </c>
      <c r="I187" s="193">
        <f t="shared" si="222"/>
        <v>1211325.6100000001</v>
      </c>
      <c r="J187" s="193">
        <v>1355360.1140200002</v>
      </c>
      <c r="K187" s="194">
        <f>K186+K132</f>
        <v>2103472.0700000003</v>
      </c>
      <c r="L187" s="194"/>
      <c r="M187" s="194"/>
      <c r="N187" s="194">
        <f t="shared" ref="N187" si="223">N186+N132</f>
        <v>0</v>
      </c>
      <c r="O187" s="194">
        <f>O186+O132</f>
        <v>509169.64</v>
      </c>
      <c r="P187" s="194">
        <f t="shared" ref="P187:W187" si="224">P186+P132</f>
        <v>2455284.3999999994</v>
      </c>
      <c r="Q187" s="194">
        <f t="shared" si="224"/>
        <v>2915371.6824999996</v>
      </c>
      <c r="R187" s="194">
        <f t="shared" si="224"/>
        <v>7956135.7424999997</v>
      </c>
      <c r="S187" s="194">
        <f t="shared" si="224"/>
        <v>529574.69999999995</v>
      </c>
      <c r="T187" s="194">
        <f t="shared" si="224"/>
        <v>170.36</v>
      </c>
      <c r="U187" s="194">
        <f t="shared" si="224"/>
        <v>8481408.4525000006</v>
      </c>
      <c r="V187" s="194">
        <f t="shared" si="224"/>
        <v>6921838.0959749995</v>
      </c>
      <c r="W187" s="194">
        <f t="shared" si="224"/>
        <v>7378825.3536749985</v>
      </c>
      <c r="X187" s="80"/>
      <c r="Y187" s="194"/>
      <c r="Z187" s="80"/>
      <c r="AA187" s="194"/>
      <c r="AB187" s="194"/>
      <c r="AC187" s="194"/>
      <c r="AD187" s="194"/>
      <c r="AE187" s="194">
        <f>AE186+AE132</f>
        <v>227555.147</v>
      </c>
      <c r="AF187" s="194"/>
      <c r="AG187" s="194">
        <f>AG186+AG132</f>
        <v>383101.663</v>
      </c>
    </row>
    <row r="188" spans="1:33" ht="13.5" x14ac:dyDescent="0.25">
      <c r="A188" s="190"/>
      <c r="B188" s="190"/>
      <c r="C188" s="195"/>
      <c r="D188" s="192"/>
      <c r="E188" s="196" t="e">
        <f>E186+#REF!</f>
        <v>#REF!</v>
      </c>
      <c r="F188" s="196"/>
      <c r="G188" s="196"/>
      <c r="H188" s="196"/>
      <c r="I188" s="196"/>
      <c r="J188" s="196"/>
      <c r="K188" s="196"/>
      <c r="L188" s="197"/>
      <c r="M188" s="198"/>
      <c r="N188" s="198" t="e">
        <f>N186+#REF!</f>
        <v>#REF!</v>
      </c>
      <c r="O188" s="196">
        <f>O187*12</f>
        <v>6110035.6799999997</v>
      </c>
      <c r="P188" s="196"/>
      <c r="Q188" s="196"/>
      <c r="R188" s="199"/>
      <c r="S188" s="196">
        <f>R187+S187</f>
        <v>8485710.442499999</v>
      </c>
      <c r="T188" s="196"/>
      <c r="U188" s="196"/>
      <c r="V188" s="199"/>
      <c r="W188" s="196"/>
      <c r="X188" s="80"/>
      <c r="Y188" s="196"/>
      <c r="Z188" s="80"/>
      <c r="AA188" s="200"/>
      <c r="AB188" s="200"/>
      <c r="AC188" s="200"/>
      <c r="AE188" s="196"/>
      <c r="AG188" s="196"/>
    </row>
    <row r="189" spans="1:33" ht="13.5" x14ac:dyDescent="0.25">
      <c r="A189" s="201"/>
      <c r="B189" s="201"/>
      <c r="C189" s="202"/>
      <c r="D189" s="203"/>
      <c r="E189" s="204"/>
      <c r="F189" s="204"/>
      <c r="G189" s="204"/>
      <c r="H189" s="204"/>
      <c r="I189" s="204"/>
      <c r="J189" s="204"/>
      <c r="K189" s="204"/>
      <c r="L189" s="206"/>
      <c r="M189" s="205"/>
      <c r="N189" s="205"/>
      <c r="O189" s="204"/>
      <c r="P189" s="204"/>
      <c r="Q189" s="204"/>
      <c r="R189" s="204"/>
      <c r="S189" s="204"/>
      <c r="T189" s="204"/>
      <c r="U189" s="204"/>
      <c r="W189" s="204"/>
      <c r="X189" s="204"/>
      <c r="Y189" s="204"/>
      <c r="Z189" s="204"/>
      <c r="AA189" s="204"/>
      <c r="AB189" s="204"/>
      <c r="AC189" s="204"/>
      <c r="AE189" s="204"/>
      <c r="AG189" s="204"/>
    </row>
    <row r="190" spans="1:33" ht="13.5" x14ac:dyDescent="0.25">
      <c r="A190" s="201"/>
      <c r="B190" s="201"/>
      <c r="C190" s="202" t="s">
        <v>177</v>
      </c>
      <c r="D190" s="206"/>
      <c r="E190" s="206"/>
      <c r="F190" s="206"/>
      <c r="G190" s="206"/>
      <c r="H190" s="206"/>
      <c r="I190" s="206"/>
      <c r="J190" s="206"/>
      <c r="K190" s="206">
        <f>K113+K114+K115+K116+K142+K150+K159+K168+K175+K184</f>
        <v>107218.79999999999</v>
      </c>
      <c r="L190" s="206"/>
      <c r="M190" s="206"/>
      <c r="N190" s="206">
        <f t="shared" ref="N190:W190" si="225">N113+N114+N115+N116+N142+N150+N159+N168+N175+N184</f>
        <v>0</v>
      </c>
      <c r="O190" s="206">
        <f t="shared" si="225"/>
        <v>0</v>
      </c>
      <c r="P190" s="206">
        <f t="shared" si="225"/>
        <v>131760.01</v>
      </c>
      <c r="Q190" s="206">
        <f t="shared" si="225"/>
        <v>90063.791999999987</v>
      </c>
      <c r="R190" s="206">
        <f t="shared" si="225"/>
        <v>329042.60200000007</v>
      </c>
      <c r="S190" s="206">
        <f t="shared" si="225"/>
        <v>26804.699999999997</v>
      </c>
      <c r="T190" s="206"/>
      <c r="U190" s="206">
        <f>U113+U114+U115+U116+U142+U150+U159+U168+U175+U184</f>
        <v>355847.30200000008</v>
      </c>
      <c r="V190" s="206">
        <f t="shared" si="225"/>
        <v>286267.06374000001</v>
      </c>
      <c r="W190" s="206">
        <f t="shared" si="225"/>
        <v>309587.15273999993</v>
      </c>
      <c r="X190" s="206"/>
      <c r="Y190" s="206"/>
      <c r="Z190" s="206"/>
      <c r="AA190" s="206"/>
      <c r="AB190" s="206"/>
      <c r="AC190" s="206"/>
      <c r="AE190" s="206"/>
      <c r="AG190" s="206"/>
    </row>
    <row r="191" spans="1:33" ht="13.5" x14ac:dyDescent="0.25">
      <c r="A191" s="201"/>
      <c r="B191" s="207"/>
      <c r="C191" s="202" t="s">
        <v>178</v>
      </c>
      <c r="D191" s="205"/>
      <c r="E191" s="206"/>
      <c r="F191" s="206"/>
      <c r="G191" s="206"/>
      <c r="H191" s="206"/>
      <c r="I191" s="206"/>
      <c r="J191" s="206"/>
      <c r="K191" s="206">
        <f>K187-K190</f>
        <v>1996253.2700000003</v>
      </c>
      <c r="L191" s="206"/>
      <c r="M191" s="206"/>
      <c r="N191" s="206">
        <f t="shared" ref="N191:W191" si="226">N187-N190</f>
        <v>0</v>
      </c>
      <c r="O191" s="206">
        <f t="shared" si="226"/>
        <v>509169.64</v>
      </c>
      <c r="P191" s="206">
        <f t="shared" si="226"/>
        <v>2323524.3899999997</v>
      </c>
      <c r="Q191" s="206">
        <f t="shared" si="226"/>
        <v>2825307.8904999997</v>
      </c>
      <c r="R191" s="206">
        <f t="shared" si="226"/>
        <v>7627093.1404999997</v>
      </c>
      <c r="S191" s="206">
        <f t="shared" si="226"/>
        <v>502769.99999999994</v>
      </c>
      <c r="T191" s="206"/>
      <c r="U191" s="206">
        <f t="shared" si="226"/>
        <v>8125561.1505000005</v>
      </c>
      <c r="V191" s="206">
        <f t="shared" si="226"/>
        <v>6635571.0322349994</v>
      </c>
      <c r="W191" s="206">
        <f t="shared" si="226"/>
        <v>7069238.2009349987</v>
      </c>
      <c r="X191" s="206"/>
      <c r="Y191" s="206"/>
      <c r="Z191" s="206"/>
      <c r="AA191" s="206"/>
      <c r="AB191" s="206"/>
      <c r="AC191" s="206"/>
      <c r="AE191" s="206"/>
      <c r="AF191" s="85"/>
      <c r="AG191" s="206"/>
    </row>
    <row r="192" spans="1:33" ht="13.5" x14ac:dyDescent="0.25">
      <c r="A192" s="201"/>
      <c r="B192" s="207"/>
      <c r="C192" s="202" t="s">
        <v>214</v>
      </c>
      <c r="D192" s="205"/>
      <c r="E192" s="206"/>
      <c r="F192" s="206"/>
      <c r="G192" s="206"/>
      <c r="H192" s="206"/>
      <c r="I192" s="206"/>
      <c r="J192" s="206"/>
      <c r="K192" s="206">
        <f>SUM(K190:K191)</f>
        <v>2103472.0700000003</v>
      </c>
      <c r="L192" s="206">
        <f t="shared" ref="L192:W192" si="227">SUM(L190:L191)</f>
        <v>0</v>
      </c>
      <c r="M192" s="206">
        <f t="shared" si="227"/>
        <v>0</v>
      </c>
      <c r="N192" s="206">
        <f t="shared" si="227"/>
        <v>0</v>
      </c>
      <c r="O192" s="206">
        <f t="shared" si="227"/>
        <v>509169.64</v>
      </c>
      <c r="P192" s="206">
        <f t="shared" si="227"/>
        <v>2455284.3999999994</v>
      </c>
      <c r="Q192" s="206">
        <f t="shared" si="227"/>
        <v>2915371.6824999996</v>
      </c>
      <c r="R192" s="206">
        <f t="shared" si="227"/>
        <v>7956135.7424999997</v>
      </c>
      <c r="S192" s="206">
        <f t="shared" si="227"/>
        <v>529574.69999999995</v>
      </c>
      <c r="T192" s="206">
        <f t="shared" si="227"/>
        <v>0</v>
      </c>
      <c r="U192" s="206">
        <f t="shared" si="227"/>
        <v>8481408.4525000006</v>
      </c>
      <c r="V192" s="206">
        <f t="shared" si="227"/>
        <v>6921838.0959749995</v>
      </c>
      <c r="W192" s="206">
        <f t="shared" si="227"/>
        <v>7378825.3536749985</v>
      </c>
      <c r="X192" s="208"/>
      <c r="Y192" s="208"/>
      <c r="Z192" s="208"/>
      <c r="AA192" s="208"/>
      <c r="AB192" s="208"/>
      <c r="AC192" s="208"/>
      <c r="AE192" s="208"/>
      <c r="AF192" s="209"/>
      <c r="AG192" s="208"/>
    </row>
    <row r="193" spans="3:33" ht="13.5" x14ac:dyDescent="0.25">
      <c r="C193" s="202"/>
      <c r="D193" s="206"/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G193" s="206"/>
    </row>
    <row r="194" spans="3:33" ht="13.5" x14ac:dyDescent="0.25">
      <c r="C194" s="202" t="s">
        <v>215</v>
      </c>
      <c r="D194" s="206"/>
      <c r="K194" s="206"/>
      <c r="L194" s="206"/>
      <c r="M194" s="206"/>
      <c r="N194" s="206"/>
      <c r="O194" s="206"/>
      <c r="P194" s="206"/>
      <c r="Q194" s="206"/>
      <c r="R194" s="206"/>
      <c r="S194" s="206"/>
      <c r="T194" s="206"/>
      <c r="U194" s="206"/>
      <c r="W194" s="206"/>
      <c r="X194" s="206"/>
      <c r="Y194" s="206"/>
      <c r="Z194" s="206"/>
      <c r="AA194" s="206"/>
      <c r="AB194" s="206"/>
      <c r="AC194" s="206"/>
      <c r="AE194" s="206"/>
      <c r="AG194" s="206"/>
    </row>
    <row r="195" spans="3:33" ht="13.5" x14ac:dyDescent="0.25">
      <c r="C195" s="202" t="s">
        <v>177</v>
      </c>
      <c r="D195" s="206"/>
      <c r="K195" s="206">
        <f>K190*3</f>
        <v>321656.39999999997</v>
      </c>
      <c r="L195" s="206">
        <f t="shared" ref="L195:W195" si="228">L190*3</f>
        <v>0</v>
      </c>
      <c r="M195" s="206">
        <f t="shared" si="228"/>
        <v>0</v>
      </c>
      <c r="N195" s="206">
        <f t="shared" si="228"/>
        <v>0</v>
      </c>
      <c r="O195" s="206">
        <f t="shared" si="228"/>
        <v>0</v>
      </c>
      <c r="P195" s="206">
        <f t="shared" si="228"/>
        <v>395280.03</v>
      </c>
      <c r="Q195" s="206">
        <f t="shared" si="228"/>
        <v>270191.37599999993</v>
      </c>
      <c r="R195" s="206">
        <f t="shared" si="228"/>
        <v>987127.80600000022</v>
      </c>
      <c r="S195" s="206">
        <f t="shared" si="228"/>
        <v>80414.099999999991</v>
      </c>
      <c r="T195" s="206">
        <f t="shared" si="228"/>
        <v>0</v>
      </c>
      <c r="U195" s="206">
        <f>U190*3</f>
        <v>1067541.9060000002</v>
      </c>
      <c r="V195" s="206">
        <f t="shared" si="228"/>
        <v>858801.19122000004</v>
      </c>
      <c r="W195" s="206">
        <f t="shared" si="228"/>
        <v>928761.4582199998</v>
      </c>
      <c r="X195" s="206"/>
      <c r="Y195" s="206"/>
      <c r="Z195" s="206"/>
      <c r="AA195" s="206"/>
      <c r="AB195" s="206"/>
      <c r="AC195" s="206"/>
      <c r="AE195" s="206"/>
      <c r="AG195" s="206"/>
    </row>
    <row r="196" spans="3:33" ht="13.5" x14ac:dyDescent="0.25">
      <c r="C196" s="202" t="s">
        <v>178</v>
      </c>
      <c r="K196" s="206">
        <f>K191*3</f>
        <v>5988759.8100000005</v>
      </c>
      <c r="L196" s="206">
        <f t="shared" ref="L196:W196" si="229">L191*3</f>
        <v>0</v>
      </c>
      <c r="M196" s="206">
        <f t="shared" si="229"/>
        <v>0</v>
      </c>
      <c r="N196" s="206">
        <f t="shared" si="229"/>
        <v>0</v>
      </c>
      <c r="O196" s="206">
        <f t="shared" si="229"/>
        <v>1527508.92</v>
      </c>
      <c r="P196" s="206">
        <f t="shared" si="229"/>
        <v>6970573.169999999</v>
      </c>
      <c r="Q196" s="206">
        <f t="shared" si="229"/>
        <v>8475923.6714999992</v>
      </c>
      <c r="R196" s="206">
        <f t="shared" si="229"/>
        <v>22881279.421499997</v>
      </c>
      <c r="S196" s="206">
        <f t="shared" si="229"/>
        <v>1508309.9999999998</v>
      </c>
      <c r="T196" s="206">
        <f t="shared" si="229"/>
        <v>0</v>
      </c>
      <c r="U196" s="206">
        <f t="shared" si="229"/>
        <v>24376683.451500002</v>
      </c>
      <c r="V196" s="206">
        <f t="shared" si="229"/>
        <v>19906713.096704997</v>
      </c>
      <c r="W196" s="206">
        <f t="shared" si="229"/>
        <v>21207714.602804996</v>
      </c>
      <c r="X196" s="206"/>
      <c r="Y196" s="206"/>
      <c r="Z196" s="206"/>
      <c r="AA196" s="206"/>
      <c r="AB196" s="206"/>
      <c r="AC196" s="206"/>
      <c r="AE196" s="206"/>
      <c r="AG196" s="206"/>
    </row>
    <row r="197" spans="3:33" ht="13.5" x14ac:dyDescent="0.25">
      <c r="C197" s="219" t="s">
        <v>216</v>
      </c>
      <c r="D197" s="220"/>
      <c r="E197" s="220"/>
      <c r="F197" s="220"/>
      <c r="G197" s="220"/>
      <c r="H197" s="220"/>
      <c r="I197" s="220"/>
      <c r="J197" s="220"/>
      <c r="K197" s="221">
        <f>SUM(K195:K196)</f>
        <v>6310416.2100000009</v>
      </c>
      <c r="L197" s="221">
        <f t="shared" ref="L197:W197" si="230">SUM(L195:L196)</f>
        <v>0</v>
      </c>
      <c r="M197" s="221">
        <f t="shared" si="230"/>
        <v>0</v>
      </c>
      <c r="N197" s="221">
        <f t="shared" si="230"/>
        <v>0</v>
      </c>
      <c r="O197" s="221">
        <f t="shared" si="230"/>
        <v>1527508.92</v>
      </c>
      <c r="P197" s="221">
        <f t="shared" si="230"/>
        <v>7365853.1999999993</v>
      </c>
      <c r="Q197" s="221">
        <f t="shared" si="230"/>
        <v>8746115.0474999994</v>
      </c>
      <c r="R197" s="221">
        <f t="shared" si="230"/>
        <v>23868407.227499999</v>
      </c>
      <c r="S197" s="221">
        <f t="shared" si="230"/>
        <v>1588724.0999999999</v>
      </c>
      <c r="T197" s="221">
        <f t="shared" si="230"/>
        <v>0</v>
      </c>
      <c r="U197" s="221">
        <f t="shared" si="230"/>
        <v>25444225.357500002</v>
      </c>
      <c r="V197" s="221">
        <f t="shared" si="230"/>
        <v>20765514.287924998</v>
      </c>
      <c r="W197" s="221">
        <f t="shared" si="230"/>
        <v>22136476.061024997</v>
      </c>
      <c r="Y197" s="206"/>
    </row>
    <row r="198" spans="3:33" x14ac:dyDescent="0.2">
      <c r="Y198" s="206"/>
    </row>
    <row r="199" spans="3:33" x14ac:dyDescent="0.2">
      <c r="K199" s="206">
        <f>K187*3</f>
        <v>6310416.2100000009</v>
      </c>
      <c r="L199" s="206">
        <f t="shared" ref="L199:W199" si="231">L187*3</f>
        <v>0</v>
      </c>
      <c r="M199" s="206">
        <f t="shared" si="231"/>
        <v>0</v>
      </c>
      <c r="N199" s="206">
        <f t="shared" si="231"/>
        <v>0</v>
      </c>
      <c r="O199" s="206">
        <f t="shared" si="231"/>
        <v>1527508.92</v>
      </c>
      <c r="P199" s="206">
        <f t="shared" si="231"/>
        <v>7365853.1999999983</v>
      </c>
      <c r="Q199" s="206">
        <f t="shared" si="231"/>
        <v>8746115.0474999994</v>
      </c>
      <c r="R199" s="206">
        <f t="shared" si="231"/>
        <v>23868407.227499999</v>
      </c>
      <c r="S199" s="206">
        <f t="shared" si="231"/>
        <v>1588724.0999999999</v>
      </c>
      <c r="T199" s="206">
        <f t="shared" si="231"/>
        <v>511.08000000000004</v>
      </c>
      <c r="U199" s="206">
        <f t="shared" si="231"/>
        <v>25444225.357500002</v>
      </c>
      <c r="V199" s="206">
        <f t="shared" si="231"/>
        <v>20765514.287924998</v>
      </c>
      <c r="W199" s="206">
        <f t="shared" si="231"/>
        <v>22136476.061024994</v>
      </c>
      <c r="X199" s="206"/>
      <c r="Y199" s="206"/>
      <c r="Z199" s="206"/>
      <c r="AA199" s="206"/>
      <c r="AB199" s="206"/>
      <c r="AC199" s="206"/>
      <c r="AE199" s="206"/>
      <c r="AG199" s="206"/>
    </row>
    <row r="200" spans="3:33" x14ac:dyDescent="0.2">
      <c r="K200" s="206">
        <f>K199-K197</f>
        <v>0</v>
      </c>
      <c r="L200" s="206">
        <f t="shared" ref="L200:W200" si="232">L199-L197</f>
        <v>0</v>
      </c>
      <c r="M200" s="206">
        <f t="shared" si="232"/>
        <v>0</v>
      </c>
      <c r="N200" s="206">
        <f t="shared" si="232"/>
        <v>0</v>
      </c>
      <c r="O200" s="206">
        <f t="shared" si="232"/>
        <v>0</v>
      </c>
      <c r="P200" s="206">
        <f t="shared" si="232"/>
        <v>0</v>
      </c>
      <c r="Q200" s="206">
        <f t="shared" si="232"/>
        <v>0</v>
      </c>
      <c r="R200" s="206">
        <f t="shared" si="232"/>
        <v>0</v>
      </c>
      <c r="S200" s="206">
        <f t="shared" si="232"/>
        <v>0</v>
      </c>
      <c r="T200" s="206">
        <f t="shared" si="232"/>
        <v>511.08000000000004</v>
      </c>
      <c r="U200" s="206">
        <f t="shared" si="232"/>
        <v>0</v>
      </c>
      <c r="V200" s="206">
        <f t="shared" si="232"/>
        <v>0</v>
      </c>
      <c r="W200" s="206">
        <f t="shared" si="232"/>
        <v>0</v>
      </c>
    </row>
    <row r="201" spans="3:33" x14ac:dyDescent="0.2">
      <c r="K201" s="85"/>
    </row>
    <row r="202" spans="3:33" x14ac:dyDescent="0.2">
      <c r="K202" s="206">
        <f>ROUND(K187*2/12,2)</f>
        <v>350578.68</v>
      </c>
      <c r="Q202" s="210"/>
    </row>
    <row r="203" spans="3:33" x14ac:dyDescent="0.2">
      <c r="K203" s="206">
        <f>K202*3</f>
        <v>1051736.04</v>
      </c>
      <c r="Q203" s="210"/>
    </row>
    <row r="204" spans="3:33" x14ac:dyDescent="0.2">
      <c r="K204" s="85"/>
      <c r="L204" s="85"/>
    </row>
    <row r="205" spans="3:33" x14ac:dyDescent="0.2">
      <c r="K205" s="85"/>
      <c r="O205" s="211"/>
      <c r="P205" s="211"/>
      <c r="Q205" s="211"/>
      <c r="R205" s="212"/>
      <c r="S205" s="211"/>
      <c r="T205" s="211"/>
      <c r="U205" s="211"/>
      <c r="W205" s="211"/>
      <c r="X205" s="211"/>
      <c r="Y205" s="211"/>
      <c r="Z205" s="211"/>
      <c r="AA205" s="211"/>
      <c r="AB205" s="211"/>
      <c r="AC205" s="211"/>
      <c r="AE205" s="211"/>
      <c r="AG205" s="211"/>
    </row>
    <row r="212" spans="16:20" x14ac:dyDescent="0.2">
      <c r="P212" s="85"/>
      <c r="T212" s="85"/>
    </row>
  </sheetData>
  <autoFilter ref="A11:AH188"/>
  <mergeCells count="5">
    <mergeCell ref="A3:C3"/>
    <mergeCell ref="E5:L5"/>
    <mergeCell ref="L6:M6"/>
    <mergeCell ref="O7:R7"/>
    <mergeCell ref="O8:R8"/>
  </mergeCells>
  <pageMargins left="0.23622047244094491" right="0.23622047244094491" top="0.74803149606299213" bottom="0.74803149606299213" header="0.31496062992125984" footer="0.31496062992125984"/>
  <pageSetup paperSize="9" scale="60" fitToWidth="0" fitToHeight="4" orientation="landscape" r:id="rId1"/>
  <rowBreaks count="2" manualBreakCount="2">
    <brk id="89" max="16383" man="1"/>
    <brk id="176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212"/>
  <sheetViews>
    <sheetView topLeftCell="A151" workbookViewId="0">
      <selection sqref="A1:XFD1048576"/>
    </sheetView>
  </sheetViews>
  <sheetFormatPr defaultRowHeight="12.75" x14ac:dyDescent="0.2"/>
  <cols>
    <col min="1" max="1" width="26.28515625" customWidth="1"/>
    <col min="2" max="2" width="4.140625" customWidth="1"/>
    <col min="3" max="3" width="28.7109375" customWidth="1"/>
    <col min="4" max="4" width="11.28515625" bestFit="1" customWidth="1"/>
    <col min="5" max="5" width="0.140625" hidden="1" customWidth="1"/>
    <col min="6" max="6" width="13.7109375" hidden="1" customWidth="1"/>
    <col min="7" max="7" width="10.140625" hidden="1" customWidth="1"/>
    <col min="8" max="8" width="10.5703125" hidden="1" customWidth="1"/>
    <col min="9" max="9" width="12" hidden="1" customWidth="1"/>
    <col min="10" max="10" width="0.140625" customWidth="1"/>
    <col min="11" max="11" width="12.5703125" style="85" customWidth="1"/>
    <col min="12" max="12" width="17.7109375" customWidth="1"/>
    <col min="13" max="13" width="6" customWidth="1"/>
    <col min="14" max="14" width="8.42578125" hidden="1" customWidth="1"/>
    <col min="15" max="15" width="12.28515625" bestFit="1" customWidth="1"/>
    <col min="16" max="16" width="16.28515625" customWidth="1"/>
    <col min="17" max="17" width="13.5703125" customWidth="1"/>
    <col min="18" max="18" width="13" style="38" customWidth="1"/>
    <col min="19" max="19" width="12.28515625" bestFit="1" customWidth="1"/>
    <col min="20" max="20" width="14" customWidth="1"/>
    <col min="21" max="21" width="14.85546875" customWidth="1"/>
    <col min="22" max="22" width="13" customWidth="1"/>
    <col min="23" max="23" width="12.28515625" bestFit="1" customWidth="1"/>
    <col min="24" max="24" width="12.28515625" customWidth="1"/>
    <col min="25" max="25" width="15.85546875" bestFit="1" customWidth="1"/>
    <col min="26" max="26" width="12.28515625" customWidth="1"/>
    <col min="27" max="27" width="14.28515625" customWidth="1"/>
    <col min="28" max="29" width="12.28515625" customWidth="1"/>
    <col min="30" max="30" width="14.140625" customWidth="1"/>
    <col min="31" max="31" width="12.28515625" bestFit="1" customWidth="1"/>
    <col min="32" max="32" width="14.140625" customWidth="1"/>
    <col min="33" max="33" width="13.42578125" bestFit="1" customWidth="1"/>
    <col min="34" max="34" width="10.140625" bestFit="1" customWidth="1"/>
  </cols>
  <sheetData>
    <row r="1" spans="1:34" ht="15.75" x14ac:dyDescent="0.25">
      <c r="A1" s="1" t="s">
        <v>0</v>
      </c>
      <c r="B1" s="2"/>
      <c r="C1" s="1"/>
      <c r="D1" s="1"/>
      <c r="E1" s="3"/>
      <c r="F1" s="4"/>
      <c r="G1" s="5"/>
      <c r="H1" s="5"/>
      <c r="I1" s="5"/>
      <c r="J1" s="5"/>
      <c r="K1" s="223"/>
      <c r="L1" s="6"/>
      <c r="M1" s="7"/>
      <c r="N1" s="1"/>
      <c r="O1" s="1"/>
      <c r="P1" s="7" t="s">
        <v>1</v>
      </c>
      <c r="Q1" s="8"/>
      <c r="R1" s="9"/>
      <c r="S1" s="1"/>
      <c r="T1" s="7"/>
      <c r="U1" s="1"/>
      <c r="W1" s="1"/>
      <c r="X1" s="1"/>
      <c r="Y1" s="1"/>
      <c r="Z1" s="1"/>
      <c r="AA1" s="1"/>
      <c r="AB1" s="1"/>
      <c r="AC1" s="1"/>
      <c r="AE1" s="1"/>
      <c r="AG1" s="1"/>
    </row>
    <row r="2" spans="1:34" x14ac:dyDescent="0.2">
      <c r="A2" s="7" t="s">
        <v>2</v>
      </c>
      <c r="B2" s="2"/>
      <c r="C2" s="7"/>
      <c r="D2" s="1"/>
      <c r="E2" s="3"/>
      <c r="F2" s="4"/>
      <c r="G2" s="4"/>
      <c r="H2" s="4"/>
      <c r="I2" s="4"/>
      <c r="J2" s="4"/>
      <c r="K2" s="224"/>
      <c r="L2" s="10"/>
      <c r="M2" s="1"/>
      <c r="N2" s="1"/>
      <c r="O2" s="1"/>
      <c r="P2" s="11" t="s">
        <v>3</v>
      </c>
      <c r="Q2" s="12"/>
      <c r="R2" s="13"/>
      <c r="S2" s="1"/>
      <c r="T2" s="11"/>
      <c r="U2" s="1"/>
      <c r="W2" s="1"/>
      <c r="X2" s="1"/>
      <c r="Y2" s="1"/>
      <c r="Z2" s="1"/>
      <c r="AA2" s="1"/>
      <c r="AB2" s="1"/>
      <c r="AC2" s="1"/>
      <c r="AE2" s="1"/>
      <c r="AG2" s="1"/>
    </row>
    <row r="3" spans="1:34" ht="15.75" x14ac:dyDescent="0.2">
      <c r="A3" s="463" t="s">
        <v>4</v>
      </c>
      <c r="B3" s="464"/>
      <c r="C3" s="464"/>
      <c r="D3" s="14"/>
      <c r="E3" s="15"/>
      <c r="F3" s="16"/>
      <c r="G3" s="16"/>
      <c r="H3" s="16"/>
      <c r="I3" s="16"/>
      <c r="J3" s="16"/>
      <c r="K3" s="225"/>
      <c r="L3" s="17"/>
      <c r="M3" s="18"/>
      <c r="N3" s="19"/>
      <c r="O3" s="20"/>
      <c r="P3" s="21" t="s">
        <v>5</v>
      </c>
      <c r="Q3" s="22"/>
      <c r="R3" s="23"/>
      <c r="S3" s="20"/>
      <c r="T3" s="21"/>
      <c r="U3" s="20"/>
      <c r="W3" s="20"/>
      <c r="X3" s="20"/>
      <c r="Y3" s="20"/>
      <c r="Z3" s="20"/>
      <c r="AA3" s="20"/>
      <c r="AB3" s="20"/>
      <c r="AC3" s="20"/>
      <c r="AE3" s="20"/>
      <c r="AG3" s="20"/>
    </row>
    <row r="4" spans="1:34" ht="9.75" customHeight="1" x14ac:dyDescent="0.2">
      <c r="A4" s="24"/>
      <c r="B4" s="25"/>
      <c r="C4" s="222"/>
      <c r="D4" s="14"/>
      <c r="E4" s="15"/>
      <c r="F4" s="16"/>
      <c r="G4" s="16"/>
      <c r="H4" s="16"/>
      <c r="I4" s="16"/>
      <c r="J4" s="16"/>
      <c r="K4" s="225"/>
      <c r="L4" s="17"/>
      <c r="M4" s="18"/>
      <c r="N4" s="19"/>
      <c r="O4" s="20"/>
      <c r="P4" s="21"/>
      <c r="Q4" s="22"/>
      <c r="R4" s="23"/>
      <c r="S4" s="20"/>
      <c r="T4" s="21"/>
      <c r="U4" s="20"/>
      <c r="W4" s="20"/>
      <c r="X4" s="20"/>
      <c r="Y4" s="20"/>
      <c r="Z4" s="20"/>
      <c r="AA4" s="20"/>
      <c r="AB4" s="20"/>
      <c r="AC4" s="20"/>
      <c r="AE4" s="20"/>
      <c r="AG4" s="20"/>
    </row>
    <row r="5" spans="1:34" ht="19.5" hidden="1" x14ac:dyDescent="0.2">
      <c r="A5" s="19"/>
      <c r="B5" s="25"/>
      <c r="C5" s="27"/>
      <c r="D5" s="28"/>
      <c r="E5" s="465"/>
      <c r="F5" s="465"/>
      <c r="G5" s="465"/>
      <c r="H5" s="465"/>
      <c r="I5" s="465"/>
      <c r="J5" s="465"/>
      <c r="K5" s="465"/>
      <c r="L5" s="466"/>
      <c r="M5" s="19"/>
      <c r="N5" s="19"/>
      <c r="P5" s="29"/>
      <c r="Q5" s="30"/>
      <c r="R5" s="31"/>
      <c r="T5" s="29"/>
    </row>
    <row r="6" spans="1:34" ht="19.5" x14ac:dyDescent="0.2">
      <c r="A6" s="19"/>
      <c r="B6" s="25"/>
      <c r="C6" s="32"/>
      <c r="D6" s="28"/>
      <c r="E6" s="15"/>
      <c r="F6" s="16"/>
      <c r="G6" s="16"/>
      <c r="H6" s="16"/>
      <c r="I6" s="16"/>
      <c r="J6" s="16"/>
      <c r="K6" s="225"/>
      <c r="L6" s="465"/>
      <c r="M6" s="466"/>
      <c r="N6" s="19"/>
      <c r="O6" s="33"/>
      <c r="P6" s="33" t="s">
        <v>6</v>
      </c>
      <c r="Q6" s="33"/>
      <c r="R6" s="31"/>
      <c r="S6" s="33"/>
      <c r="T6" s="33"/>
      <c r="U6" s="33"/>
      <c r="W6" s="33"/>
      <c r="X6" s="33"/>
      <c r="Y6" s="33"/>
      <c r="Z6" s="33"/>
      <c r="AA6" s="33"/>
      <c r="AB6" s="33"/>
      <c r="AC6" s="33"/>
      <c r="AE6" s="33"/>
      <c r="AG6" s="33"/>
    </row>
    <row r="7" spans="1:34" ht="15.75" customHeight="1" x14ac:dyDescent="0.25">
      <c r="A7" s="34" t="s">
        <v>228</v>
      </c>
      <c r="B7" s="35"/>
      <c r="C7" s="34"/>
      <c r="D7" s="35"/>
      <c r="E7" s="36"/>
      <c r="F7" s="36"/>
      <c r="G7" s="36"/>
      <c r="H7" s="36"/>
      <c r="I7" s="36"/>
      <c r="J7" s="36"/>
      <c r="K7" s="226"/>
      <c r="L7" s="37"/>
      <c r="M7" s="19"/>
      <c r="N7" s="19"/>
      <c r="O7" s="467" t="s">
        <v>188</v>
      </c>
      <c r="P7" s="468"/>
      <c r="Q7" s="468"/>
      <c r="R7" s="468"/>
      <c r="T7" s="38"/>
    </row>
    <row r="8" spans="1:34" ht="19.5" customHeight="1" x14ac:dyDescent="0.2">
      <c r="A8" s="19"/>
      <c r="B8" s="25"/>
      <c r="C8" s="27"/>
      <c r="D8" s="39"/>
      <c r="E8" s="40"/>
      <c r="F8" s="41"/>
      <c r="G8" s="41"/>
      <c r="H8" s="41"/>
      <c r="I8" s="41"/>
      <c r="J8" s="41"/>
      <c r="K8" s="227"/>
      <c r="L8" s="42"/>
      <c r="M8" s="19"/>
      <c r="N8" s="19"/>
      <c r="O8" s="467"/>
      <c r="P8" s="468"/>
      <c r="Q8" s="468"/>
      <c r="R8" s="468"/>
      <c r="T8" s="214"/>
    </row>
    <row r="9" spans="1:34" ht="13.5" x14ac:dyDescent="0.25">
      <c r="A9" s="43"/>
      <c r="B9" s="44"/>
      <c r="C9" s="45"/>
      <c r="D9" s="43"/>
      <c r="E9" s="46"/>
      <c r="F9" s="47"/>
      <c r="G9" s="47"/>
      <c r="H9" s="47"/>
      <c r="I9" s="47"/>
      <c r="J9" s="47"/>
      <c r="K9" s="47"/>
      <c r="L9" s="48"/>
      <c r="M9" s="43"/>
      <c r="N9" s="43"/>
      <c r="O9" s="43"/>
      <c r="P9" s="43"/>
      <c r="Q9" s="44"/>
      <c r="R9" s="213" t="s">
        <v>179</v>
      </c>
      <c r="S9" s="43"/>
      <c r="T9" s="43"/>
      <c r="U9" s="43"/>
      <c r="W9" s="43"/>
      <c r="X9" s="49"/>
      <c r="Y9" s="43"/>
      <c r="Z9" s="49"/>
      <c r="AA9" s="49"/>
      <c r="AB9" s="49"/>
      <c r="AC9" s="49"/>
      <c r="AE9" s="43"/>
      <c r="AG9" s="43"/>
    </row>
    <row r="10" spans="1:34" ht="102" customHeight="1" x14ac:dyDescent="0.2">
      <c r="A10" s="50" t="s">
        <v>7</v>
      </c>
      <c r="B10" s="50" t="s">
        <v>8</v>
      </c>
      <c r="C10" s="50" t="s">
        <v>9</v>
      </c>
      <c r="D10" s="50" t="s">
        <v>10</v>
      </c>
      <c r="E10" s="50" t="s">
        <v>11</v>
      </c>
      <c r="F10" s="50" t="s">
        <v>11</v>
      </c>
      <c r="G10" s="50" t="s">
        <v>11</v>
      </c>
      <c r="H10" s="51" t="s">
        <v>12</v>
      </c>
      <c r="I10" s="50" t="s">
        <v>13</v>
      </c>
      <c r="J10" s="50"/>
      <c r="K10" s="228" t="s">
        <v>11</v>
      </c>
      <c r="L10" s="52" t="s">
        <v>14</v>
      </c>
      <c r="M10" s="53" t="s">
        <v>15</v>
      </c>
      <c r="N10" s="54" t="s">
        <v>16</v>
      </c>
      <c r="O10" s="55" t="s">
        <v>17</v>
      </c>
      <c r="P10" s="53" t="s">
        <v>18</v>
      </c>
      <c r="Q10" s="53" t="s">
        <v>19</v>
      </c>
      <c r="R10" s="56" t="s">
        <v>20</v>
      </c>
      <c r="S10" s="55" t="s">
        <v>21</v>
      </c>
      <c r="T10" s="53" t="s">
        <v>22</v>
      </c>
      <c r="U10" s="55" t="s">
        <v>20</v>
      </c>
      <c r="V10" s="56" t="s">
        <v>23</v>
      </c>
      <c r="W10" s="55" t="s">
        <v>24</v>
      </c>
      <c r="X10" s="57" t="s">
        <v>25</v>
      </c>
      <c r="Y10" s="55" t="s">
        <v>26</v>
      </c>
      <c r="Z10" s="57"/>
      <c r="AA10" s="57"/>
      <c r="AB10" s="57"/>
      <c r="AC10" s="57"/>
      <c r="AE10" s="55"/>
      <c r="AG10" s="55"/>
    </row>
    <row r="11" spans="1:34" ht="13.5" x14ac:dyDescent="0.2">
      <c r="A11" s="50" t="s">
        <v>27</v>
      </c>
      <c r="B11" s="50" t="s">
        <v>28</v>
      </c>
      <c r="C11" s="50" t="s">
        <v>29</v>
      </c>
      <c r="D11" s="50" t="s">
        <v>30</v>
      </c>
      <c r="E11" s="50"/>
      <c r="F11" s="50"/>
      <c r="G11" s="50"/>
      <c r="H11" s="50"/>
      <c r="I11" s="50"/>
      <c r="J11" s="50"/>
      <c r="K11" s="228" t="s">
        <v>31</v>
      </c>
      <c r="L11" s="52">
        <v>6</v>
      </c>
      <c r="M11" s="53">
        <v>7</v>
      </c>
      <c r="N11" s="54"/>
      <c r="O11" s="55">
        <v>8</v>
      </c>
      <c r="P11" s="53">
        <v>9</v>
      </c>
      <c r="Q11" s="53">
        <v>10</v>
      </c>
      <c r="R11" s="58">
        <v>11</v>
      </c>
      <c r="S11" s="55">
        <v>12</v>
      </c>
      <c r="T11" s="53">
        <v>13</v>
      </c>
      <c r="U11" s="55">
        <v>14</v>
      </c>
      <c r="V11" s="58">
        <v>15</v>
      </c>
      <c r="W11" s="55">
        <v>16</v>
      </c>
      <c r="X11" s="57"/>
      <c r="Y11" s="55"/>
      <c r="Z11" s="57"/>
      <c r="AA11" s="57"/>
      <c r="AB11" s="57"/>
      <c r="AC11" s="57"/>
      <c r="AE11" s="55"/>
      <c r="AG11" s="55"/>
    </row>
    <row r="12" spans="1:34" x14ac:dyDescent="0.2">
      <c r="A12" s="59" t="s">
        <v>32</v>
      </c>
      <c r="B12" s="60"/>
      <c r="C12" s="60"/>
      <c r="D12" s="60"/>
      <c r="E12" s="61"/>
      <c r="F12" s="62">
        <v>1.1000000000000001</v>
      </c>
      <c r="G12" s="62">
        <v>1.1000000000000001</v>
      </c>
      <c r="H12" s="62">
        <v>1.1000000000000001</v>
      </c>
      <c r="I12" s="62">
        <v>1.1000000000000001</v>
      </c>
      <c r="J12" s="62">
        <v>1.06</v>
      </c>
      <c r="K12" s="229"/>
      <c r="L12" s="63"/>
      <c r="M12" s="64"/>
      <c r="N12" s="64"/>
      <c r="O12" s="64"/>
      <c r="P12" s="65">
        <v>1.24</v>
      </c>
      <c r="Q12" s="66" t="s">
        <v>33</v>
      </c>
      <c r="R12" s="67"/>
      <c r="S12" s="64">
        <v>0.25</v>
      </c>
      <c r="T12" s="65"/>
      <c r="U12" s="64"/>
      <c r="V12" s="67"/>
      <c r="W12" s="64"/>
      <c r="X12" s="68"/>
      <c r="Y12" s="64"/>
      <c r="Z12" s="68"/>
      <c r="AA12" s="68"/>
      <c r="AB12" s="68"/>
      <c r="AC12" s="68"/>
      <c r="AE12" s="64"/>
      <c r="AG12" s="64"/>
    </row>
    <row r="13" spans="1:34" ht="15.75" customHeight="1" x14ac:dyDescent="0.2">
      <c r="A13" s="69"/>
      <c r="B13" s="70"/>
      <c r="C13" s="71" t="s">
        <v>34</v>
      </c>
      <c r="D13" s="72">
        <v>1</v>
      </c>
      <c r="E13" s="73">
        <v>12000</v>
      </c>
      <c r="F13" s="74">
        <f>ROUND(E13*F$12,2)</f>
        <v>13200</v>
      </c>
      <c r="G13" s="74">
        <f>F13*1.1*1.1</f>
        <v>15972.000000000004</v>
      </c>
      <c r="H13" s="74">
        <v>19740.75</v>
      </c>
      <c r="I13" s="74">
        <f>H13*$I$12</f>
        <v>21714.825000000001</v>
      </c>
      <c r="J13" s="74">
        <v>23017.714500000002</v>
      </c>
      <c r="K13" s="74">
        <v>33039.22</v>
      </c>
      <c r="L13" s="75" t="s">
        <v>35</v>
      </c>
      <c r="M13" s="76">
        <v>20</v>
      </c>
      <c r="N13" s="77"/>
      <c r="O13" s="78">
        <f>ROUND((K13*M13/100),2)</f>
        <v>6607.84</v>
      </c>
      <c r="P13" s="78">
        <f>ROUND(K13*P$12,2)</f>
        <v>40968.629999999997</v>
      </c>
      <c r="Q13" s="78">
        <f>K13*T13</f>
        <v>44272.554800000005</v>
      </c>
      <c r="R13" s="79">
        <f>K13+O13+P13+Q13</f>
        <v>124888.24480000001</v>
      </c>
      <c r="S13" s="78">
        <f>ROUND(K13*S$12,2)</f>
        <v>8259.81</v>
      </c>
      <c r="T13" s="78">
        <v>1.34</v>
      </c>
      <c r="U13" s="78">
        <f>K13+O13+P13+Q13+S13</f>
        <v>133148.05480000001</v>
      </c>
      <c r="V13" s="79">
        <f>R13*0.87</f>
        <v>108652.77297600001</v>
      </c>
      <c r="W13" s="78">
        <f>U13*0.87</f>
        <v>115838.80767600001</v>
      </c>
      <c r="X13" s="80">
        <v>3</v>
      </c>
      <c r="Y13" s="78">
        <v>3</v>
      </c>
      <c r="Z13" s="80">
        <f>X13-Y13</f>
        <v>0</v>
      </c>
      <c r="AA13" s="80">
        <f>K13*Z13</f>
        <v>0</v>
      </c>
      <c r="AB13" s="80">
        <f>K13*Y13</f>
        <v>99117.66</v>
      </c>
      <c r="AC13" s="80"/>
      <c r="AD13">
        <v>0.1</v>
      </c>
      <c r="AE13" s="78">
        <f>K13*AD13</f>
        <v>3303.9220000000005</v>
      </c>
      <c r="AF13">
        <v>0.2</v>
      </c>
      <c r="AG13" s="78">
        <f>AF13*K13</f>
        <v>6607.844000000001</v>
      </c>
    </row>
    <row r="14" spans="1:34" ht="16.5" customHeight="1" x14ac:dyDescent="0.2">
      <c r="A14" s="81"/>
      <c r="B14" s="82"/>
      <c r="C14" s="82" t="s">
        <v>36</v>
      </c>
      <c r="D14" s="72">
        <v>0</v>
      </c>
      <c r="E14" s="73">
        <v>11500</v>
      </c>
      <c r="F14" s="74">
        <f>ROUND(E14*F$12,2)</f>
        <v>12650</v>
      </c>
      <c r="G14" s="74">
        <f>F14*1.1*1.1+0.5</f>
        <v>15307.000000000004</v>
      </c>
      <c r="H14" s="74">
        <v>18918.22</v>
      </c>
      <c r="I14" s="74">
        <f>H14*$I$12</f>
        <v>20810.042000000001</v>
      </c>
      <c r="J14" s="74">
        <v>22058.644520000002</v>
      </c>
      <c r="K14" s="74"/>
      <c r="L14" s="75"/>
      <c r="M14" s="83"/>
      <c r="N14" s="84"/>
      <c r="O14" s="78">
        <f>ROUND((K14*M14/100),2)</f>
        <v>0</v>
      </c>
      <c r="P14" s="78">
        <f>ROUND(K14*P$12,2)</f>
        <v>0</v>
      </c>
      <c r="Q14" s="78">
        <f>K14*T14</f>
        <v>0</v>
      </c>
      <c r="R14" s="79">
        <f>K14+O14+P14+Q14</f>
        <v>0</v>
      </c>
      <c r="S14" s="78">
        <f>ROUND(K14*S$12,2)</f>
        <v>0</v>
      </c>
      <c r="T14" s="78">
        <v>1.1399999999999999</v>
      </c>
      <c r="U14" s="78">
        <f>K14+O14+P14+Q14+S14</f>
        <v>0</v>
      </c>
      <c r="V14" s="79">
        <f>R14*0.87</f>
        <v>0</v>
      </c>
      <c r="W14" s="78">
        <f t="shared" ref="W14:W86" si="0">U14*0.87</f>
        <v>0</v>
      </c>
      <c r="X14" s="80">
        <v>3</v>
      </c>
      <c r="Y14" s="78">
        <v>3</v>
      </c>
      <c r="Z14" s="80">
        <f t="shared" ref="Z14:Z91" si="1">X14-Y14</f>
        <v>0</v>
      </c>
      <c r="AA14" s="80">
        <f t="shared" ref="AA14:AA91" si="2">K14*Z14</f>
        <v>0</v>
      </c>
      <c r="AB14" s="80">
        <f t="shared" ref="AB14:AB91" si="3">K14*Y14</f>
        <v>0</v>
      </c>
      <c r="AC14" s="80"/>
      <c r="AD14">
        <v>0.1</v>
      </c>
      <c r="AE14" s="78">
        <f t="shared" ref="AE14:AE91" si="4">K14*AD14</f>
        <v>0</v>
      </c>
      <c r="AF14">
        <v>0.2</v>
      </c>
      <c r="AG14" s="78">
        <f t="shared" ref="AG14:AG91" si="5">AF14*K14</f>
        <v>0</v>
      </c>
      <c r="AH14" s="85">
        <f>R14+AG14</f>
        <v>0</v>
      </c>
    </row>
    <row r="15" spans="1:34" ht="16.5" customHeight="1" x14ac:dyDescent="0.2">
      <c r="A15" s="81"/>
      <c r="B15" s="82"/>
      <c r="C15" s="82" t="s">
        <v>37</v>
      </c>
      <c r="D15" s="72">
        <v>1</v>
      </c>
      <c r="E15" s="73"/>
      <c r="F15" s="74"/>
      <c r="G15" s="74"/>
      <c r="H15" s="74"/>
      <c r="I15" s="74"/>
      <c r="J15" s="74"/>
      <c r="K15" s="74">
        <v>17896.259999999998</v>
      </c>
      <c r="L15" s="75" t="s">
        <v>187</v>
      </c>
      <c r="M15" s="83">
        <v>10</v>
      </c>
      <c r="N15" s="84"/>
      <c r="O15" s="78">
        <f>ROUND((K15*M15/100),2)</f>
        <v>1789.63</v>
      </c>
      <c r="P15" s="78">
        <f>ROUND(K15*1.14,2)</f>
        <v>20401.740000000002</v>
      </c>
      <c r="Q15" s="78">
        <f>K15*T15</f>
        <v>27560.240399999999</v>
      </c>
      <c r="R15" s="79">
        <f>K15+O15+P15+Q15</f>
        <v>67647.8704</v>
      </c>
      <c r="S15" s="78">
        <f>ROUND(K15*S$12,2)</f>
        <v>4474.07</v>
      </c>
      <c r="T15" s="78">
        <v>1.54</v>
      </c>
      <c r="U15" s="78">
        <f>K15+O15+P15+Q15+S15</f>
        <v>72121.940399999992</v>
      </c>
      <c r="V15" s="79">
        <f>R15*0.87</f>
        <v>58853.647248000001</v>
      </c>
      <c r="W15" s="78">
        <f t="shared" si="0"/>
        <v>62746.088147999995</v>
      </c>
      <c r="X15" s="80">
        <v>3</v>
      </c>
      <c r="Y15" s="78">
        <v>3</v>
      </c>
      <c r="Z15" s="80">
        <f t="shared" si="1"/>
        <v>0</v>
      </c>
      <c r="AA15" s="80">
        <f t="shared" si="2"/>
        <v>0</v>
      </c>
      <c r="AB15" s="80">
        <f t="shared" si="3"/>
        <v>53688.78</v>
      </c>
      <c r="AC15" s="80"/>
      <c r="AD15">
        <v>1.1000000000000001</v>
      </c>
      <c r="AE15" s="78">
        <f t="shared" si="4"/>
        <v>19685.885999999999</v>
      </c>
      <c r="AF15">
        <v>1.2</v>
      </c>
      <c r="AG15" s="78">
        <f t="shared" si="5"/>
        <v>21475.511999999999</v>
      </c>
      <c r="AH15" s="85">
        <f>R15+AG15</f>
        <v>89123.382400000002</v>
      </c>
    </row>
    <row r="16" spans="1:34" x14ac:dyDescent="0.2">
      <c r="A16" s="86"/>
      <c r="B16" s="87"/>
      <c r="C16" s="87" t="s">
        <v>38</v>
      </c>
      <c r="D16" s="88">
        <f>SUM(D13:D15)</f>
        <v>2</v>
      </c>
      <c r="E16" s="89">
        <f>SUM(E13:E14)</f>
        <v>23500</v>
      </c>
      <c r="F16" s="89">
        <f>SUM(F13:F14)</f>
        <v>25850</v>
      </c>
      <c r="G16" s="89">
        <f>SUM(G13:G14)</f>
        <v>31279.000000000007</v>
      </c>
      <c r="H16" s="89">
        <f>SUM(H13:H14)</f>
        <v>38658.97</v>
      </c>
      <c r="I16" s="89">
        <f>SUM(I13:I14)</f>
        <v>42524.866999999998</v>
      </c>
      <c r="J16" s="89">
        <v>45076.359020000004</v>
      </c>
      <c r="K16" s="90">
        <f>SUM(K13:K15)</f>
        <v>50935.479999999996</v>
      </c>
      <c r="L16" s="90"/>
      <c r="M16" s="90"/>
      <c r="N16" s="90">
        <f t="shared" ref="N16" si="6">SUM(N13:N14)</f>
        <v>0</v>
      </c>
      <c r="O16" s="90">
        <f>SUM(O13:O15)</f>
        <v>8397.4700000000012</v>
      </c>
      <c r="P16" s="90">
        <f>SUM(P13:P15)</f>
        <v>61370.369999999995</v>
      </c>
      <c r="Q16" s="90">
        <f t="shared" ref="Q16:AH16" si="7">SUM(Q13:Q15)</f>
        <v>71832.795200000008</v>
      </c>
      <c r="R16" s="90">
        <f t="shared" si="7"/>
        <v>192536.1152</v>
      </c>
      <c r="S16" s="90">
        <f t="shared" si="7"/>
        <v>12733.88</v>
      </c>
      <c r="T16" s="90"/>
      <c r="U16" s="90">
        <f t="shared" si="7"/>
        <v>205269.9952</v>
      </c>
      <c r="V16" s="90">
        <f t="shared" si="7"/>
        <v>167506.420224</v>
      </c>
      <c r="W16" s="90">
        <f t="shared" si="7"/>
        <v>178584.89582400001</v>
      </c>
      <c r="X16" s="90">
        <f t="shared" si="7"/>
        <v>9</v>
      </c>
      <c r="Y16" s="90">
        <f t="shared" si="7"/>
        <v>9</v>
      </c>
      <c r="Z16" s="90">
        <f t="shared" si="7"/>
        <v>0</v>
      </c>
      <c r="AA16" s="90">
        <f t="shared" si="7"/>
        <v>0</v>
      </c>
      <c r="AB16" s="90">
        <f t="shared" si="7"/>
        <v>152806.44</v>
      </c>
      <c r="AC16" s="90">
        <f t="shared" si="7"/>
        <v>0</v>
      </c>
      <c r="AD16" s="90">
        <f t="shared" si="7"/>
        <v>1.3</v>
      </c>
      <c r="AE16" s="90">
        <f t="shared" si="7"/>
        <v>22989.807999999997</v>
      </c>
      <c r="AF16" s="90">
        <f t="shared" si="7"/>
        <v>1.6</v>
      </c>
      <c r="AG16" s="90">
        <f t="shared" si="7"/>
        <v>28083.356</v>
      </c>
      <c r="AH16" s="90">
        <f t="shared" si="7"/>
        <v>89123.382400000002</v>
      </c>
    </row>
    <row r="17" spans="1:34" x14ac:dyDescent="0.2">
      <c r="A17" s="92" t="s">
        <v>39</v>
      </c>
      <c r="B17" s="93"/>
      <c r="C17" s="93"/>
      <c r="D17" s="94"/>
      <c r="E17" s="95"/>
      <c r="F17" s="95"/>
      <c r="G17" s="95"/>
      <c r="H17" s="95"/>
      <c r="I17" s="95"/>
      <c r="J17" s="95"/>
      <c r="K17" s="90"/>
      <c r="L17" s="96"/>
      <c r="M17" s="97"/>
      <c r="N17" s="97"/>
      <c r="O17" s="98"/>
      <c r="P17" s="99" t="s">
        <v>40</v>
      </c>
      <c r="Q17" s="66" t="s">
        <v>41</v>
      </c>
      <c r="R17" s="79"/>
      <c r="S17" s="98"/>
      <c r="T17" s="99"/>
      <c r="U17" s="98"/>
      <c r="V17" s="100"/>
      <c r="W17" s="98"/>
      <c r="X17" s="80"/>
      <c r="Y17" s="98"/>
      <c r="Z17" s="80"/>
      <c r="AA17" s="80">
        <f t="shared" si="2"/>
        <v>0</v>
      </c>
      <c r="AB17" s="80">
        <f t="shared" si="3"/>
        <v>0</v>
      </c>
      <c r="AC17" s="101"/>
      <c r="AD17">
        <v>0.1</v>
      </c>
      <c r="AE17" s="98"/>
      <c r="AG17" s="98"/>
    </row>
    <row r="18" spans="1:34" x14ac:dyDescent="0.2">
      <c r="A18" s="102"/>
      <c r="B18" s="103"/>
      <c r="C18" s="104" t="s">
        <v>42</v>
      </c>
      <c r="D18" s="72">
        <v>1</v>
      </c>
      <c r="E18" s="73">
        <v>8500</v>
      </c>
      <c r="F18" s="74">
        <f t="shared" ref="F18:F23" si="8">ROUND(E18*F$12,2)</f>
        <v>9350</v>
      </c>
      <c r="G18" s="74">
        <f>F18*1.1*1.1+0.5</f>
        <v>11314.000000000002</v>
      </c>
      <c r="H18" s="74">
        <v>13983.03</v>
      </c>
      <c r="I18" s="74">
        <f t="shared" ref="I18:I23" si="9">H18*$I$12</f>
        <v>15381.333000000002</v>
      </c>
      <c r="J18" s="74">
        <v>16304.212980000004</v>
      </c>
      <c r="K18" s="74">
        <v>23402.77</v>
      </c>
      <c r="L18" s="105" t="s">
        <v>44</v>
      </c>
      <c r="M18" s="76">
        <v>30</v>
      </c>
      <c r="N18" s="76"/>
      <c r="O18" s="78">
        <f t="shared" ref="O18:O23" si="10">ROUND((K18*M18/100),2)</f>
        <v>7020.83</v>
      </c>
      <c r="P18" s="78">
        <f>ROUND(K18*1.24,2)</f>
        <v>29019.43</v>
      </c>
      <c r="Q18" s="78">
        <f t="shared" ref="Q18:Q22" si="11">K18*T18</f>
        <v>38380.542799999996</v>
      </c>
      <c r="R18" s="79">
        <f t="shared" ref="R18:R23" si="12">K18+O18+P18+Q18</f>
        <v>97823.572799999994</v>
      </c>
      <c r="S18" s="78">
        <f t="shared" ref="S18:S23" si="13">ROUND(K18*S$12,2)</f>
        <v>5850.69</v>
      </c>
      <c r="T18" s="78">
        <v>1.64</v>
      </c>
      <c r="U18" s="78">
        <f t="shared" ref="U18:U23" si="14">K18+O18+P18+Q18+S18</f>
        <v>103674.2628</v>
      </c>
      <c r="V18" s="79">
        <f t="shared" ref="V18:V86" si="15">R18*0.87</f>
        <v>85106.508335999999</v>
      </c>
      <c r="W18" s="78">
        <f t="shared" si="0"/>
        <v>90196.60863599999</v>
      </c>
      <c r="X18" s="80">
        <v>3</v>
      </c>
      <c r="Y18" s="78">
        <v>3</v>
      </c>
      <c r="Z18" s="80">
        <f t="shared" si="1"/>
        <v>0</v>
      </c>
      <c r="AA18" s="80">
        <f t="shared" si="2"/>
        <v>0</v>
      </c>
      <c r="AB18" s="80">
        <f t="shared" si="3"/>
        <v>70208.31</v>
      </c>
      <c r="AC18" s="80"/>
      <c r="AD18">
        <v>0.1</v>
      </c>
      <c r="AE18" s="78">
        <f t="shared" si="4"/>
        <v>2340.277</v>
      </c>
      <c r="AF18">
        <v>0.2</v>
      </c>
      <c r="AG18" s="78">
        <f t="shared" si="5"/>
        <v>4680.5540000000001</v>
      </c>
    </row>
    <row r="19" spans="1:34" x14ac:dyDescent="0.2">
      <c r="A19" s="102"/>
      <c r="B19" s="106"/>
      <c r="C19" s="82" t="s">
        <v>43</v>
      </c>
      <c r="D19" s="72">
        <v>1</v>
      </c>
      <c r="E19" s="73">
        <v>7700</v>
      </c>
      <c r="F19" s="74">
        <f t="shared" si="8"/>
        <v>8470</v>
      </c>
      <c r="G19" s="74">
        <f>F19*1.1*1.1+0.3</f>
        <v>10249</v>
      </c>
      <c r="H19" s="74">
        <v>12666.98</v>
      </c>
      <c r="I19" s="74">
        <f t="shared" si="9"/>
        <v>13933.678</v>
      </c>
      <c r="J19" s="74">
        <v>14769.698680000001</v>
      </c>
      <c r="K19" s="74">
        <v>21200.16</v>
      </c>
      <c r="L19" s="75" t="s">
        <v>46</v>
      </c>
      <c r="M19" s="76">
        <v>30</v>
      </c>
      <c r="N19" s="76"/>
      <c r="O19" s="78">
        <f t="shared" si="10"/>
        <v>6360.05</v>
      </c>
      <c r="P19" s="78">
        <f>ROUND(K19*1.14,2)</f>
        <v>24168.18</v>
      </c>
      <c r="Q19" s="78">
        <f t="shared" si="11"/>
        <v>32648.2464</v>
      </c>
      <c r="R19" s="79">
        <f t="shared" si="12"/>
        <v>84376.636400000003</v>
      </c>
      <c r="S19" s="78">
        <f t="shared" si="13"/>
        <v>5300.04</v>
      </c>
      <c r="T19" s="78">
        <v>1.54</v>
      </c>
      <c r="U19" s="78">
        <f t="shared" si="14"/>
        <v>89676.676399999997</v>
      </c>
      <c r="V19" s="79">
        <f t="shared" si="15"/>
        <v>73407.673668000003</v>
      </c>
      <c r="W19" s="78">
        <f t="shared" si="0"/>
        <v>78018.708467999997</v>
      </c>
      <c r="X19" s="80">
        <v>3</v>
      </c>
      <c r="Y19" s="78"/>
      <c r="Z19" s="80">
        <f t="shared" si="1"/>
        <v>3</v>
      </c>
      <c r="AA19" s="80">
        <f t="shared" si="2"/>
        <v>63600.479999999996</v>
      </c>
      <c r="AB19" s="80">
        <f t="shared" si="3"/>
        <v>0</v>
      </c>
      <c r="AC19" s="80"/>
      <c r="AD19">
        <v>0.1</v>
      </c>
      <c r="AE19" s="78">
        <f t="shared" si="4"/>
        <v>2120.0160000000001</v>
      </c>
      <c r="AF19">
        <v>0.2</v>
      </c>
      <c r="AG19" s="78">
        <f t="shared" si="5"/>
        <v>4240.0320000000002</v>
      </c>
    </row>
    <row r="20" spans="1:34" x14ac:dyDescent="0.2">
      <c r="A20" s="86"/>
      <c r="B20" s="107"/>
      <c r="C20" s="107" t="s">
        <v>182</v>
      </c>
      <c r="D20" s="108">
        <v>1</v>
      </c>
      <c r="E20" s="73">
        <v>6500</v>
      </c>
      <c r="F20" s="74">
        <f t="shared" si="8"/>
        <v>7150</v>
      </c>
      <c r="G20" s="74">
        <f>F20*1.1*1.1+0.5</f>
        <v>8652.0000000000018</v>
      </c>
      <c r="H20" s="74">
        <v>10692.91</v>
      </c>
      <c r="I20" s="74">
        <f t="shared" si="9"/>
        <v>11762.201000000001</v>
      </c>
      <c r="J20" s="74">
        <v>12467.933060000001</v>
      </c>
      <c r="K20" s="74">
        <v>17896.259999999998</v>
      </c>
      <c r="L20" s="75" t="s">
        <v>207</v>
      </c>
      <c r="M20" s="83">
        <v>30</v>
      </c>
      <c r="N20" s="83"/>
      <c r="O20" s="78">
        <f t="shared" si="10"/>
        <v>5368.88</v>
      </c>
      <c r="P20" s="78">
        <f>ROUND(K20*1.14,2)</f>
        <v>20401.740000000002</v>
      </c>
      <c r="Q20" s="78">
        <f t="shared" si="11"/>
        <v>27560.240399999999</v>
      </c>
      <c r="R20" s="79">
        <f t="shared" si="12"/>
        <v>71227.1204</v>
      </c>
      <c r="S20" s="78">
        <f t="shared" si="13"/>
        <v>4474.07</v>
      </c>
      <c r="T20" s="78">
        <v>1.54</v>
      </c>
      <c r="U20" s="78">
        <f t="shared" si="14"/>
        <v>75701.190399999992</v>
      </c>
      <c r="V20" s="79">
        <f t="shared" si="15"/>
        <v>61967.594747999996</v>
      </c>
      <c r="W20" s="78">
        <f t="shared" si="0"/>
        <v>65860.03564799999</v>
      </c>
      <c r="X20" s="80">
        <v>3</v>
      </c>
      <c r="Y20" s="78">
        <v>3</v>
      </c>
      <c r="Z20" s="80">
        <f t="shared" si="1"/>
        <v>0</v>
      </c>
      <c r="AA20" s="80">
        <f t="shared" si="2"/>
        <v>0</v>
      </c>
      <c r="AB20" s="80">
        <f t="shared" si="3"/>
        <v>53688.78</v>
      </c>
      <c r="AC20" s="80"/>
      <c r="AD20">
        <v>0.1</v>
      </c>
      <c r="AE20" s="78">
        <f t="shared" si="4"/>
        <v>1789.626</v>
      </c>
      <c r="AF20">
        <v>0.2</v>
      </c>
      <c r="AG20" s="78">
        <f t="shared" si="5"/>
        <v>3579.252</v>
      </c>
    </row>
    <row r="21" spans="1:34" x14ac:dyDescent="0.2">
      <c r="A21" s="86"/>
      <c r="B21" s="107"/>
      <c r="C21" s="107" t="s">
        <v>182</v>
      </c>
      <c r="D21" s="108">
        <v>1</v>
      </c>
      <c r="E21" s="73">
        <v>6500</v>
      </c>
      <c r="F21" s="74">
        <f t="shared" si="8"/>
        <v>7150</v>
      </c>
      <c r="G21" s="74">
        <f>F21*1.1*1.1+0.5</f>
        <v>8652.0000000000018</v>
      </c>
      <c r="H21" s="74">
        <v>10692.91</v>
      </c>
      <c r="I21" s="74">
        <f t="shared" si="9"/>
        <v>11762.201000000001</v>
      </c>
      <c r="J21" s="74">
        <v>12467.933060000001</v>
      </c>
      <c r="K21" s="74">
        <v>17896.259999999998</v>
      </c>
      <c r="L21" s="75" t="s">
        <v>47</v>
      </c>
      <c r="M21" s="76">
        <v>20</v>
      </c>
      <c r="N21" s="83"/>
      <c r="O21" s="78">
        <f t="shared" si="10"/>
        <v>3579.25</v>
      </c>
      <c r="P21" s="78">
        <f>ROUND(K21*1.14,2)</f>
        <v>20401.740000000002</v>
      </c>
      <c r="Q21" s="78">
        <f t="shared" si="11"/>
        <v>27560.240399999999</v>
      </c>
      <c r="R21" s="79">
        <f t="shared" si="12"/>
        <v>69437.490399999995</v>
      </c>
      <c r="S21" s="78">
        <f t="shared" si="13"/>
        <v>4474.07</v>
      </c>
      <c r="T21" s="78">
        <v>1.54</v>
      </c>
      <c r="U21" s="78">
        <f t="shared" si="14"/>
        <v>73911.560399999988</v>
      </c>
      <c r="V21" s="79">
        <f t="shared" si="15"/>
        <v>60410.616647999996</v>
      </c>
      <c r="W21" s="78">
        <f t="shared" si="0"/>
        <v>64303.05754799999</v>
      </c>
      <c r="X21" s="80">
        <v>3</v>
      </c>
      <c r="Y21" s="78">
        <v>2</v>
      </c>
      <c r="Z21" s="80">
        <f t="shared" si="1"/>
        <v>1</v>
      </c>
      <c r="AA21" s="80">
        <f t="shared" si="2"/>
        <v>17896.259999999998</v>
      </c>
      <c r="AB21" s="80">
        <f t="shared" si="3"/>
        <v>35792.519999999997</v>
      </c>
      <c r="AC21" s="80"/>
      <c r="AD21">
        <v>0.1</v>
      </c>
      <c r="AE21" s="78">
        <f t="shared" si="4"/>
        <v>1789.626</v>
      </c>
      <c r="AF21">
        <v>0.2</v>
      </c>
      <c r="AG21" s="78">
        <f t="shared" si="5"/>
        <v>3579.252</v>
      </c>
    </row>
    <row r="22" spans="1:34" x14ac:dyDescent="0.2">
      <c r="A22" s="102"/>
      <c r="B22" s="107"/>
      <c r="C22" s="107" t="s">
        <v>183</v>
      </c>
      <c r="D22" s="109">
        <v>1</v>
      </c>
      <c r="E22" s="73">
        <v>5600</v>
      </c>
      <c r="F22" s="74">
        <f t="shared" si="8"/>
        <v>6160</v>
      </c>
      <c r="G22" s="74">
        <f>F22*1.1*1.1+0.4</f>
        <v>7454.0000000000009</v>
      </c>
      <c r="H22" s="74">
        <v>9212.35</v>
      </c>
      <c r="I22" s="74">
        <f t="shared" si="9"/>
        <v>10133.585000000001</v>
      </c>
      <c r="J22" s="74">
        <v>10741.600100000001</v>
      </c>
      <c r="K22" s="74">
        <v>15418.33</v>
      </c>
      <c r="L22" s="110" t="s">
        <v>49</v>
      </c>
      <c r="M22" s="83"/>
      <c r="N22" s="76"/>
      <c r="O22" s="78">
        <f t="shared" si="10"/>
        <v>0</v>
      </c>
      <c r="P22" s="78">
        <f>ROUND(K22*1.14,2)</f>
        <v>17576.900000000001</v>
      </c>
      <c r="Q22" s="78">
        <f t="shared" si="11"/>
        <v>22202.395199999999</v>
      </c>
      <c r="R22" s="79">
        <f t="shared" si="12"/>
        <v>55197.625200000002</v>
      </c>
      <c r="S22" s="78">
        <f t="shared" si="13"/>
        <v>3854.58</v>
      </c>
      <c r="T22" s="78">
        <v>1.44</v>
      </c>
      <c r="U22" s="78">
        <f t="shared" si="14"/>
        <v>59052.205200000004</v>
      </c>
      <c r="V22" s="79">
        <f t="shared" si="15"/>
        <v>48021.933924000004</v>
      </c>
      <c r="W22" s="78">
        <f t="shared" si="0"/>
        <v>51375.418524000001</v>
      </c>
      <c r="X22" s="80">
        <v>3</v>
      </c>
      <c r="Y22" s="78">
        <v>3</v>
      </c>
      <c r="Z22" s="80">
        <f t="shared" si="1"/>
        <v>0</v>
      </c>
      <c r="AA22" s="80">
        <f t="shared" si="2"/>
        <v>0</v>
      </c>
      <c r="AB22" s="80">
        <f t="shared" si="3"/>
        <v>46254.99</v>
      </c>
      <c r="AC22" s="80"/>
      <c r="AD22">
        <v>0.1</v>
      </c>
      <c r="AE22" s="78">
        <f t="shared" si="4"/>
        <v>1541.8330000000001</v>
      </c>
      <c r="AF22">
        <v>0.2</v>
      </c>
      <c r="AG22" s="78">
        <f t="shared" si="5"/>
        <v>3083.6660000000002</v>
      </c>
    </row>
    <row r="23" spans="1:34" x14ac:dyDescent="0.2">
      <c r="A23" s="102"/>
      <c r="B23" s="107"/>
      <c r="C23" s="107" t="s">
        <v>182</v>
      </c>
      <c r="D23" s="109">
        <v>1</v>
      </c>
      <c r="E23" s="73">
        <v>5600</v>
      </c>
      <c r="F23" s="74">
        <f t="shared" si="8"/>
        <v>6160</v>
      </c>
      <c r="G23" s="74">
        <f>F23*1.1*1.1+0.4</f>
        <v>7454.0000000000009</v>
      </c>
      <c r="H23" s="74">
        <v>9212.35</v>
      </c>
      <c r="I23" s="74">
        <f t="shared" si="9"/>
        <v>10133.585000000001</v>
      </c>
      <c r="J23" s="74">
        <v>10741.600100000001</v>
      </c>
      <c r="K23" s="74">
        <v>17896.259999999998</v>
      </c>
      <c r="L23" s="75" t="s">
        <v>50</v>
      </c>
      <c r="M23" s="83">
        <v>30</v>
      </c>
      <c r="N23" s="76"/>
      <c r="O23" s="78">
        <f t="shared" si="10"/>
        <v>5368.88</v>
      </c>
      <c r="P23" s="78">
        <f>ROUND(K23*1.14,2)</f>
        <v>20401.740000000002</v>
      </c>
      <c r="Q23" s="78">
        <f>K23*T23</f>
        <v>27560.240399999999</v>
      </c>
      <c r="R23" s="79">
        <f t="shared" si="12"/>
        <v>71227.1204</v>
      </c>
      <c r="S23" s="78">
        <f t="shared" si="13"/>
        <v>4474.07</v>
      </c>
      <c r="T23" s="78">
        <v>1.54</v>
      </c>
      <c r="U23" s="78">
        <f t="shared" si="14"/>
        <v>75701.190399999992</v>
      </c>
      <c r="V23" s="79">
        <f t="shared" si="15"/>
        <v>61967.594747999996</v>
      </c>
      <c r="W23" s="78">
        <f t="shared" si="0"/>
        <v>65860.03564799999</v>
      </c>
      <c r="X23" s="80">
        <v>3</v>
      </c>
      <c r="Y23" s="78">
        <v>3</v>
      </c>
      <c r="Z23" s="80">
        <f t="shared" si="1"/>
        <v>0</v>
      </c>
      <c r="AA23" s="80">
        <f t="shared" si="2"/>
        <v>0</v>
      </c>
      <c r="AB23" s="80">
        <f t="shared" si="3"/>
        <v>53688.78</v>
      </c>
      <c r="AC23" s="80"/>
      <c r="AD23">
        <v>0.1</v>
      </c>
      <c r="AE23" s="78">
        <f t="shared" si="4"/>
        <v>1789.626</v>
      </c>
      <c r="AF23">
        <v>0.2</v>
      </c>
      <c r="AG23" s="78">
        <f t="shared" si="5"/>
        <v>3579.252</v>
      </c>
    </row>
    <row r="24" spans="1:34" x14ac:dyDescent="0.2">
      <c r="A24" s="102"/>
      <c r="B24" s="87"/>
      <c r="C24" s="87" t="s">
        <v>51</v>
      </c>
      <c r="D24" s="88">
        <f>SUM(D18:D23)</f>
        <v>6</v>
      </c>
      <c r="E24" s="95">
        <f t="shared" ref="E24:I24" si="16">SUM(E18:E23)</f>
        <v>40400</v>
      </c>
      <c r="F24" s="95">
        <f t="shared" si="16"/>
        <v>44440</v>
      </c>
      <c r="G24" s="95">
        <f t="shared" si="16"/>
        <v>53775</v>
      </c>
      <c r="H24" s="95">
        <f t="shared" si="16"/>
        <v>66460.53</v>
      </c>
      <c r="I24" s="95">
        <f t="shared" si="16"/>
        <v>73106.582999999999</v>
      </c>
      <c r="J24" s="95">
        <v>77492.977979999996</v>
      </c>
      <c r="K24" s="90">
        <f>SUM(K18:K23)</f>
        <v>113710.04</v>
      </c>
      <c r="L24" s="90"/>
      <c r="M24" s="90"/>
      <c r="N24" s="90">
        <f t="shared" ref="N24" si="17">SUM(N18:N23)</f>
        <v>0</v>
      </c>
      <c r="O24" s="90">
        <f>SUM(O18:O23)</f>
        <v>27697.890000000003</v>
      </c>
      <c r="P24" s="90">
        <f t="shared" ref="P24:W24" si="18">SUM(P18:P23)</f>
        <v>131969.73000000001</v>
      </c>
      <c r="Q24" s="90">
        <f t="shared" si="18"/>
        <v>175911.9056</v>
      </c>
      <c r="R24" s="90">
        <f t="shared" si="18"/>
        <v>449289.56560000003</v>
      </c>
      <c r="S24" s="90">
        <f t="shared" si="18"/>
        <v>28427.519999999997</v>
      </c>
      <c r="T24" s="90">
        <f t="shared" si="18"/>
        <v>9.2399999999999984</v>
      </c>
      <c r="U24" s="90">
        <f t="shared" si="18"/>
        <v>477717.08559999999</v>
      </c>
      <c r="V24" s="90">
        <f t="shared" si="18"/>
        <v>390881.92207199999</v>
      </c>
      <c r="W24" s="90">
        <f t="shared" si="18"/>
        <v>415613.86447199993</v>
      </c>
      <c r="X24" s="80"/>
      <c r="Y24" s="90"/>
      <c r="Z24" s="80"/>
      <c r="AA24" s="80">
        <f t="shared" si="2"/>
        <v>0</v>
      </c>
      <c r="AB24" s="80">
        <f t="shared" si="3"/>
        <v>0</v>
      </c>
      <c r="AC24" s="91"/>
      <c r="AD24">
        <v>0.1</v>
      </c>
      <c r="AE24" s="95">
        <f t="shared" si="4"/>
        <v>11371.004000000001</v>
      </c>
      <c r="AF24">
        <v>0.2</v>
      </c>
      <c r="AG24" s="95">
        <f t="shared" si="5"/>
        <v>22742.008000000002</v>
      </c>
    </row>
    <row r="25" spans="1:34" ht="51" x14ac:dyDescent="0.2">
      <c r="A25" s="59" t="s">
        <v>52</v>
      </c>
      <c r="B25" s="87"/>
      <c r="C25" s="87"/>
      <c r="D25" s="111"/>
      <c r="E25" s="95"/>
      <c r="F25" s="95"/>
      <c r="G25" s="95"/>
      <c r="H25" s="95"/>
      <c r="I25" s="95"/>
      <c r="J25" s="95"/>
      <c r="K25" s="90"/>
      <c r="L25" s="112"/>
      <c r="M25" s="113"/>
      <c r="N25" s="113"/>
      <c r="O25" s="95"/>
      <c r="P25" s="114">
        <v>1.19</v>
      </c>
      <c r="Q25" s="95"/>
      <c r="R25" s="79"/>
      <c r="S25" s="95"/>
      <c r="T25" s="114"/>
      <c r="U25" s="95"/>
      <c r="V25" s="115"/>
      <c r="W25" s="95"/>
      <c r="X25" s="80"/>
      <c r="Y25" s="95"/>
      <c r="Z25" s="80"/>
      <c r="AA25" s="80">
        <f t="shared" si="2"/>
        <v>0</v>
      </c>
      <c r="AB25" s="80">
        <f t="shared" si="3"/>
        <v>0</v>
      </c>
      <c r="AC25" s="116"/>
      <c r="AD25">
        <v>0.1</v>
      </c>
      <c r="AE25" s="95"/>
      <c r="AG25" s="95"/>
    </row>
    <row r="26" spans="1:34" ht="25.5" x14ac:dyDescent="0.2">
      <c r="A26" s="117"/>
      <c r="B26" s="87"/>
      <c r="C26" s="59" t="s">
        <v>193</v>
      </c>
      <c r="D26" s="108">
        <v>1</v>
      </c>
      <c r="E26" s="118"/>
      <c r="F26" s="118"/>
      <c r="G26" s="118">
        <f>11616*1.1+0.4</f>
        <v>12778</v>
      </c>
      <c r="H26" s="74">
        <v>15792.6</v>
      </c>
      <c r="I26" s="74">
        <f>H26*$I$12</f>
        <v>17371.86</v>
      </c>
      <c r="J26" s="74">
        <v>18414.171600000001</v>
      </c>
      <c r="K26" s="74">
        <f>ROUND('26.08.22'!K26*1.04,2)</f>
        <v>30285.94</v>
      </c>
      <c r="L26" s="75" t="s">
        <v>53</v>
      </c>
      <c r="M26" s="83">
        <v>30</v>
      </c>
      <c r="N26" s="83"/>
      <c r="O26" s="78">
        <f>ROUND((K26*M26/100),2)</f>
        <v>9085.7800000000007</v>
      </c>
      <c r="P26" s="118">
        <f>ROUND(K26*1.19,2)</f>
        <v>36040.269999999997</v>
      </c>
      <c r="Q26" s="78">
        <f>K26*T26</f>
        <v>46640.347600000001</v>
      </c>
      <c r="R26" s="79">
        <f>K26+O26+P26+Q26</f>
        <v>122052.3376</v>
      </c>
      <c r="S26" s="78">
        <f>ROUND(K26*S$12,2)</f>
        <v>7571.49</v>
      </c>
      <c r="T26" s="118">
        <v>1.54</v>
      </c>
      <c r="U26" s="78">
        <f>K26+O26+P26+Q26+S26</f>
        <v>129623.8276</v>
      </c>
      <c r="V26" s="79">
        <f t="shared" si="15"/>
        <v>106185.533712</v>
      </c>
      <c r="W26" s="78">
        <f t="shared" si="0"/>
        <v>112772.730012</v>
      </c>
      <c r="X26" s="80">
        <v>3</v>
      </c>
      <c r="Y26" s="78">
        <v>3</v>
      </c>
      <c r="Z26" s="80">
        <f t="shared" si="1"/>
        <v>0</v>
      </c>
      <c r="AA26" s="80">
        <f t="shared" si="2"/>
        <v>0</v>
      </c>
      <c r="AB26" s="80">
        <f t="shared" si="3"/>
        <v>90857.819999999992</v>
      </c>
      <c r="AC26" s="80"/>
      <c r="AD26">
        <v>0.1</v>
      </c>
      <c r="AE26" s="78">
        <f t="shared" si="4"/>
        <v>3028.5940000000001</v>
      </c>
      <c r="AF26">
        <v>0.2</v>
      </c>
      <c r="AG26" s="78">
        <f t="shared" si="5"/>
        <v>6057.1880000000001</v>
      </c>
    </row>
    <row r="27" spans="1:34" ht="15" customHeight="1" x14ac:dyDescent="0.2">
      <c r="A27" s="117"/>
      <c r="B27" s="87"/>
      <c r="C27" s="119" t="s">
        <v>54</v>
      </c>
      <c r="D27" s="108">
        <v>1</v>
      </c>
      <c r="E27" s="118"/>
      <c r="F27" s="118"/>
      <c r="G27" s="118">
        <f>10527*1.1+0.3</f>
        <v>11580</v>
      </c>
      <c r="H27" s="74">
        <v>14312.05</v>
      </c>
      <c r="I27" s="74">
        <f>H27*$I$12</f>
        <v>15743.255000000001</v>
      </c>
      <c r="J27" s="74">
        <v>16687.850300000002</v>
      </c>
      <c r="K27" s="74">
        <f>ROUND('26.08.22'!K27*1.04,2)</f>
        <v>23953.47</v>
      </c>
      <c r="L27" s="75" t="s">
        <v>210</v>
      </c>
      <c r="M27" s="76">
        <v>30</v>
      </c>
      <c r="N27" s="83"/>
      <c r="O27" s="78">
        <f>ROUND((K27*M27/100),2)</f>
        <v>7186.04</v>
      </c>
      <c r="P27" s="118">
        <f>ROUND(K27*1.19,2)</f>
        <v>28504.63</v>
      </c>
      <c r="Q27" s="78">
        <f>K27*T27</f>
        <v>36888.343800000002</v>
      </c>
      <c r="R27" s="79">
        <f>K27+O27+P27+Q27</f>
        <v>96532.483800000002</v>
      </c>
      <c r="S27" s="78">
        <f>ROUND(K27*S$12,2)</f>
        <v>5988.37</v>
      </c>
      <c r="T27" s="118">
        <v>1.54</v>
      </c>
      <c r="U27" s="78">
        <f>K27+O27+P27+Q27+S27</f>
        <v>102520.8538</v>
      </c>
      <c r="V27" s="79">
        <f>R27*0.87</f>
        <v>83983.260905999996</v>
      </c>
      <c r="W27" s="78">
        <f>U27*0.87</f>
        <v>89193.142806000003</v>
      </c>
      <c r="X27" s="80">
        <v>3</v>
      </c>
      <c r="Y27" s="78">
        <v>3</v>
      </c>
      <c r="Z27" s="80">
        <f t="shared" si="1"/>
        <v>0</v>
      </c>
      <c r="AA27" s="80">
        <f t="shared" si="2"/>
        <v>0</v>
      </c>
      <c r="AB27" s="80">
        <f t="shared" si="3"/>
        <v>71860.41</v>
      </c>
      <c r="AC27" s="80"/>
      <c r="AD27">
        <v>0.1</v>
      </c>
      <c r="AE27" s="78">
        <f t="shared" si="4"/>
        <v>2395.3470000000002</v>
      </c>
      <c r="AF27">
        <v>0.2</v>
      </c>
      <c r="AG27" s="78">
        <f t="shared" si="5"/>
        <v>4790.6940000000004</v>
      </c>
    </row>
    <row r="28" spans="1:34" ht="54" customHeight="1" x14ac:dyDescent="0.2">
      <c r="A28" s="120" t="s">
        <v>56</v>
      </c>
      <c r="B28" s="93"/>
      <c r="C28" s="93"/>
      <c r="D28" s="94"/>
      <c r="E28" s="95"/>
      <c r="F28" s="95"/>
      <c r="G28" s="95"/>
      <c r="H28" s="95"/>
      <c r="I28" s="95"/>
      <c r="J28" s="95"/>
      <c r="K28" s="90"/>
      <c r="L28" s="90"/>
      <c r="M28" s="90"/>
      <c r="N28" s="90"/>
      <c r="O28" s="90"/>
      <c r="P28" s="99" t="s">
        <v>40</v>
      </c>
      <c r="Q28" s="66" t="s">
        <v>57</v>
      </c>
      <c r="R28" s="79"/>
      <c r="S28" s="90"/>
      <c r="T28" s="99"/>
      <c r="U28" s="90"/>
      <c r="V28" s="121"/>
      <c r="W28" s="90"/>
      <c r="X28" s="80"/>
      <c r="Y28" s="90"/>
      <c r="Z28" s="80"/>
      <c r="AA28" s="80">
        <f t="shared" si="2"/>
        <v>0</v>
      </c>
      <c r="AB28" s="80">
        <f t="shared" si="3"/>
        <v>0</v>
      </c>
      <c r="AC28" s="91"/>
      <c r="AD28">
        <v>0.1</v>
      </c>
      <c r="AE28" s="90"/>
      <c r="AG28" s="90"/>
      <c r="AH28" s="85"/>
    </row>
    <row r="29" spans="1:34" x14ac:dyDescent="0.2">
      <c r="A29" s="102"/>
      <c r="B29" s="87"/>
      <c r="C29" s="87" t="s">
        <v>58</v>
      </c>
      <c r="D29" s="72">
        <v>1</v>
      </c>
      <c r="E29" s="73">
        <v>8500</v>
      </c>
      <c r="F29" s="74">
        <f t="shared" ref="F29:F49" si="19">ROUND(E29*F$12,2)</f>
        <v>9350</v>
      </c>
      <c r="G29" s="74">
        <f>9075*1.1+0.5</f>
        <v>9983</v>
      </c>
      <c r="H29" s="74">
        <v>12337.98</v>
      </c>
      <c r="I29" s="74">
        <f t="shared" ref="I29:I39" si="20">H29*$I$12</f>
        <v>13571.778</v>
      </c>
      <c r="J29" s="74">
        <v>14386.084680000002</v>
      </c>
      <c r="K29" s="74">
        <f>ROUND('26.08.22'!K29*1.04,2)</f>
        <v>23402.77</v>
      </c>
      <c r="L29" s="105" t="s">
        <v>59</v>
      </c>
      <c r="M29" s="76">
        <v>30</v>
      </c>
      <c r="N29" s="76"/>
      <c r="O29" s="78">
        <f>ROUND((K29*M29/100),2)</f>
        <v>7020.83</v>
      </c>
      <c r="P29" s="78">
        <f>ROUND(K29*1.24,2)</f>
        <v>29019.43</v>
      </c>
      <c r="Q29" s="78">
        <f>K29*T29</f>
        <v>36040.265800000001</v>
      </c>
      <c r="R29" s="79">
        <f>K29+O29+P29+Q29</f>
        <v>95483.295799999993</v>
      </c>
      <c r="S29" s="78">
        <f>ROUND(K29*S$12,2)</f>
        <v>5850.69</v>
      </c>
      <c r="T29" s="78">
        <v>1.54</v>
      </c>
      <c r="U29" s="78">
        <f>K29+O29+P29+Q29+S29</f>
        <v>101333.98579999999</v>
      </c>
      <c r="V29" s="79">
        <f t="shared" si="15"/>
        <v>83070.46734599999</v>
      </c>
      <c r="W29" s="78">
        <f t="shared" si="0"/>
        <v>88160.567645999996</v>
      </c>
      <c r="X29" s="80">
        <v>3</v>
      </c>
      <c r="Y29" s="78">
        <v>3</v>
      </c>
      <c r="Z29" s="80">
        <f t="shared" si="1"/>
        <v>0</v>
      </c>
      <c r="AA29" s="80">
        <f t="shared" si="2"/>
        <v>0</v>
      </c>
      <c r="AB29" s="80">
        <f t="shared" si="3"/>
        <v>70208.31</v>
      </c>
      <c r="AC29" s="80"/>
      <c r="AD29">
        <v>0.1</v>
      </c>
      <c r="AE29" s="78">
        <f t="shared" si="4"/>
        <v>2340.277</v>
      </c>
      <c r="AF29">
        <v>0.2</v>
      </c>
      <c r="AG29" s="78">
        <f t="shared" si="5"/>
        <v>4680.5540000000001</v>
      </c>
    </row>
    <row r="30" spans="1:34" x14ac:dyDescent="0.2">
      <c r="A30" s="102"/>
      <c r="B30" s="87"/>
      <c r="C30" s="122" t="s">
        <v>60</v>
      </c>
      <c r="D30" s="72">
        <v>1</v>
      </c>
      <c r="E30" s="73"/>
      <c r="F30" s="74"/>
      <c r="G30" s="74"/>
      <c r="H30" s="74"/>
      <c r="I30" s="74"/>
      <c r="J30" s="74"/>
      <c r="K30" s="74">
        <f>ROUND('26.08.22'!K30*1.04,2)</f>
        <v>21200.16</v>
      </c>
      <c r="L30" s="75" t="s">
        <v>61</v>
      </c>
      <c r="M30" s="76">
        <v>30</v>
      </c>
      <c r="N30" s="76"/>
      <c r="O30" s="78">
        <f>ROUND((K30*M30/100),2)</f>
        <v>6360.05</v>
      </c>
      <c r="P30" s="78">
        <f t="shared" ref="P30:P40" si="21">ROUND(K30*1.14,2)</f>
        <v>24168.18</v>
      </c>
      <c r="Q30" s="78">
        <f>K30*T30</f>
        <v>32648.2464</v>
      </c>
      <c r="R30" s="79">
        <f>K30+O30+P30+Q30</f>
        <v>84376.636400000003</v>
      </c>
      <c r="S30" s="78">
        <f>ROUND(K30*S$12,2)</f>
        <v>5300.04</v>
      </c>
      <c r="T30" s="78">
        <v>1.54</v>
      </c>
      <c r="U30" s="78">
        <f>K30+O30+P30+Q30+S30</f>
        <v>89676.676399999997</v>
      </c>
      <c r="V30" s="79">
        <f>R30*0.87</f>
        <v>73407.673668000003</v>
      </c>
      <c r="W30" s="78">
        <f>U30*0.87</f>
        <v>78018.708467999997</v>
      </c>
      <c r="X30" s="80"/>
      <c r="Y30" s="78"/>
      <c r="Z30" s="80"/>
      <c r="AA30" s="80"/>
      <c r="AB30" s="80"/>
      <c r="AC30" s="80"/>
      <c r="AE30" s="78"/>
      <c r="AG30" s="78"/>
    </row>
    <row r="31" spans="1:34" x14ac:dyDescent="0.2">
      <c r="A31" s="102"/>
      <c r="B31" s="87"/>
      <c r="C31" s="107" t="s">
        <v>45</v>
      </c>
      <c r="D31" s="72">
        <v>1</v>
      </c>
      <c r="E31" s="73">
        <v>6500</v>
      </c>
      <c r="F31" s="74">
        <f t="shared" si="19"/>
        <v>7150</v>
      </c>
      <c r="G31" s="74">
        <f>F31*1.1*1.1+0.5</f>
        <v>8652.0000000000018</v>
      </c>
      <c r="H31" s="74">
        <v>10692.91</v>
      </c>
      <c r="I31" s="74">
        <f t="shared" si="20"/>
        <v>11762.201000000001</v>
      </c>
      <c r="J31" s="74">
        <v>12467.933060000001</v>
      </c>
      <c r="K31" s="74">
        <f>ROUND('26.08.22'!K31*1.04,2)</f>
        <v>17896.259999999998</v>
      </c>
      <c r="L31" s="105" t="s">
        <v>62</v>
      </c>
      <c r="M31" s="76">
        <v>30</v>
      </c>
      <c r="N31" s="76"/>
      <c r="O31" s="78">
        <f t="shared" ref="O31:O40" si="22">ROUND((K31*M31/100),2)</f>
        <v>5368.88</v>
      </c>
      <c r="P31" s="78">
        <f t="shared" si="21"/>
        <v>20401.740000000002</v>
      </c>
      <c r="Q31" s="78">
        <f t="shared" ref="Q31:Q40" si="23">K31*T31</f>
        <v>27560.240399999999</v>
      </c>
      <c r="R31" s="79">
        <f t="shared" ref="R31:R40" si="24">K31+O31+P31+Q31</f>
        <v>71227.1204</v>
      </c>
      <c r="S31" s="78">
        <f t="shared" ref="S31:S40" si="25">ROUND(K31*S$12,2)</f>
        <v>4474.07</v>
      </c>
      <c r="T31" s="78">
        <v>1.54</v>
      </c>
      <c r="U31" s="78">
        <f t="shared" ref="U31:U40" si="26">K31+O31+P31+Q31+S31</f>
        <v>75701.190399999992</v>
      </c>
      <c r="V31" s="79">
        <f t="shared" si="15"/>
        <v>61967.594747999996</v>
      </c>
      <c r="W31" s="78">
        <f t="shared" si="0"/>
        <v>65860.03564799999</v>
      </c>
      <c r="X31" s="80">
        <v>3</v>
      </c>
      <c r="Y31" s="78">
        <v>3</v>
      </c>
      <c r="Z31" s="80">
        <f t="shared" si="1"/>
        <v>0</v>
      </c>
      <c r="AA31" s="80">
        <f t="shared" si="2"/>
        <v>0</v>
      </c>
      <c r="AB31" s="80">
        <f t="shared" si="3"/>
        <v>53688.78</v>
      </c>
      <c r="AC31" s="80"/>
      <c r="AD31">
        <v>0.1</v>
      </c>
      <c r="AE31" s="78">
        <f t="shared" si="4"/>
        <v>1789.626</v>
      </c>
      <c r="AF31">
        <v>0.2</v>
      </c>
      <c r="AG31" s="78">
        <f t="shared" si="5"/>
        <v>3579.252</v>
      </c>
    </row>
    <row r="32" spans="1:34" x14ac:dyDescent="0.2">
      <c r="A32" s="102"/>
      <c r="B32" s="107"/>
      <c r="C32" s="107" t="s">
        <v>45</v>
      </c>
      <c r="D32" s="72">
        <v>1</v>
      </c>
      <c r="E32" s="73">
        <v>6500</v>
      </c>
      <c r="F32" s="74">
        <f t="shared" si="19"/>
        <v>7150</v>
      </c>
      <c r="G32" s="74">
        <f>F32*1.1*1.1+0.5</f>
        <v>8652.0000000000018</v>
      </c>
      <c r="H32" s="74">
        <v>10692.91</v>
      </c>
      <c r="I32" s="74">
        <f t="shared" si="20"/>
        <v>11762.201000000001</v>
      </c>
      <c r="J32" s="74">
        <v>12467.933060000001</v>
      </c>
      <c r="K32" s="74">
        <f>ROUND('26.08.22'!K32*1.04,2)</f>
        <v>17896.259999999998</v>
      </c>
      <c r="L32" s="75" t="s">
        <v>63</v>
      </c>
      <c r="M32" s="83">
        <v>30</v>
      </c>
      <c r="N32" s="76"/>
      <c r="O32" s="78">
        <f t="shared" si="22"/>
        <v>5368.88</v>
      </c>
      <c r="P32" s="78">
        <f t="shared" si="21"/>
        <v>20401.740000000002</v>
      </c>
      <c r="Q32" s="78">
        <f t="shared" si="23"/>
        <v>27560.240399999999</v>
      </c>
      <c r="R32" s="79">
        <f t="shared" si="24"/>
        <v>71227.1204</v>
      </c>
      <c r="S32" s="78">
        <f t="shared" si="25"/>
        <v>4474.07</v>
      </c>
      <c r="T32" s="78">
        <v>1.54</v>
      </c>
      <c r="U32" s="78">
        <f t="shared" si="26"/>
        <v>75701.190399999992</v>
      </c>
      <c r="V32" s="79">
        <f t="shared" si="15"/>
        <v>61967.594747999996</v>
      </c>
      <c r="W32" s="78">
        <f t="shared" si="0"/>
        <v>65860.03564799999</v>
      </c>
      <c r="X32" s="80">
        <v>3</v>
      </c>
      <c r="Y32" s="78">
        <v>3</v>
      </c>
      <c r="Z32" s="80">
        <f t="shared" si="1"/>
        <v>0</v>
      </c>
      <c r="AA32" s="80">
        <f t="shared" si="2"/>
        <v>0</v>
      </c>
      <c r="AB32" s="80">
        <f t="shared" si="3"/>
        <v>53688.78</v>
      </c>
      <c r="AC32" s="80"/>
      <c r="AD32">
        <v>0.1</v>
      </c>
      <c r="AE32" s="78">
        <f t="shared" si="4"/>
        <v>1789.626</v>
      </c>
      <c r="AF32">
        <v>0.2</v>
      </c>
      <c r="AG32" s="78">
        <f t="shared" si="5"/>
        <v>3579.252</v>
      </c>
    </row>
    <row r="33" spans="1:33" x14ac:dyDescent="0.2">
      <c r="A33" s="123"/>
      <c r="B33" s="107"/>
      <c r="C33" s="107" t="s">
        <v>45</v>
      </c>
      <c r="D33" s="109">
        <v>1</v>
      </c>
      <c r="E33" s="73">
        <v>6500</v>
      </c>
      <c r="F33" s="74">
        <f t="shared" si="19"/>
        <v>7150</v>
      </c>
      <c r="G33" s="74">
        <f>F33*1.1*1.1+0.5</f>
        <v>8652.0000000000018</v>
      </c>
      <c r="H33" s="74">
        <v>10692.91</v>
      </c>
      <c r="I33" s="74">
        <f t="shared" si="20"/>
        <v>11762.201000000001</v>
      </c>
      <c r="J33" s="74">
        <v>12467.933060000001</v>
      </c>
      <c r="K33" s="74">
        <f>ROUND('26.08.22'!K33*1.04,2)</f>
        <v>17896.259999999998</v>
      </c>
      <c r="L33" s="105" t="s">
        <v>201</v>
      </c>
      <c r="M33" s="76">
        <v>30</v>
      </c>
      <c r="N33" s="124"/>
      <c r="O33" s="78">
        <f t="shared" si="22"/>
        <v>5368.88</v>
      </c>
      <c r="P33" s="78">
        <f t="shared" si="21"/>
        <v>20401.740000000002</v>
      </c>
      <c r="Q33" s="78">
        <f t="shared" si="23"/>
        <v>27560.240399999999</v>
      </c>
      <c r="R33" s="79">
        <f t="shared" si="24"/>
        <v>71227.1204</v>
      </c>
      <c r="S33" s="78">
        <f t="shared" si="25"/>
        <v>4474.07</v>
      </c>
      <c r="T33" s="78">
        <v>1.54</v>
      </c>
      <c r="U33" s="78">
        <f t="shared" si="26"/>
        <v>75701.190399999992</v>
      </c>
      <c r="V33" s="79">
        <f t="shared" si="15"/>
        <v>61967.594747999996</v>
      </c>
      <c r="W33" s="78">
        <f t="shared" si="0"/>
        <v>65860.03564799999</v>
      </c>
      <c r="X33" s="80">
        <v>3</v>
      </c>
      <c r="Y33" s="78">
        <v>3</v>
      </c>
      <c r="Z33" s="80">
        <f t="shared" si="1"/>
        <v>0</v>
      </c>
      <c r="AA33" s="80">
        <f t="shared" si="2"/>
        <v>0</v>
      </c>
      <c r="AB33" s="80">
        <f t="shared" si="3"/>
        <v>53688.78</v>
      </c>
      <c r="AC33" s="80"/>
      <c r="AD33">
        <v>0.1</v>
      </c>
      <c r="AE33" s="78">
        <f t="shared" si="4"/>
        <v>1789.626</v>
      </c>
      <c r="AF33">
        <v>0.2</v>
      </c>
      <c r="AG33" s="78">
        <f t="shared" si="5"/>
        <v>3579.252</v>
      </c>
    </row>
    <row r="34" spans="1:33" x14ac:dyDescent="0.2">
      <c r="A34" s="102"/>
      <c r="B34" s="107"/>
      <c r="C34" s="107" t="s">
        <v>45</v>
      </c>
      <c r="D34" s="109">
        <v>1</v>
      </c>
      <c r="E34" s="73">
        <v>5600</v>
      </c>
      <c r="F34" s="74">
        <v>7150</v>
      </c>
      <c r="G34" s="74">
        <f>F34*1.1*1.1+0.5</f>
        <v>8652.0000000000018</v>
      </c>
      <c r="H34" s="74">
        <v>10692.91</v>
      </c>
      <c r="I34" s="74">
        <f t="shared" si="20"/>
        <v>11762.201000000001</v>
      </c>
      <c r="J34" s="74">
        <v>12467.933060000001</v>
      </c>
      <c r="K34" s="74">
        <f>ROUND('26.08.22'!K34*1.04,2)</f>
        <v>17896.259999999998</v>
      </c>
      <c r="L34" s="105" t="s">
        <v>64</v>
      </c>
      <c r="M34" s="76">
        <v>30</v>
      </c>
      <c r="N34" s="76"/>
      <c r="O34" s="78">
        <f t="shared" si="22"/>
        <v>5368.88</v>
      </c>
      <c r="P34" s="78">
        <f t="shared" si="21"/>
        <v>20401.740000000002</v>
      </c>
      <c r="Q34" s="78">
        <f t="shared" si="23"/>
        <v>27560.240399999999</v>
      </c>
      <c r="R34" s="79">
        <f t="shared" si="24"/>
        <v>71227.1204</v>
      </c>
      <c r="S34" s="78">
        <f t="shared" si="25"/>
        <v>4474.07</v>
      </c>
      <c r="T34" s="78">
        <v>1.54</v>
      </c>
      <c r="U34" s="78">
        <f t="shared" si="26"/>
        <v>75701.190399999992</v>
      </c>
      <c r="V34" s="79">
        <f t="shared" si="15"/>
        <v>61967.594747999996</v>
      </c>
      <c r="W34" s="78">
        <f t="shared" si="0"/>
        <v>65860.03564799999</v>
      </c>
      <c r="X34" s="80">
        <v>3</v>
      </c>
      <c r="Y34" s="78">
        <v>3</v>
      </c>
      <c r="Z34" s="80">
        <f t="shared" si="1"/>
        <v>0</v>
      </c>
      <c r="AA34" s="80">
        <f t="shared" si="2"/>
        <v>0</v>
      </c>
      <c r="AB34" s="80">
        <f t="shared" si="3"/>
        <v>53688.78</v>
      </c>
      <c r="AC34" s="80"/>
      <c r="AD34">
        <v>0.1</v>
      </c>
      <c r="AE34" s="78">
        <f t="shared" si="4"/>
        <v>1789.626</v>
      </c>
      <c r="AF34">
        <v>0.2</v>
      </c>
      <c r="AG34" s="78">
        <f t="shared" si="5"/>
        <v>3579.252</v>
      </c>
    </row>
    <row r="35" spans="1:33" x14ac:dyDescent="0.2">
      <c r="A35" s="102"/>
      <c r="B35" s="107"/>
      <c r="C35" s="107" t="s">
        <v>45</v>
      </c>
      <c r="D35" s="109">
        <v>1</v>
      </c>
      <c r="E35" s="73">
        <v>5600</v>
      </c>
      <c r="F35" s="74">
        <f>ROUND(E35*F$12,2)</f>
        <v>6160</v>
      </c>
      <c r="G35" s="74">
        <f>F35*1.1*1.1+0.4</f>
        <v>7454.0000000000009</v>
      </c>
      <c r="H35" s="74">
        <v>9212.35</v>
      </c>
      <c r="I35" s="74">
        <f>H35*$I$12</f>
        <v>10133.585000000001</v>
      </c>
      <c r="J35" s="74">
        <v>10741.600100000001</v>
      </c>
      <c r="K35" s="74">
        <f>ROUND('26.08.22'!K35*1.04,2)</f>
        <v>17896.259999999998</v>
      </c>
      <c r="L35" s="105" t="s">
        <v>185</v>
      </c>
      <c r="M35" s="83">
        <v>30</v>
      </c>
      <c r="N35" s="76"/>
      <c r="O35" s="78">
        <f t="shared" si="22"/>
        <v>5368.88</v>
      </c>
      <c r="P35" s="78">
        <f t="shared" si="21"/>
        <v>20401.740000000002</v>
      </c>
      <c r="Q35" s="78">
        <f t="shared" si="23"/>
        <v>27560.240399999999</v>
      </c>
      <c r="R35" s="79">
        <f t="shared" si="24"/>
        <v>71227.1204</v>
      </c>
      <c r="S35" s="78">
        <f t="shared" si="25"/>
        <v>4474.07</v>
      </c>
      <c r="T35" s="78">
        <v>1.54</v>
      </c>
      <c r="U35" s="78">
        <f t="shared" si="26"/>
        <v>75701.190399999992</v>
      </c>
      <c r="V35" s="79">
        <f>R35*0.87</f>
        <v>61967.594747999996</v>
      </c>
      <c r="W35" s="78">
        <f>U35*0.87</f>
        <v>65860.03564799999</v>
      </c>
      <c r="X35" s="80">
        <v>3</v>
      </c>
      <c r="Y35" s="78">
        <v>3</v>
      </c>
      <c r="Z35" s="80">
        <f t="shared" si="1"/>
        <v>0</v>
      </c>
      <c r="AA35" s="80">
        <f t="shared" si="2"/>
        <v>0</v>
      </c>
      <c r="AB35" s="80">
        <f t="shared" si="3"/>
        <v>53688.78</v>
      </c>
      <c r="AC35" s="80"/>
      <c r="AD35">
        <v>0.1</v>
      </c>
      <c r="AE35" s="78">
        <f t="shared" si="4"/>
        <v>1789.626</v>
      </c>
      <c r="AF35">
        <v>0.2</v>
      </c>
      <c r="AG35" s="78">
        <f t="shared" si="5"/>
        <v>3579.252</v>
      </c>
    </row>
    <row r="36" spans="1:33" x14ac:dyDescent="0.2">
      <c r="A36" s="102"/>
      <c r="B36" s="107"/>
      <c r="C36" s="107" t="s">
        <v>45</v>
      </c>
      <c r="D36" s="109">
        <v>1</v>
      </c>
      <c r="E36" s="73">
        <v>5600</v>
      </c>
      <c r="F36" s="74">
        <f t="shared" si="19"/>
        <v>6160</v>
      </c>
      <c r="G36" s="74">
        <f>F36*1.1*1.1+0.4</f>
        <v>7454.0000000000009</v>
      </c>
      <c r="H36" s="74">
        <v>9212.35</v>
      </c>
      <c r="I36" s="74">
        <f t="shared" si="20"/>
        <v>10133.585000000001</v>
      </c>
      <c r="J36" s="74">
        <v>10741.600100000001</v>
      </c>
      <c r="K36" s="74">
        <f>ROUND('26.08.22'!K36*1.04,2)</f>
        <v>17896.259999999998</v>
      </c>
      <c r="L36" s="105" t="s">
        <v>65</v>
      </c>
      <c r="M36" s="83">
        <v>30</v>
      </c>
      <c r="N36" s="76"/>
      <c r="O36" s="78">
        <f t="shared" si="22"/>
        <v>5368.88</v>
      </c>
      <c r="P36" s="78">
        <f t="shared" si="21"/>
        <v>20401.740000000002</v>
      </c>
      <c r="Q36" s="78">
        <f t="shared" si="23"/>
        <v>27560.240399999999</v>
      </c>
      <c r="R36" s="79">
        <f t="shared" si="24"/>
        <v>71227.1204</v>
      </c>
      <c r="S36" s="78">
        <f t="shared" si="25"/>
        <v>4474.07</v>
      </c>
      <c r="T36" s="78">
        <v>1.54</v>
      </c>
      <c r="U36" s="78">
        <f t="shared" si="26"/>
        <v>75701.190399999992</v>
      </c>
      <c r="V36" s="79">
        <f t="shared" si="15"/>
        <v>61967.594747999996</v>
      </c>
      <c r="W36" s="78">
        <f t="shared" si="0"/>
        <v>65860.03564799999</v>
      </c>
      <c r="X36" s="80">
        <v>3</v>
      </c>
      <c r="Y36" s="78">
        <v>3</v>
      </c>
      <c r="Z36" s="80">
        <f t="shared" si="1"/>
        <v>0</v>
      </c>
      <c r="AA36" s="80">
        <f t="shared" si="2"/>
        <v>0</v>
      </c>
      <c r="AB36" s="80">
        <f t="shared" si="3"/>
        <v>53688.78</v>
      </c>
      <c r="AC36" s="80"/>
      <c r="AD36">
        <v>0.1</v>
      </c>
      <c r="AE36" s="78">
        <f t="shared" si="4"/>
        <v>1789.626</v>
      </c>
      <c r="AF36">
        <v>0.2</v>
      </c>
      <c r="AG36" s="78">
        <f t="shared" si="5"/>
        <v>3579.252</v>
      </c>
    </row>
    <row r="37" spans="1:33" x14ac:dyDescent="0.2">
      <c r="A37" s="102"/>
      <c r="B37" s="107"/>
      <c r="C37" s="107" t="s">
        <v>45</v>
      </c>
      <c r="D37" s="234">
        <v>0</v>
      </c>
      <c r="E37" s="115">
        <v>5600</v>
      </c>
      <c r="F37" s="79">
        <f t="shared" si="19"/>
        <v>6160</v>
      </c>
      <c r="G37" s="79">
        <f>F37*1.1*1.1+0.4</f>
        <v>7454.0000000000009</v>
      </c>
      <c r="H37" s="79">
        <v>9213.35</v>
      </c>
      <c r="I37" s="79">
        <f t="shared" si="20"/>
        <v>10134.685000000001</v>
      </c>
      <c r="J37" s="79">
        <v>10741.600100000001</v>
      </c>
      <c r="K37" s="79">
        <f>ROUND('26.08.22'!K37*1.04,2)</f>
        <v>17896.259999999998</v>
      </c>
      <c r="L37" s="218"/>
      <c r="M37" s="216">
        <v>0</v>
      </c>
      <c r="N37" s="216"/>
      <c r="O37" s="79">
        <f t="shared" si="22"/>
        <v>0</v>
      </c>
      <c r="P37" s="78">
        <f t="shared" si="21"/>
        <v>20401.740000000002</v>
      </c>
      <c r="Q37" s="78">
        <f t="shared" si="23"/>
        <v>27560.240399999999</v>
      </c>
      <c r="R37" s="79">
        <f t="shared" si="24"/>
        <v>65858.240399999995</v>
      </c>
      <c r="S37" s="78">
        <f t="shared" si="25"/>
        <v>4474.07</v>
      </c>
      <c r="T37" s="78">
        <v>1.54</v>
      </c>
      <c r="U37" s="78">
        <f t="shared" si="26"/>
        <v>70332.310399999988</v>
      </c>
      <c r="V37" s="79">
        <f t="shared" si="15"/>
        <v>57296.669147999994</v>
      </c>
      <c r="W37" s="78">
        <f t="shared" si="0"/>
        <v>61189.110047999988</v>
      </c>
      <c r="X37" s="80">
        <v>3</v>
      </c>
      <c r="Y37" s="78">
        <v>3</v>
      </c>
      <c r="Z37" s="80">
        <f t="shared" si="1"/>
        <v>0</v>
      </c>
      <c r="AA37" s="80">
        <f t="shared" si="2"/>
        <v>0</v>
      </c>
      <c r="AB37" s="80">
        <f t="shared" si="3"/>
        <v>53688.78</v>
      </c>
      <c r="AC37" s="80"/>
      <c r="AD37">
        <v>1.1000000000000001</v>
      </c>
      <c r="AE37" s="78">
        <f t="shared" si="4"/>
        <v>19685.885999999999</v>
      </c>
      <c r="AF37">
        <v>1.2</v>
      </c>
      <c r="AG37" s="78">
        <f t="shared" si="5"/>
        <v>21475.511999999999</v>
      </c>
    </row>
    <row r="38" spans="1:33" x14ac:dyDescent="0.2">
      <c r="A38" s="127"/>
      <c r="B38" s="107"/>
      <c r="C38" s="107" t="s">
        <v>45</v>
      </c>
      <c r="D38" s="109">
        <v>1</v>
      </c>
      <c r="E38" s="73">
        <v>5600</v>
      </c>
      <c r="F38" s="74">
        <f t="shared" si="19"/>
        <v>6160</v>
      </c>
      <c r="G38" s="74">
        <f>F38*1.1*1.1+0.4</f>
        <v>7454.0000000000009</v>
      </c>
      <c r="H38" s="74">
        <v>9212.35</v>
      </c>
      <c r="I38" s="74">
        <f t="shared" si="20"/>
        <v>10133.585000000001</v>
      </c>
      <c r="J38" s="74">
        <v>10741.600100000001</v>
      </c>
      <c r="K38" s="74">
        <f>ROUND('26.08.22'!K38*1.04,2)</f>
        <v>17896.259999999998</v>
      </c>
      <c r="L38" s="75" t="s">
        <v>190</v>
      </c>
      <c r="M38" s="83">
        <v>20</v>
      </c>
      <c r="N38" s="113"/>
      <c r="O38" s="78">
        <f t="shared" si="22"/>
        <v>3579.25</v>
      </c>
      <c r="P38" s="78">
        <f t="shared" si="21"/>
        <v>20401.740000000002</v>
      </c>
      <c r="Q38" s="78">
        <f t="shared" si="23"/>
        <v>27560.240399999999</v>
      </c>
      <c r="R38" s="79">
        <f t="shared" si="24"/>
        <v>69437.490399999995</v>
      </c>
      <c r="S38" s="78">
        <f t="shared" si="25"/>
        <v>4474.07</v>
      </c>
      <c r="T38" s="78">
        <v>1.54</v>
      </c>
      <c r="U38" s="78">
        <f t="shared" si="26"/>
        <v>73911.560399999988</v>
      </c>
      <c r="V38" s="79">
        <f t="shared" si="15"/>
        <v>60410.616647999996</v>
      </c>
      <c r="W38" s="78">
        <f t="shared" si="0"/>
        <v>64303.05754799999</v>
      </c>
      <c r="X38" s="80">
        <v>3</v>
      </c>
      <c r="Y38" s="78">
        <v>3</v>
      </c>
      <c r="Z38" s="80">
        <f t="shared" si="1"/>
        <v>0</v>
      </c>
      <c r="AA38" s="80">
        <f t="shared" si="2"/>
        <v>0</v>
      </c>
      <c r="AB38" s="80">
        <f t="shared" si="3"/>
        <v>53688.78</v>
      </c>
      <c r="AC38" s="80"/>
      <c r="AD38">
        <v>0.1</v>
      </c>
      <c r="AE38" s="78">
        <f t="shared" si="4"/>
        <v>1789.626</v>
      </c>
      <c r="AF38">
        <v>0.2</v>
      </c>
      <c r="AG38" s="78">
        <f t="shared" si="5"/>
        <v>3579.252</v>
      </c>
    </row>
    <row r="39" spans="1:33" x14ac:dyDescent="0.2">
      <c r="A39" s="127"/>
      <c r="B39" s="107"/>
      <c r="C39" s="107" t="s">
        <v>70</v>
      </c>
      <c r="D39" s="109">
        <v>1</v>
      </c>
      <c r="E39" s="73">
        <v>5600</v>
      </c>
      <c r="F39" s="74">
        <f t="shared" si="19"/>
        <v>6160</v>
      </c>
      <c r="G39" s="74">
        <f>F39*1.1*1.1+0.4</f>
        <v>7454.0000000000009</v>
      </c>
      <c r="H39" s="74">
        <v>9212.35</v>
      </c>
      <c r="I39" s="74">
        <f t="shared" si="20"/>
        <v>10133.585000000001</v>
      </c>
      <c r="J39" s="74">
        <v>10741.600100000001</v>
      </c>
      <c r="K39" s="74">
        <f>ROUND('26.08.22'!K39*1.04,2)</f>
        <v>15418.33</v>
      </c>
      <c r="L39" s="75" t="s">
        <v>189</v>
      </c>
      <c r="M39" s="83">
        <v>30</v>
      </c>
      <c r="N39" s="113"/>
      <c r="O39" s="78">
        <f t="shared" si="22"/>
        <v>4625.5</v>
      </c>
      <c r="P39" s="78">
        <f t="shared" si="21"/>
        <v>17576.900000000001</v>
      </c>
      <c r="Q39" s="78">
        <f t="shared" si="23"/>
        <v>22202.395199999999</v>
      </c>
      <c r="R39" s="79">
        <f t="shared" si="24"/>
        <v>59823.125200000002</v>
      </c>
      <c r="S39" s="78">
        <f t="shared" si="25"/>
        <v>3854.58</v>
      </c>
      <c r="T39" s="78">
        <v>1.44</v>
      </c>
      <c r="U39" s="78">
        <f t="shared" si="26"/>
        <v>63677.705200000004</v>
      </c>
      <c r="V39" s="79">
        <f>R39*0.87</f>
        <v>52046.118924000002</v>
      </c>
      <c r="W39" s="78">
        <f t="shared" si="0"/>
        <v>55399.603524000006</v>
      </c>
      <c r="X39" s="80">
        <v>3</v>
      </c>
      <c r="Y39" s="78">
        <v>3</v>
      </c>
      <c r="Z39" s="80" t="s">
        <v>68</v>
      </c>
      <c r="AA39" s="80"/>
      <c r="AB39" s="80"/>
      <c r="AC39" s="80"/>
      <c r="AE39" s="78"/>
      <c r="AG39" s="78"/>
    </row>
    <row r="40" spans="1:33" x14ac:dyDescent="0.2">
      <c r="A40" s="127"/>
      <c r="B40" s="107"/>
      <c r="C40" s="107" t="s">
        <v>70</v>
      </c>
      <c r="D40" s="109">
        <v>1</v>
      </c>
      <c r="E40" s="73"/>
      <c r="F40" s="74"/>
      <c r="G40" s="74"/>
      <c r="H40" s="74"/>
      <c r="I40" s="74"/>
      <c r="J40" s="74"/>
      <c r="K40" s="74">
        <f>ROUND('26.08.22'!K40*1.04,2)</f>
        <v>15418.33</v>
      </c>
      <c r="L40" s="75" t="s">
        <v>223</v>
      </c>
      <c r="M40" s="83">
        <v>15</v>
      </c>
      <c r="N40" s="113"/>
      <c r="O40" s="78">
        <f t="shared" si="22"/>
        <v>2312.75</v>
      </c>
      <c r="P40" s="78">
        <f t="shared" si="21"/>
        <v>17576.900000000001</v>
      </c>
      <c r="Q40" s="78">
        <f t="shared" si="23"/>
        <v>22202.395199999999</v>
      </c>
      <c r="R40" s="79">
        <f t="shared" si="24"/>
        <v>57510.375200000002</v>
      </c>
      <c r="S40" s="78">
        <f t="shared" si="25"/>
        <v>3854.58</v>
      </c>
      <c r="T40" s="78">
        <v>1.44</v>
      </c>
      <c r="U40" s="78">
        <f t="shared" si="26"/>
        <v>61364.955200000004</v>
      </c>
      <c r="V40" s="79">
        <f t="shared" si="15"/>
        <v>50034.026424000003</v>
      </c>
      <c r="W40" s="78">
        <f t="shared" si="0"/>
        <v>53387.511024000007</v>
      </c>
      <c r="X40" s="80"/>
      <c r="Y40" s="78"/>
      <c r="Z40" s="80"/>
      <c r="AA40" s="80"/>
      <c r="AB40" s="80"/>
      <c r="AC40" s="80"/>
      <c r="AE40" s="78"/>
      <c r="AG40" s="78"/>
    </row>
    <row r="41" spans="1:33" x14ac:dyDescent="0.2">
      <c r="A41" s="102"/>
      <c r="B41" s="107"/>
      <c r="C41" s="87" t="s">
        <v>51</v>
      </c>
      <c r="D41" s="88">
        <f>SUM(D29:D40)</f>
        <v>11</v>
      </c>
      <c r="E41" s="95"/>
      <c r="F41" s="90"/>
      <c r="G41" s="89">
        <f>SUM(G29:G36)</f>
        <v>59499</v>
      </c>
      <c r="H41" s="89">
        <f>SUM(H29:H36)</f>
        <v>73534.320000000007</v>
      </c>
      <c r="I41" s="89">
        <f>SUM(I29:I36)</f>
        <v>80887.752000000008</v>
      </c>
      <c r="J41" s="89">
        <v>87467.350080000004</v>
      </c>
      <c r="K41" s="90">
        <f>SUM(K29:K40)</f>
        <v>218609.66999999998</v>
      </c>
      <c r="L41" s="90"/>
      <c r="M41" s="90"/>
      <c r="N41" s="90">
        <f t="shared" ref="N41" si="27">SUM(N29:N36)</f>
        <v>0</v>
      </c>
      <c r="O41" s="90">
        <f>SUM(O29:O40)</f>
        <v>56111.659999999996</v>
      </c>
      <c r="P41" s="90">
        <f t="shared" ref="P41:W41" si="28">SUM(P29:P40)</f>
        <v>251555.32999999996</v>
      </c>
      <c r="Q41" s="90">
        <f t="shared" si="28"/>
        <v>333575.22580000001</v>
      </c>
      <c r="R41" s="90">
        <f t="shared" si="28"/>
        <v>859851.88580000005</v>
      </c>
      <c r="S41" s="90">
        <f t="shared" si="28"/>
        <v>54652.450000000004</v>
      </c>
      <c r="T41" s="90">
        <f t="shared" si="28"/>
        <v>18.28</v>
      </c>
      <c r="U41" s="90">
        <f t="shared" si="28"/>
        <v>914504.33579999965</v>
      </c>
      <c r="V41" s="90">
        <f t="shared" si="28"/>
        <v>748071.14064599981</v>
      </c>
      <c r="W41" s="90">
        <f t="shared" si="28"/>
        <v>795618.77214599994</v>
      </c>
      <c r="X41" s="80"/>
      <c r="Y41" s="90"/>
      <c r="Z41" s="80">
        <f t="shared" si="1"/>
        <v>0</v>
      </c>
      <c r="AA41" s="80">
        <f t="shared" si="2"/>
        <v>0</v>
      </c>
      <c r="AB41" s="80">
        <f t="shared" si="3"/>
        <v>0</v>
      </c>
      <c r="AC41" s="91"/>
      <c r="AD41">
        <v>0.1</v>
      </c>
      <c r="AE41" s="89">
        <f t="shared" si="4"/>
        <v>21860.967000000001</v>
      </c>
      <c r="AF41">
        <v>0.2</v>
      </c>
      <c r="AG41" s="89">
        <f t="shared" si="5"/>
        <v>43721.934000000001</v>
      </c>
    </row>
    <row r="42" spans="1:33" ht="45" customHeight="1" x14ac:dyDescent="0.2">
      <c r="A42" s="120" t="s">
        <v>66</v>
      </c>
      <c r="B42" s="107"/>
      <c r="C42" s="87"/>
      <c r="D42" s="111"/>
      <c r="E42" s="95"/>
      <c r="F42" s="90"/>
      <c r="G42" s="89"/>
      <c r="H42" s="89"/>
      <c r="I42" s="89"/>
      <c r="J42" s="89"/>
      <c r="K42" s="90"/>
      <c r="L42" s="112"/>
      <c r="M42" s="113"/>
      <c r="N42" s="113"/>
      <c r="O42" s="89"/>
      <c r="P42" s="99" t="s">
        <v>40</v>
      </c>
      <c r="Q42" s="89"/>
      <c r="R42" s="79"/>
      <c r="S42" s="89"/>
      <c r="T42" s="99"/>
      <c r="U42" s="89"/>
      <c r="V42" s="125"/>
      <c r="W42" s="89"/>
      <c r="X42" s="80"/>
      <c r="Y42" s="89"/>
      <c r="Z42" s="80">
        <f t="shared" si="1"/>
        <v>0</v>
      </c>
      <c r="AA42" s="80">
        <f t="shared" si="2"/>
        <v>0</v>
      </c>
      <c r="AB42" s="80">
        <f t="shared" si="3"/>
        <v>0</v>
      </c>
      <c r="AC42" s="126"/>
      <c r="AD42">
        <v>0.1</v>
      </c>
      <c r="AE42" s="89"/>
      <c r="AG42" s="89"/>
    </row>
    <row r="43" spans="1:33" x14ac:dyDescent="0.2">
      <c r="A43" s="127"/>
      <c r="B43" s="107"/>
      <c r="C43" s="87" t="s">
        <v>58</v>
      </c>
      <c r="D43" s="72">
        <v>1</v>
      </c>
      <c r="E43" s="73">
        <v>8500</v>
      </c>
      <c r="F43" s="74">
        <f t="shared" si="19"/>
        <v>9350</v>
      </c>
      <c r="G43" s="74">
        <f>9075*1.1+0.5</f>
        <v>9983</v>
      </c>
      <c r="H43" s="74">
        <v>12337.98</v>
      </c>
      <c r="I43" s="74">
        <f t="shared" ref="I43:I49" si="29">H43*$I$12</f>
        <v>13571.778</v>
      </c>
      <c r="J43" s="74">
        <v>14386.084680000002</v>
      </c>
      <c r="K43" s="74">
        <f>ROUND('26.08.22'!K43*1.04,2)</f>
        <v>23402.77</v>
      </c>
      <c r="L43" s="105" t="s">
        <v>67</v>
      </c>
      <c r="M43" s="83">
        <v>30</v>
      </c>
      <c r="N43" s="113"/>
      <c r="O43" s="78">
        <f t="shared" ref="O43:O49" si="30">ROUND((K43*M43/100),2)</f>
        <v>7020.83</v>
      </c>
      <c r="P43" s="78">
        <f>ROUND(K43*1.24,2)</f>
        <v>29019.43</v>
      </c>
      <c r="Q43" s="78">
        <f t="shared" ref="Q43:Q49" si="31">K43*T43</f>
        <v>36040.265800000001</v>
      </c>
      <c r="R43" s="79">
        <f t="shared" ref="R43:R49" si="32">K43+O43+P43+Q43</f>
        <v>95483.295799999993</v>
      </c>
      <c r="S43" s="78">
        <f t="shared" ref="S43:S49" si="33">ROUND(K43*S$12,2)</f>
        <v>5850.69</v>
      </c>
      <c r="T43" s="78">
        <v>1.54</v>
      </c>
      <c r="U43" s="78">
        <f t="shared" ref="U43:U49" si="34">K43+O43+P43+Q43+S43</f>
        <v>101333.98579999999</v>
      </c>
      <c r="V43" s="79">
        <f t="shared" si="15"/>
        <v>83070.46734599999</v>
      </c>
      <c r="W43" s="78">
        <f t="shared" si="0"/>
        <v>88160.567645999996</v>
      </c>
      <c r="X43" s="80">
        <v>3</v>
      </c>
      <c r="Y43" s="78">
        <v>3</v>
      </c>
      <c r="Z43" s="80">
        <f t="shared" si="1"/>
        <v>0</v>
      </c>
      <c r="AA43" s="80">
        <f t="shared" si="2"/>
        <v>0</v>
      </c>
      <c r="AB43" s="80">
        <f t="shared" si="3"/>
        <v>70208.31</v>
      </c>
      <c r="AC43" s="80"/>
      <c r="AD43">
        <v>0.1</v>
      </c>
      <c r="AE43" s="78">
        <f t="shared" si="4"/>
        <v>2340.277</v>
      </c>
      <c r="AF43">
        <v>0.2</v>
      </c>
      <c r="AG43" s="78">
        <f t="shared" si="5"/>
        <v>4680.5540000000001</v>
      </c>
    </row>
    <row r="44" spans="1:33" x14ac:dyDescent="0.2">
      <c r="A44" s="127"/>
      <c r="B44" s="107"/>
      <c r="C44" s="122" t="s">
        <v>60</v>
      </c>
      <c r="D44" s="72">
        <v>1</v>
      </c>
      <c r="E44" s="73">
        <v>5600</v>
      </c>
      <c r="F44" s="74">
        <f>ROUND(E44*F$12,2)</f>
        <v>6160</v>
      </c>
      <c r="G44" s="74">
        <f>F44*1.1*1.1+0.4</f>
        <v>7454.0000000000009</v>
      </c>
      <c r="H44" s="74">
        <v>9212.35</v>
      </c>
      <c r="I44" s="74">
        <f>H44*$I$12</f>
        <v>10133.585000000001</v>
      </c>
      <c r="J44" s="74">
        <v>10741.600100000001</v>
      </c>
      <c r="K44" s="74">
        <f>ROUND('26.08.22'!K44*1.04,2)</f>
        <v>21200.16</v>
      </c>
      <c r="L44" s="75" t="s">
        <v>55</v>
      </c>
      <c r="M44" s="76">
        <v>15</v>
      </c>
      <c r="N44" s="113"/>
      <c r="O44" s="78">
        <f>ROUND((K44*M44/100),2)</f>
        <v>3180.02</v>
      </c>
      <c r="P44" s="78">
        <f t="shared" ref="P44:P49" si="35">ROUND(K44*1.14,2)</f>
        <v>24168.18</v>
      </c>
      <c r="Q44" s="78">
        <f>K44*T44</f>
        <v>32648.2464</v>
      </c>
      <c r="R44" s="79">
        <f>K44+O44+P44+Q44</f>
        <v>81196.606400000004</v>
      </c>
      <c r="S44" s="78">
        <f>ROUND(K44*S$12,2)</f>
        <v>5300.04</v>
      </c>
      <c r="T44" s="78">
        <v>1.54</v>
      </c>
      <c r="U44" s="78">
        <f>K44+O44+P44+Q44+S44</f>
        <v>86496.646399999998</v>
      </c>
      <c r="V44" s="79">
        <f>R44*0.87</f>
        <v>70641.047568000009</v>
      </c>
      <c r="W44" s="78">
        <f>U44*0.87</f>
        <v>75252.082368000003</v>
      </c>
      <c r="X44" s="80"/>
      <c r="Y44" s="78"/>
      <c r="Z44" s="80"/>
      <c r="AA44" s="80"/>
      <c r="AB44" s="80"/>
      <c r="AC44" s="80"/>
      <c r="AE44" s="78"/>
      <c r="AG44" s="78"/>
    </row>
    <row r="45" spans="1:33" ht="12" customHeight="1" x14ac:dyDescent="0.2">
      <c r="A45" s="127"/>
      <c r="B45" s="107"/>
      <c r="C45" s="107" t="s">
        <v>45</v>
      </c>
      <c r="D45" s="109">
        <v>1</v>
      </c>
      <c r="E45" s="73">
        <v>6500</v>
      </c>
      <c r="F45" s="74">
        <f t="shared" si="19"/>
        <v>7150</v>
      </c>
      <c r="G45" s="74">
        <f>F45*1.1*1.1+0.5</f>
        <v>8652.0000000000018</v>
      </c>
      <c r="H45" s="74">
        <v>10692.91</v>
      </c>
      <c r="I45" s="74">
        <f t="shared" si="29"/>
        <v>11762.201000000001</v>
      </c>
      <c r="J45" s="74">
        <v>12467.933060000001</v>
      </c>
      <c r="K45" s="74">
        <f>ROUND('26.08.22'!K45*1.04,2)</f>
        <v>17896.259999999998</v>
      </c>
      <c r="L45" s="75" t="s">
        <v>69</v>
      </c>
      <c r="M45" s="76">
        <v>30</v>
      </c>
      <c r="N45" s="113"/>
      <c r="O45" s="78">
        <f t="shared" si="30"/>
        <v>5368.88</v>
      </c>
      <c r="P45" s="78">
        <f t="shared" si="35"/>
        <v>20401.740000000002</v>
      </c>
      <c r="Q45" s="78">
        <f t="shared" si="31"/>
        <v>27560.240399999999</v>
      </c>
      <c r="R45" s="79">
        <f t="shared" si="32"/>
        <v>71227.1204</v>
      </c>
      <c r="S45" s="78">
        <f t="shared" si="33"/>
        <v>4474.07</v>
      </c>
      <c r="T45" s="78">
        <v>1.54</v>
      </c>
      <c r="U45" s="78">
        <f t="shared" si="34"/>
        <v>75701.190399999992</v>
      </c>
      <c r="V45" s="79">
        <f t="shared" si="15"/>
        <v>61967.594747999996</v>
      </c>
      <c r="W45" s="78">
        <f t="shared" si="0"/>
        <v>65860.03564799999</v>
      </c>
      <c r="X45" s="80">
        <v>3</v>
      </c>
      <c r="Y45" s="78">
        <v>3</v>
      </c>
      <c r="Z45" s="80">
        <f t="shared" si="1"/>
        <v>0</v>
      </c>
      <c r="AA45" s="80">
        <f t="shared" si="2"/>
        <v>0</v>
      </c>
      <c r="AB45" s="80">
        <f t="shared" si="3"/>
        <v>53688.78</v>
      </c>
      <c r="AC45" s="80"/>
      <c r="AD45">
        <v>0.1</v>
      </c>
      <c r="AE45" s="78">
        <f t="shared" si="4"/>
        <v>1789.626</v>
      </c>
      <c r="AF45">
        <v>0.2</v>
      </c>
      <c r="AG45" s="78">
        <f t="shared" si="5"/>
        <v>3579.252</v>
      </c>
    </row>
    <row r="46" spans="1:33" x14ac:dyDescent="0.2">
      <c r="A46" s="127"/>
      <c r="B46" s="107"/>
      <c r="C46" s="107" t="s">
        <v>70</v>
      </c>
      <c r="D46" s="109">
        <v>1</v>
      </c>
      <c r="E46" s="73">
        <v>5600</v>
      </c>
      <c r="F46" s="74">
        <f t="shared" si="19"/>
        <v>6160</v>
      </c>
      <c r="G46" s="74">
        <f>F46*1.1*1.1+0.4</f>
        <v>7454.0000000000009</v>
      </c>
      <c r="H46" s="74">
        <v>9212.35</v>
      </c>
      <c r="I46" s="74">
        <f t="shared" si="29"/>
        <v>10133.585000000001</v>
      </c>
      <c r="J46" s="74">
        <v>10741.600100000001</v>
      </c>
      <c r="K46" s="74">
        <f>ROUND('26.08.22'!K46*1.04,2)</f>
        <v>15418.33</v>
      </c>
      <c r="L46" s="105" t="s">
        <v>224</v>
      </c>
      <c r="M46" s="83">
        <v>30</v>
      </c>
      <c r="N46" s="113"/>
      <c r="O46" s="78">
        <f t="shared" si="30"/>
        <v>4625.5</v>
      </c>
      <c r="P46" s="78">
        <f t="shared" si="35"/>
        <v>17576.900000000001</v>
      </c>
      <c r="Q46" s="78">
        <f t="shared" si="31"/>
        <v>22202.395199999999</v>
      </c>
      <c r="R46" s="79">
        <f t="shared" si="32"/>
        <v>59823.125200000002</v>
      </c>
      <c r="S46" s="78">
        <f t="shared" si="33"/>
        <v>3854.58</v>
      </c>
      <c r="T46" s="78">
        <v>1.44</v>
      </c>
      <c r="U46" s="78">
        <f t="shared" si="34"/>
        <v>63677.705200000004</v>
      </c>
      <c r="V46" s="79">
        <f t="shared" si="15"/>
        <v>52046.118924000002</v>
      </c>
      <c r="W46" s="78">
        <f t="shared" si="0"/>
        <v>55399.603524000006</v>
      </c>
      <c r="X46" s="80">
        <v>3</v>
      </c>
      <c r="Y46" s="78">
        <v>3</v>
      </c>
      <c r="Z46" s="80">
        <f t="shared" si="1"/>
        <v>0</v>
      </c>
      <c r="AA46" s="80">
        <f t="shared" si="2"/>
        <v>0</v>
      </c>
      <c r="AB46" s="80">
        <f t="shared" si="3"/>
        <v>46254.99</v>
      </c>
      <c r="AC46" s="80"/>
      <c r="AD46">
        <v>0.1</v>
      </c>
      <c r="AE46" s="78">
        <f t="shared" si="4"/>
        <v>1541.8330000000001</v>
      </c>
      <c r="AF46">
        <v>0.2</v>
      </c>
      <c r="AG46" s="78">
        <f t="shared" si="5"/>
        <v>3083.6660000000002</v>
      </c>
    </row>
    <row r="47" spans="1:33" x14ac:dyDescent="0.2">
      <c r="A47" s="102"/>
      <c r="B47" s="107"/>
      <c r="C47" s="107" t="s">
        <v>45</v>
      </c>
      <c r="D47" s="109">
        <v>1</v>
      </c>
      <c r="E47" s="73">
        <v>6500</v>
      </c>
      <c r="F47" s="74">
        <f t="shared" si="19"/>
        <v>7150</v>
      </c>
      <c r="G47" s="74">
        <f>F47*1.1*1.1+0.5</f>
        <v>8652.0000000000018</v>
      </c>
      <c r="H47" s="74">
        <v>10692.91</v>
      </c>
      <c r="I47" s="74">
        <f t="shared" si="29"/>
        <v>11762.201000000001</v>
      </c>
      <c r="J47" s="74">
        <v>12467.933060000001</v>
      </c>
      <c r="K47" s="74">
        <f>ROUND('26.08.22'!K47*1.04,2)</f>
        <v>17896.259999999998</v>
      </c>
      <c r="L47" s="128" t="s">
        <v>71</v>
      </c>
      <c r="M47" s="83">
        <v>30</v>
      </c>
      <c r="N47" s="76"/>
      <c r="O47" s="78">
        <f t="shared" si="30"/>
        <v>5368.88</v>
      </c>
      <c r="P47" s="78">
        <f t="shared" si="35"/>
        <v>20401.740000000002</v>
      </c>
      <c r="Q47" s="78">
        <f t="shared" si="31"/>
        <v>27560.240399999999</v>
      </c>
      <c r="R47" s="79">
        <f t="shared" si="32"/>
        <v>71227.1204</v>
      </c>
      <c r="S47" s="78">
        <f t="shared" si="33"/>
        <v>4474.07</v>
      </c>
      <c r="T47" s="78">
        <v>1.54</v>
      </c>
      <c r="U47" s="78">
        <f t="shared" si="34"/>
        <v>75701.190399999992</v>
      </c>
      <c r="V47" s="79">
        <f t="shared" si="15"/>
        <v>61967.594747999996</v>
      </c>
      <c r="W47" s="78">
        <f t="shared" si="0"/>
        <v>65860.03564799999</v>
      </c>
      <c r="X47" s="80">
        <v>3</v>
      </c>
      <c r="Y47" s="78">
        <v>3</v>
      </c>
      <c r="Z47" s="80">
        <f t="shared" si="1"/>
        <v>0</v>
      </c>
      <c r="AA47" s="80">
        <f t="shared" si="2"/>
        <v>0</v>
      </c>
      <c r="AB47" s="80">
        <f t="shared" si="3"/>
        <v>53688.78</v>
      </c>
      <c r="AC47" s="80"/>
      <c r="AD47">
        <v>0.1</v>
      </c>
      <c r="AE47" s="78">
        <f t="shared" si="4"/>
        <v>1789.626</v>
      </c>
      <c r="AF47">
        <v>0.2</v>
      </c>
      <c r="AG47" s="78">
        <f t="shared" si="5"/>
        <v>3579.252</v>
      </c>
    </row>
    <row r="48" spans="1:33" x14ac:dyDescent="0.2">
      <c r="A48" s="102"/>
      <c r="B48" s="107"/>
      <c r="C48" s="107" t="s">
        <v>45</v>
      </c>
      <c r="D48" s="109">
        <v>1</v>
      </c>
      <c r="E48" s="73">
        <v>5600</v>
      </c>
      <c r="F48" s="74">
        <f t="shared" si="19"/>
        <v>6160</v>
      </c>
      <c r="G48" s="74">
        <f>F48*1.1*1.1+0.4</f>
        <v>7454.0000000000009</v>
      </c>
      <c r="H48" s="74">
        <v>9212.35</v>
      </c>
      <c r="I48" s="74">
        <f t="shared" si="29"/>
        <v>10133.585000000001</v>
      </c>
      <c r="J48" s="74">
        <v>10741.600100000001</v>
      </c>
      <c r="K48" s="74">
        <f>ROUND('26.08.22'!K48*1.04,2)</f>
        <v>17896.259999999998</v>
      </c>
      <c r="L48" s="128" t="s">
        <v>72</v>
      </c>
      <c r="M48" s="76">
        <v>30</v>
      </c>
      <c r="N48" s="76"/>
      <c r="O48" s="78">
        <f t="shared" si="30"/>
        <v>5368.88</v>
      </c>
      <c r="P48" s="78">
        <f t="shared" si="35"/>
        <v>20401.740000000002</v>
      </c>
      <c r="Q48" s="78">
        <f t="shared" si="31"/>
        <v>27560.240399999999</v>
      </c>
      <c r="R48" s="79">
        <f t="shared" si="32"/>
        <v>71227.1204</v>
      </c>
      <c r="S48" s="78">
        <f t="shared" si="33"/>
        <v>4474.07</v>
      </c>
      <c r="T48" s="78">
        <v>1.54</v>
      </c>
      <c r="U48" s="78">
        <f t="shared" si="34"/>
        <v>75701.190399999992</v>
      </c>
      <c r="V48" s="79">
        <f t="shared" si="15"/>
        <v>61967.594747999996</v>
      </c>
      <c r="W48" s="78">
        <f t="shared" si="0"/>
        <v>65860.03564799999</v>
      </c>
      <c r="X48" s="80">
        <v>3</v>
      </c>
      <c r="Y48" s="78">
        <v>3</v>
      </c>
      <c r="Z48" s="80">
        <f t="shared" si="1"/>
        <v>0</v>
      </c>
      <c r="AA48" s="80">
        <f t="shared" si="2"/>
        <v>0</v>
      </c>
      <c r="AB48" s="80">
        <f t="shared" si="3"/>
        <v>53688.78</v>
      </c>
      <c r="AC48" s="80"/>
      <c r="AD48">
        <v>0.1</v>
      </c>
      <c r="AE48" s="78">
        <f t="shared" si="4"/>
        <v>1789.626</v>
      </c>
      <c r="AF48">
        <v>0.2</v>
      </c>
      <c r="AG48" s="78">
        <f t="shared" si="5"/>
        <v>3579.252</v>
      </c>
    </row>
    <row r="49" spans="1:33" x14ac:dyDescent="0.2">
      <c r="A49" s="102"/>
      <c r="B49" s="107"/>
      <c r="C49" s="107" t="s">
        <v>45</v>
      </c>
      <c r="D49" s="109">
        <v>1</v>
      </c>
      <c r="E49" s="73">
        <v>5600</v>
      </c>
      <c r="F49" s="74">
        <f t="shared" si="19"/>
        <v>6160</v>
      </c>
      <c r="G49" s="74">
        <f>F49*1.1*1.1+0.4</f>
        <v>7454.0000000000009</v>
      </c>
      <c r="H49" s="74">
        <v>9213.35</v>
      </c>
      <c r="I49" s="74">
        <f t="shared" si="29"/>
        <v>10134.685000000001</v>
      </c>
      <c r="J49" s="74">
        <v>10741.600100000001</v>
      </c>
      <c r="K49" s="74">
        <f>ROUND('26.08.22'!K49*1.04,2)</f>
        <v>17896.259999999998</v>
      </c>
      <c r="L49" s="128" t="s">
        <v>68</v>
      </c>
      <c r="M49" s="76">
        <v>30</v>
      </c>
      <c r="N49" s="76"/>
      <c r="O49" s="78">
        <f t="shared" si="30"/>
        <v>5368.88</v>
      </c>
      <c r="P49" s="78">
        <f t="shared" si="35"/>
        <v>20401.740000000002</v>
      </c>
      <c r="Q49" s="78">
        <f t="shared" si="31"/>
        <v>27560.240399999999</v>
      </c>
      <c r="R49" s="79">
        <f t="shared" si="32"/>
        <v>71227.1204</v>
      </c>
      <c r="S49" s="78">
        <f t="shared" si="33"/>
        <v>4474.07</v>
      </c>
      <c r="T49" s="78">
        <v>1.54</v>
      </c>
      <c r="U49" s="78">
        <f t="shared" si="34"/>
        <v>75701.190399999992</v>
      </c>
      <c r="V49" s="79">
        <f t="shared" si="15"/>
        <v>61967.594747999996</v>
      </c>
      <c r="W49" s="78">
        <f t="shared" si="0"/>
        <v>65860.03564799999</v>
      </c>
      <c r="X49" s="80">
        <v>3</v>
      </c>
      <c r="Y49" s="78">
        <v>3</v>
      </c>
      <c r="Z49" s="80">
        <f t="shared" si="1"/>
        <v>0</v>
      </c>
      <c r="AA49" s="80">
        <f t="shared" si="2"/>
        <v>0</v>
      </c>
      <c r="AB49" s="80">
        <f t="shared" si="3"/>
        <v>53688.78</v>
      </c>
      <c r="AC49" s="80"/>
      <c r="AD49">
        <v>1.1000000000000001</v>
      </c>
      <c r="AE49" s="78">
        <f t="shared" si="4"/>
        <v>19685.885999999999</v>
      </c>
      <c r="AF49">
        <v>1.2</v>
      </c>
      <c r="AG49" s="78">
        <f t="shared" si="5"/>
        <v>21475.511999999999</v>
      </c>
    </row>
    <row r="50" spans="1:33" x14ac:dyDescent="0.2">
      <c r="A50" s="86"/>
      <c r="B50" s="87"/>
      <c r="C50" s="87" t="s">
        <v>51</v>
      </c>
      <c r="D50" s="88">
        <f>SUM(D43:D48)+D49</f>
        <v>7</v>
      </c>
      <c r="E50" s="89">
        <f>SUM(E29:E48)</f>
        <v>99900</v>
      </c>
      <c r="F50" s="89">
        <f>SUM(F29:F48)</f>
        <v>110880</v>
      </c>
      <c r="G50" s="89">
        <f>SUM(G43:G48)</f>
        <v>49649</v>
      </c>
      <c r="H50" s="89">
        <f>SUM(H43:H48)</f>
        <v>61360.85</v>
      </c>
      <c r="I50" s="89">
        <f>SUM(I43:I48)</f>
        <v>67496.934999999998</v>
      </c>
      <c r="J50" s="89">
        <v>71546.751099999994</v>
      </c>
      <c r="K50" s="90">
        <f>SUM(K43:K49)</f>
        <v>131606.29999999999</v>
      </c>
      <c r="L50" s="90"/>
      <c r="M50" s="90"/>
      <c r="N50" s="90">
        <f t="shared" ref="N50" si="36">SUM(N43:N48)</f>
        <v>0</v>
      </c>
      <c r="O50" s="90">
        <f>SUM(O43:O49)</f>
        <v>36301.870000000003</v>
      </c>
      <c r="P50" s="90">
        <f t="shared" ref="P50:AG50" si="37">SUM(P43:P49)</f>
        <v>152371.47</v>
      </c>
      <c r="Q50" s="90">
        <f t="shared" si="37"/>
        <v>201131.86900000001</v>
      </c>
      <c r="R50" s="90">
        <f t="shared" si="37"/>
        <v>521411.50900000008</v>
      </c>
      <c r="S50" s="90">
        <f t="shared" si="37"/>
        <v>32901.589999999997</v>
      </c>
      <c r="T50" s="90">
        <f t="shared" si="37"/>
        <v>10.68</v>
      </c>
      <c r="U50" s="90">
        <f t="shared" si="37"/>
        <v>554313.09899999993</v>
      </c>
      <c r="V50" s="90">
        <f t="shared" si="37"/>
        <v>453628.01282999991</v>
      </c>
      <c r="W50" s="90">
        <f t="shared" si="37"/>
        <v>482252.39612999989</v>
      </c>
      <c r="X50" s="90">
        <f t="shared" si="37"/>
        <v>18</v>
      </c>
      <c r="Y50" s="90">
        <f t="shared" si="37"/>
        <v>18</v>
      </c>
      <c r="Z50" s="90">
        <f t="shared" si="37"/>
        <v>0</v>
      </c>
      <c r="AA50" s="90">
        <f t="shared" si="37"/>
        <v>0</v>
      </c>
      <c r="AB50" s="90">
        <f t="shared" si="37"/>
        <v>331218.42000000004</v>
      </c>
      <c r="AC50" s="90">
        <f t="shared" si="37"/>
        <v>0</v>
      </c>
      <c r="AD50" s="90">
        <f t="shared" si="37"/>
        <v>1.6</v>
      </c>
      <c r="AE50" s="90">
        <f t="shared" si="37"/>
        <v>28936.874</v>
      </c>
      <c r="AF50" s="90">
        <f t="shared" si="37"/>
        <v>2.2000000000000002</v>
      </c>
      <c r="AG50" s="90">
        <f t="shared" si="37"/>
        <v>39977.487999999998</v>
      </c>
    </row>
    <row r="51" spans="1:33" ht="26.25" customHeight="1" x14ac:dyDescent="0.2">
      <c r="A51" s="86"/>
      <c r="B51" s="87"/>
      <c r="C51" s="70" t="s">
        <v>73</v>
      </c>
      <c r="D51" s="88">
        <f>D26+D27+D41+D50</f>
        <v>20</v>
      </c>
      <c r="E51" s="89"/>
      <c r="F51" s="89"/>
      <c r="G51" s="89">
        <f>G26+G27+G41+G50</f>
        <v>133506</v>
      </c>
      <c r="H51" s="89">
        <f>H26+H27+H41+H50</f>
        <v>164999.82</v>
      </c>
      <c r="I51" s="89">
        <f>I26+I27+I41+I50</f>
        <v>181499.80200000003</v>
      </c>
      <c r="J51" s="89">
        <v>194116.12308000002</v>
      </c>
      <c r="K51" s="90">
        <f>K26+K27+K41+K50</f>
        <v>404455.37999999995</v>
      </c>
      <c r="L51" s="90"/>
      <c r="M51" s="90"/>
      <c r="N51" s="90">
        <f t="shared" ref="N51" si="38">N26+N27+N41+N50</f>
        <v>0</v>
      </c>
      <c r="O51" s="90">
        <f>O26+O27+O41+O50</f>
        <v>108685.35</v>
      </c>
      <c r="P51" s="90">
        <f t="shared" ref="P51:W51" si="39">P26+P27+P41+P50</f>
        <v>468471.69999999995</v>
      </c>
      <c r="Q51" s="90">
        <f t="shared" si="39"/>
        <v>618235.78619999997</v>
      </c>
      <c r="R51" s="90">
        <f t="shared" si="39"/>
        <v>1599848.2162000001</v>
      </c>
      <c r="S51" s="90">
        <f t="shared" si="39"/>
        <v>101113.9</v>
      </c>
      <c r="T51" s="90">
        <f t="shared" si="39"/>
        <v>32.04</v>
      </c>
      <c r="U51" s="90">
        <f t="shared" si="39"/>
        <v>1700962.1161999996</v>
      </c>
      <c r="V51" s="90">
        <f t="shared" si="39"/>
        <v>1391867.9480939996</v>
      </c>
      <c r="W51" s="90">
        <f t="shared" si="39"/>
        <v>1479837.041094</v>
      </c>
      <c r="X51" s="80"/>
      <c r="Y51" s="90"/>
      <c r="Z51" s="80"/>
      <c r="AA51" s="80">
        <f t="shared" si="2"/>
        <v>0</v>
      </c>
      <c r="AB51" s="80">
        <f t="shared" si="3"/>
        <v>0</v>
      </c>
      <c r="AC51" s="91"/>
      <c r="AD51">
        <v>0.1</v>
      </c>
      <c r="AE51" s="89">
        <f>K51*AD51</f>
        <v>40445.538</v>
      </c>
      <c r="AF51">
        <v>0.2</v>
      </c>
      <c r="AG51" s="89">
        <f>AF51*K51</f>
        <v>80891.076000000001</v>
      </c>
    </row>
    <row r="52" spans="1:33" ht="26.25" customHeight="1" x14ac:dyDescent="0.2">
      <c r="A52" s="59" t="s">
        <v>74</v>
      </c>
      <c r="B52" s="93"/>
      <c r="C52" s="93"/>
      <c r="D52" s="94"/>
      <c r="E52" s="95"/>
      <c r="F52" s="95"/>
      <c r="G52" s="95"/>
      <c r="H52" s="95"/>
      <c r="I52" s="95"/>
      <c r="J52" s="95"/>
      <c r="K52" s="90"/>
      <c r="L52" s="90"/>
      <c r="M52" s="87"/>
      <c r="N52" s="97"/>
      <c r="O52" s="98"/>
      <c r="P52" s="99" t="s">
        <v>40</v>
      </c>
      <c r="Q52" s="66">
        <v>1.42</v>
      </c>
      <c r="R52" s="79"/>
      <c r="S52" s="98"/>
      <c r="T52" s="99"/>
      <c r="U52" s="98"/>
      <c r="V52" s="100"/>
      <c r="W52" s="98"/>
      <c r="X52" s="80"/>
      <c r="Y52" s="98"/>
      <c r="Z52" s="80"/>
      <c r="AA52" s="80">
        <f t="shared" si="2"/>
        <v>0</v>
      </c>
      <c r="AB52" s="80">
        <f t="shared" si="3"/>
        <v>0</v>
      </c>
      <c r="AC52" s="101"/>
      <c r="AD52">
        <v>0.1</v>
      </c>
      <c r="AE52" s="98"/>
      <c r="AG52" s="98"/>
    </row>
    <row r="53" spans="1:33" x14ac:dyDescent="0.2">
      <c r="A53" s="102"/>
      <c r="B53" s="87"/>
      <c r="C53" s="87" t="s">
        <v>58</v>
      </c>
      <c r="D53" s="72">
        <v>1</v>
      </c>
      <c r="E53" s="73">
        <v>8500</v>
      </c>
      <c r="F53" s="74">
        <f>ROUND(E53*F$12,2)</f>
        <v>9350</v>
      </c>
      <c r="G53" s="74">
        <f>F53*1.1*1.1+0.5</f>
        <v>11314.000000000002</v>
      </c>
      <c r="H53" s="74">
        <v>13983.03</v>
      </c>
      <c r="I53" s="74">
        <f>H53*$I$12</f>
        <v>15381.333000000002</v>
      </c>
      <c r="J53" s="74">
        <v>16304.212980000004</v>
      </c>
      <c r="K53" s="74">
        <f>ROUND('26.08.22'!K53*1.04,2)</f>
        <v>23402.77</v>
      </c>
      <c r="L53" s="75" t="s">
        <v>76</v>
      </c>
      <c r="M53" s="83">
        <v>30</v>
      </c>
      <c r="N53" s="76"/>
      <c r="O53" s="78">
        <f>ROUND((K53*M53/100),2)</f>
        <v>7020.83</v>
      </c>
      <c r="P53" s="78">
        <f>ROUND(K53*1.24,2)</f>
        <v>29019.43</v>
      </c>
      <c r="Q53" s="78">
        <f>K53*T53</f>
        <v>36040.265800000001</v>
      </c>
      <c r="R53" s="79">
        <f>K53+O53+P53+Q53</f>
        <v>95483.295799999993</v>
      </c>
      <c r="S53" s="78">
        <f>ROUND(K53*S$12,2)</f>
        <v>5850.69</v>
      </c>
      <c r="T53" s="78">
        <v>1.54</v>
      </c>
      <c r="U53" s="78">
        <f>K53+O53+P53+Q53+S53</f>
        <v>101333.98579999999</v>
      </c>
      <c r="V53" s="79">
        <f t="shared" si="15"/>
        <v>83070.46734599999</v>
      </c>
      <c r="W53" s="78">
        <f t="shared" si="0"/>
        <v>88160.567645999996</v>
      </c>
      <c r="X53" s="80">
        <v>3</v>
      </c>
      <c r="Y53" s="78">
        <v>3</v>
      </c>
      <c r="Z53" s="80">
        <f t="shared" si="1"/>
        <v>0</v>
      </c>
      <c r="AA53" s="80">
        <f t="shared" si="2"/>
        <v>0</v>
      </c>
      <c r="AB53" s="80">
        <f t="shared" si="3"/>
        <v>70208.31</v>
      </c>
      <c r="AC53" s="80"/>
      <c r="AD53">
        <v>0.1</v>
      </c>
      <c r="AE53" s="78">
        <f t="shared" si="4"/>
        <v>2340.277</v>
      </c>
      <c r="AF53">
        <v>0.2</v>
      </c>
      <c r="AG53" s="78">
        <f t="shared" si="5"/>
        <v>4680.5540000000001</v>
      </c>
    </row>
    <row r="54" spans="1:33" ht="12.75" customHeight="1" x14ac:dyDescent="0.2">
      <c r="A54" s="102"/>
      <c r="B54" s="107"/>
      <c r="C54" s="107" t="s">
        <v>75</v>
      </c>
      <c r="D54" s="109">
        <v>1</v>
      </c>
      <c r="E54" s="73">
        <v>6500</v>
      </c>
      <c r="F54" s="74">
        <f>ROUND(E54*F$12,2)</f>
        <v>7150</v>
      </c>
      <c r="G54" s="74">
        <f>F54*1.1*1.1+0.5</f>
        <v>8652.0000000000018</v>
      </c>
      <c r="H54" s="74">
        <v>10692.91</v>
      </c>
      <c r="I54" s="74">
        <f>H54*$I$12</f>
        <v>11762.201000000001</v>
      </c>
      <c r="J54" s="74">
        <v>12467.933060000001</v>
      </c>
      <c r="K54" s="74">
        <f>ROUND('26.08.22'!K54*1.04,2)</f>
        <v>17896.259999999998</v>
      </c>
      <c r="L54" s="75" t="s">
        <v>213</v>
      </c>
      <c r="M54" s="76">
        <v>30</v>
      </c>
      <c r="N54" s="76"/>
      <c r="O54" s="78">
        <f>ROUND((K54*M54/100),2)</f>
        <v>5368.88</v>
      </c>
      <c r="P54" s="78">
        <f>ROUND(K54*1.14,2)</f>
        <v>20401.740000000002</v>
      </c>
      <c r="Q54" s="78">
        <f>K54*T54</f>
        <v>27560.240399999999</v>
      </c>
      <c r="R54" s="79">
        <f>K54+O54+P54+Q54</f>
        <v>71227.1204</v>
      </c>
      <c r="S54" s="78">
        <f>ROUND(K54*S$12,2)</f>
        <v>4474.07</v>
      </c>
      <c r="T54" s="78">
        <v>1.54</v>
      </c>
      <c r="U54" s="78">
        <f>K54+O54+P54+Q54+S54</f>
        <v>75701.190399999992</v>
      </c>
      <c r="V54" s="79">
        <f t="shared" si="15"/>
        <v>61967.594747999996</v>
      </c>
      <c r="W54" s="78">
        <f t="shared" si="0"/>
        <v>65860.03564799999</v>
      </c>
      <c r="X54" s="80">
        <v>3</v>
      </c>
      <c r="Y54" s="78">
        <v>3</v>
      </c>
      <c r="Z54" s="80">
        <f t="shared" si="1"/>
        <v>0</v>
      </c>
      <c r="AA54" s="80">
        <f t="shared" si="2"/>
        <v>0</v>
      </c>
      <c r="AB54" s="80">
        <f t="shared" si="3"/>
        <v>53688.78</v>
      </c>
      <c r="AC54" s="80"/>
      <c r="AD54">
        <v>0.1</v>
      </c>
      <c r="AE54" s="78">
        <f t="shared" si="4"/>
        <v>1789.626</v>
      </c>
      <c r="AF54">
        <v>0.2</v>
      </c>
      <c r="AG54" s="78">
        <f t="shared" si="5"/>
        <v>3579.252</v>
      </c>
    </row>
    <row r="55" spans="1:33" ht="19.5" customHeight="1" x14ac:dyDescent="0.2">
      <c r="A55" s="102"/>
      <c r="B55" s="87"/>
      <c r="C55" s="87" t="s">
        <v>51</v>
      </c>
      <c r="D55" s="88">
        <f t="shared" ref="D55:I55" si="40">SUM(D53:D54)</f>
        <v>2</v>
      </c>
      <c r="E55" s="95">
        <f t="shared" si="40"/>
        <v>15000</v>
      </c>
      <c r="F55" s="95">
        <f t="shared" si="40"/>
        <v>16500</v>
      </c>
      <c r="G55" s="95">
        <f t="shared" si="40"/>
        <v>19966.000000000004</v>
      </c>
      <c r="H55" s="95">
        <f t="shared" si="40"/>
        <v>24675.940000000002</v>
      </c>
      <c r="I55" s="95">
        <f t="shared" si="40"/>
        <v>27143.534000000003</v>
      </c>
      <c r="J55" s="95">
        <v>28772.146040000003</v>
      </c>
      <c r="K55" s="90">
        <f>SUM(K53:K54)</f>
        <v>41299.03</v>
      </c>
      <c r="L55" s="90"/>
      <c r="M55" s="90"/>
      <c r="N55" s="90">
        <f t="shared" ref="N55" si="41">SUM(N53:N54)</f>
        <v>0</v>
      </c>
      <c r="O55" s="90">
        <f>SUM(O53:O54)</f>
        <v>12389.71</v>
      </c>
      <c r="P55" s="90">
        <f t="shared" ref="P55:W55" si="42">SUM(P53:P54)</f>
        <v>49421.17</v>
      </c>
      <c r="Q55" s="90">
        <f t="shared" si="42"/>
        <v>63600.506200000003</v>
      </c>
      <c r="R55" s="90">
        <f t="shared" si="42"/>
        <v>166710.41619999998</v>
      </c>
      <c r="S55" s="90">
        <f t="shared" si="42"/>
        <v>10324.759999999998</v>
      </c>
      <c r="T55" s="90">
        <f t="shared" si="42"/>
        <v>3.08</v>
      </c>
      <c r="U55" s="90">
        <f t="shared" si="42"/>
        <v>177035.17619999999</v>
      </c>
      <c r="V55" s="90">
        <f t="shared" si="42"/>
        <v>145038.06209399999</v>
      </c>
      <c r="W55" s="90">
        <f t="shared" si="42"/>
        <v>154020.60329399997</v>
      </c>
      <c r="X55" s="80"/>
      <c r="Y55" s="90"/>
      <c r="Z55" s="80"/>
      <c r="AA55" s="80">
        <f t="shared" si="2"/>
        <v>0</v>
      </c>
      <c r="AB55" s="80">
        <f t="shared" si="3"/>
        <v>0</v>
      </c>
      <c r="AC55" s="91"/>
      <c r="AD55">
        <v>0.1</v>
      </c>
      <c r="AE55" s="95">
        <f t="shared" si="4"/>
        <v>4129.9030000000002</v>
      </c>
      <c r="AF55">
        <v>0.2</v>
      </c>
      <c r="AG55" s="95">
        <f t="shared" si="5"/>
        <v>8259.8060000000005</v>
      </c>
    </row>
    <row r="56" spans="1:33" ht="44.25" customHeight="1" x14ac:dyDescent="0.2">
      <c r="A56" s="59" t="s">
        <v>77</v>
      </c>
      <c r="B56" s="129"/>
      <c r="C56" s="129"/>
      <c r="D56" s="94"/>
      <c r="E56" s="95"/>
      <c r="F56" s="95"/>
      <c r="G56" s="95"/>
      <c r="H56" s="95"/>
      <c r="I56" s="95"/>
      <c r="J56" s="95"/>
      <c r="K56" s="90"/>
      <c r="L56" s="96"/>
      <c r="M56" s="97"/>
      <c r="N56" s="97"/>
      <c r="O56" s="98"/>
      <c r="P56" s="130">
        <v>1.19</v>
      </c>
      <c r="Q56" s="66" t="s">
        <v>57</v>
      </c>
      <c r="R56" s="79"/>
      <c r="S56" s="98"/>
      <c r="T56" s="130"/>
      <c r="U56" s="98"/>
      <c r="V56" s="100"/>
      <c r="W56" s="98"/>
      <c r="X56" s="80"/>
      <c r="Y56" s="98"/>
      <c r="Z56" s="80"/>
      <c r="AA56" s="80">
        <f t="shared" si="2"/>
        <v>0</v>
      </c>
      <c r="AB56" s="80">
        <f t="shared" si="3"/>
        <v>0</v>
      </c>
      <c r="AC56" s="101"/>
      <c r="AD56">
        <v>0.1</v>
      </c>
      <c r="AE56" s="98"/>
      <c r="AG56" s="98"/>
    </row>
    <row r="57" spans="1:33" ht="25.5" x14ac:dyDescent="0.2">
      <c r="A57" s="102"/>
      <c r="B57" s="87"/>
      <c r="C57" s="70" t="s">
        <v>193</v>
      </c>
      <c r="D57" s="72">
        <v>1</v>
      </c>
      <c r="E57" s="73">
        <v>9600</v>
      </c>
      <c r="F57" s="74">
        <f>ROUND(E57*F$12,2)</f>
        <v>10560</v>
      </c>
      <c r="G57" s="74">
        <f>F57*1.1*1.1+0.4</f>
        <v>12778.000000000002</v>
      </c>
      <c r="H57" s="74">
        <v>15792.6</v>
      </c>
      <c r="I57" s="74">
        <f>H57*$I$12</f>
        <v>17371.86</v>
      </c>
      <c r="J57" s="74">
        <v>18414.171600000001</v>
      </c>
      <c r="K57" s="74">
        <f>ROUND('26.08.22'!K57*1.04,2)</f>
        <v>30285.94</v>
      </c>
      <c r="L57" s="75" t="s">
        <v>78</v>
      </c>
      <c r="M57" s="76">
        <v>30</v>
      </c>
      <c r="N57" s="76"/>
      <c r="O57" s="78">
        <f>ROUND((K57*M57/100),2)</f>
        <v>9085.7800000000007</v>
      </c>
      <c r="P57" s="78">
        <f>ROUND(K57*1.19,2)</f>
        <v>36040.269999999997</v>
      </c>
      <c r="Q57" s="78">
        <f>K57*T57</f>
        <v>46640.347600000001</v>
      </c>
      <c r="R57" s="79">
        <f>K57+O57+P57+Q57</f>
        <v>122052.3376</v>
      </c>
      <c r="S57" s="78">
        <f>ROUND(K57*S$12,2)</f>
        <v>7571.49</v>
      </c>
      <c r="T57" s="78">
        <v>1.54</v>
      </c>
      <c r="U57" s="78">
        <f>K57+O57+P57+Q57+S57</f>
        <v>129623.8276</v>
      </c>
      <c r="V57" s="79">
        <f t="shared" si="15"/>
        <v>106185.533712</v>
      </c>
      <c r="W57" s="78">
        <f t="shared" si="0"/>
        <v>112772.730012</v>
      </c>
      <c r="X57" s="80">
        <v>3</v>
      </c>
      <c r="Y57" s="78"/>
      <c r="Z57" s="80">
        <f t="shared" si="1"/>
        <v>3</v>
      </c>
      <c r="AA57" s="80">
        <f t="shared" si="2"/>
        <v>90857.819999999992</v>
      </c>
      <c r="AB57" s="80">
        <f t="shared" si="3"/>
        <v>0</v>
      </c>
      <c r="AC57" s="80"/>
      <c r="AD57">
        <v>0.1</v>
      </c>
      <c r="AE57" s="78">
        <f t="shared" si="4"/>
        <v>3028.5940000000001</v>
      </c>
      <c r="AF57">
        <v>0.2</v>
      </c>
      <c r="AG57" s="78">
        <f t="shared" si="5"/>
        <v>6057.1880000000001</v>
      </c>
    </row>
    <row r="58" spans="1:33" ht="32.25" customHeight="1" x14ac:dyDescent="0.2">
      <c r="A58" s="102"/>
      <c r="B58" s="82"/>
      <c r="C58" s="82" t="s">
        <v>79</v>
      </c>
      <c r="D58" s="72">
        <v>1</v>
      </c>
      <c r="E58" s="73">
        <v>8700</v>
      </c>
      <c r="F58" s="74">
        <f>ROUND(E58*F$12,2)</f>
        <v>9570</v>
      </c>
      <c r="G58" s="74">
        <f>F58*1.1*1.1+0.3</f>
        <v>11580</v>
      </c>
      <c r="H58" s="74">
        <v>14312.05</v>
      </c>
      <c r="I58" s="74">
        <f>H58*$I$12</f>
        <v>15743.255000000001</v>
      </c>
      <c r="J58" s="74">
        <v>16687.850300000002</v>
      </c>
      <c r="K58" s="74">
        <f>ROUND('26.08.22'!K58*1.04,2)</f>
        <v>23953.47</v>
      </c>
      <c r="L58" s="75" t="s">
        <v>202</v>
      </c>
      <c r="M58" s="83">
        <v>15</v>
      </c>
      <c r="N58" s="76"/>
      <c r="O58" s="78">
        <f>ROUND((K58*M58/100),2)</f>
        <v>3593.02</v>
      </c>
      <c r="P58" s="78">
        <f>ROUND(K58*1.19,2)</f>
        <v>28504.63</v>
      </c>
      <c r="Q58" s="78">
        <f>K58*T58</f>
        <v>36888.343800000002</v>
      </c>
      <c r="R58" s="79">
        <f>K58+O58+P58+Q58</f>
        <v>92939.463799999998</v>
      </c>
      <c r="S58" s="78">
        <f>ROUND(K58*S$12,2)</f>
        <v>5988.37</v>
      </c>
      <c r="T58" s="78">
        <v>1.54</v>
      </c>
      <c r="U58" s="78">
        <f>K58+O58+P58+Q58+S58</f>
        <v>98927.833799999993</v>
      </c>
      <c r="V58" s="79">
        <f t="shared" si="15"/>
        <v>80857.333505999995</v>
      </c>
      <c r="W58" s="78">
        <f t="shared" si="0"/>
        <v>86067.215405999988</v>
      </c>
      <c r="X58" s="80">
        <v>3</v>
      </c>
      <c r="Y58" s="78">
        <v>0</v>
      </c>
      <c r="Z58" s="80">
        <f t="shared" si="1"/>
        <v>3</v>
      </c>
      <c r="AA58" s="80">
        <f t="shared" si="2"/>
        <v>71860.41</v>
      </c>
      <c r="AB58" s="80">
        <f t="shared" si="3"/>
        <v>0</v>
      </c>
      <c r="AC58" s="80"/>
      <c r="AD58">
        <v>0.1</v>
      </c>
      <c r="AE58" s="78">
        <f t="shared" si="4"/>
        <v>2395.3470000000002</v>
      </c>
      <c r="AF58">
        <v>0.2</v>
      </c>
      <c r="AG58" s="78">
        <f t="shared" si="5"/>
        <v>4790.6940000000004</v>
      </c>
    </row>
    <row r="59" spans="1:33" ht="40.5" customHeight="1" x14ac:dyDescent="0.2">
      <c r="A59" s="131" t="s">
        <v>80</v>
      </c>
      <c r="B59" s="131"/>
      <c r="C59" s="131"/>
      <c r="D59" s="132"/>
      <c r="E59" s="95"/>
      <c r="F59" s="95"/>
      <c r="G59" s="95"/>
      <c r="H59" s="95"/>
      <c r="I59" s="95"/>
      <c r="J59" s="95"/>
      <c r="K59" s="90"/>
      <c r="L59" s="90"/>
      <c r="M59" s="113"/>
      <c r="N59" s="113"/>
      <c r="O59" s="90"/>
      <c r="P59" s="99" t="s">
        <v>40</v>
      </c>
      <c r="Q59" s="90"/>
      <c r="R59" s="79"/>
      <c r="S59" s="90"/>
      <c r="T59" s="99"/>
      <c r="U59" s="90"/>
      <c r="V59" s="79"/>
      <c r="W59" s="90"/>
      <c r="X59" s="80"/>
      <c r="Y59" s="90"/>
      <c r="Z59" s="80"/>
      <c r="AA59" s="80">
        <f t="shared" si="2"/>
        <v>0</v>
      </c>
      <c r="AB59" s="80">
        <f t="shared" si="3"/>
        <v>0</v>
      </c>
      <c r="AC59" s="91"/>
      <c r="AD59">
        <v>0.1</v>
      </c>
      <c r="AE59" s="90"/>
      <c r="AG59" s="90"/>
    </row>
    <row r="60" spans="1:33" x14ac:dyDescent="0.2">
      <c r="A60" s="102"/>
      <c r="B60" s="87"/>
      <c r="C60" s="87" t="s">
        <v>58</v>
      </c>
      <c r="D60" s="72">
        <v>1</v>
      </c>
      <c r="E60" s="73">
        <v>8500</v>
      </c>
      <c r="F60" s="74">
        <v>8250</v>
      </c>
      <c r="G60" s="74">
        <f>F60*1.1*1.1+0.5</f>
        <v>9983</v>
      </c>
      <c r="H60" s="74">
        <v>12337.98</v>
      </c>
      <c r="I60" s="74">
        <f t="shared" ref="I60:I65" si="43">H60*$I$12</f>
        <v>13571.778</v>
      </c>
      <c r="J60" s="74">
        <v>14386.084680000002</v>
      </c>
      <c r="K60" s="74">
        <f>ROUND('26.08.22'!K60*1.04,2)</f>
        <v>23402.77</v>
      </c>
      <c r="L60" s="75" t="s">
        <v>81</v>
      </c>
      <c r="M60" s="83">
        <v>30</v>
      </c>
      <c r="N60" s="76"/>
      <c r="O60" s="78">
        <f>ROUND((K60*M60/100),2)</f>
        <v>7020.83</v>
      </c>
      <c r="P60" s="78">
        <f>ROUND(K60*1.24,2)</f>
        <v>29019.43</v>
      </c>
      <c r="Q60" s="78">
        <f>K60*T60</f>
        <v>36040.265800000001</v>
      </c>
      <c r="R60" s="79">
        <f>K60+O60+P60+Q60</f>
        <v>95483.295799999993</v>
      </c>
      <c r="S60" s="78">
        <f>ROUND(K60*S$12,2)</f>
        <v>5850.69</v>
      </c>
      <c r="T60" s="78">
        <v>1.54</v>
      </c>
      <c r="U60" s="78">
        <f>K60+O60+P60+Q60+S60</f>
        <v>101333.98579999999</v>
      </c>
      <c r="V60" s="79">
        <f t="shared" si="15"/>
        <v>83070.46734599999</v>
      </c>
      <c r="W60" s="78">
        <f t="shared" si="0"/>
        <v>88160.567645999996</v>
      </c>
      <c r="X60" s="80">
        <v>3</v>
      </c>
      <c r="Y60" s="78">
        <v>2</v>
      </c>
      <c r="Z60" s="80">
        <f t="shared" si="1"/>
        <v>1</v>
      </c>
      <c r="AA60" s="80">
        <f t="shared" si="2"/>
        <v>23402.77</v>
      </c>
      <c r="AB60" s="80">
        <f t="shared" si="3"/>
        <v>46805.54</v>
      </c>
      <c r="AC60" s="80"/>
      <c r="AD60">
        <v>0.1</v>
      </c>
      <c r="AE60" s="78">
        <f t="shared" si="4"/>
        <v>2340.277</v>
      </c>
      <c r="AF60">
        <v>0.2</v>
      </c>
      <c r="AG60" s="78">
        <f t="shared" si="5"/>
        <v>4680.5540000000001</v>
      </c>
    </row>
    <row r="61" spans="1:33" ht="15" customHeight="1" x14ac:dyDescent="0.2">
      <c r="A61" s="102"/>
      <c r="B61" s="87"/>
      <c r="C61" s="122" t="s">
        <v>60</v>
      </c>
      <c r="D61" s="72">
        <v>1</v>
      </c>
      <c r="E61" s="73"/>
      <c r="F61" s="74"/>
      <c r="G61" s="74"/>
      <c r="H61" s="74">
        <v>10692.91</v>
      </c>
      <c r="I61" s="74">
        <f>H61*$I$12</f>
        <v>11762.201000000001</v>
      </c>
      <c r="J61" s="74">
        <v>12467.933060000001</v>
      </c>
      <c r="K61" s="74">
        <f>ROUND('26.08.22'!K61*1.04,2)</f>
        <v>21200.16</v>
      </c>
      <c r="L61" s="75" t="s">
        <v>203</v>
      </c>
      <c r="M61" s="83">
        <v>20</v>
      </c>
      <c r="N61" s="76"/>
      <c r="O61" s="78">
        <f>ROUND((K61*M61/100),2)</f>
        <v>4240.03</v>
      </c>
      <c r="P61" s="78">
        <f>ROUND(K61*1.14,2)</f>
        <v>24168.18</v>
      </c>
      <c r="Q61" s="78">
        <f>K61*T61</f>
        <v>32648.2464</v>
      </c>
      <c r="R61" s="79">
        <f>K61+O61+P61+Q61</f>
        <v>82256.616399999999</v>
      </c>
      <c r="S61" s="78">
        <f>ROUND(K61*S$12,2)</f>
        <v>5300.04</v>
      </c>
      <c r="T61" s="78">
        <v>1.54</v>
      </c>
      <c r="U61" s="78">
        <f>K61+O61+P61+Q61+S61</f>
        <v>87556.656399999993</v>
      </c>
      <c r="V61" s="79">
        <f>R61*0.87</f>
        <v>71563.256267999997</v>
      </c>
      <c r="W61" s="78">
        <f>U61*0.87</f>
        <v>76174.291067999991</v>
      </c>
      <c r="X61" s="80">
        <v>3</v>
      </c>
      <c r="Y61" s="78">
        <v>3</v>
      </c>
      <c r="Z61" s="80">
        <f t="shared" si="1"/>
        <v>0</v>
      </c>
      <c r="AA61" s="80">
        <f t="shared" si="2"/>
        <v>0</v>
      </c>
      <c r="AB61" s="80">
        <f t="shared" si="3"/>
        <v>63600.479999999996</v>
      </c>
      <c r="AC61" s="80"/>
      <c r="AD61">
        <v>0.1</v>
      </c>
      <c r="AE61" s="78">
        <f>K61*AD61</f>
        <v>2120.0160000000001</v>
      </c>
      <c r="AF61">
        <v>0.2</v>
      </c>
      <c r="AG61" s="78">
        <f>AF61*K61</f>
        <v>4240.0320000000002</v>
      </c>
    </row>
    <row r="62" spans="1:33" ht="15" customHeight="1" x14ac:dyDescent="0.2">
      <c r="A62" s="102"/>
      <c r="B62" s="87"/>
      <c r="C62" s="122" t="s">
        <v>82</v>
      </c>
      <c r="D62" s="72">
        <v>1</v>
      </c>
      <c r="E62" s="73">
        <v>6500</v>
      </c>
      <c r="F62" s="74">
        <f>ROUND(E62*F$12,2)</f>
        <v>7150</v>
      </c>
      <c r="G62" s="74">
        <f>F62*1.1*1.1+0.5</f>
        <v>8652.0000000000018</v>
      </c>
      <c r="H62" s="74">
        <v>10692.91</v>
      </c>
      <c r="I62" s="74">
        <f t="shared" si="43"/>
        <v>11762.201000000001</v>
      </c>
      <c r="J62" s="74">
        <v>12467.933060000001</v>
      </c>
      <c r="K62" s="74">
        <f>ROUND('26.08.22'!K62*1.04,2)</f>
        <v>17896.259999999998</v>
      </c>
      <c r="L62" s="75" t="s">
        <v>181</v>
      </c>
      <c r="M62" s="76">
        <v>15</v>
      </c>
      <c r="N62" s="76"/>
      <c r="O62" s="78">
        <f t="shared" ref="O62:O76" si="44">ROUND((K62*M62/100),2)</f>
        <v>2684.44</v>
      </c>
      <c r="P62" s="78">
        <f>ROUND(K62*1.14,2)</f>
        <v>20401.740000000002</v>
      </c>
      <c r="Q62" s="78">
        <f t="shared" ref="Q62:Q74" si="45">K62*T62</f>
        <v>27560.240399999999</v>
      </c>
      <c r="R62" s="79">
        <f t="shared" ref="R62:R76" si="46">K62+O62+P62+Q62</f>
        <v>68542.680399999997</v>
      </c>
      <c r="S62" s="78">
        <f t="shared" ref="S62:S76" si="47">ROUND(K62*S$12,2)</f>
        <v>4474.07</v>
      </c>
      <c r="T62" s="78">
        <v>1.54</v>
      </c>
      <c r="U62" s="78">
        <f t="shared" ref="U62:U76" si="48">K62+O62+P62+Q62+S62</f>
        <v>73016.75039999999</v>
      </c>
      <c r="V62" s="79">
        <f t="shared" si="15"/>
        <v>59632.131947999995</v>
      </c>
      <c r="W62" s="78">
        <f t="shared" si="0"/>
        <v>63524.572847999989</v>
      </c>
      <c r="X62" s="80">
        <v>3</v>
      </c>
      <c r="Y62" s="78"/>
      <c r="Z62" s="80">
        <f t="shared" si="1"/>
        <v>3</v>
      </c>
      <c r="AA62" s="80">
        <f t="shared" si="2"/>
        <v>53688.78</v>
      </c>
      <c r="AB62" s="80">
        <f t="shared" si="3"/>
        <v>0</v>
      </c>
      <c r="AC62" s="80"/>
      <c r="AD62">
        <v>0.1</v>
      </c>
      <c r="AE62" s="78">
        <f t="shared" si="4"/>
        <v>1789.626</v>
      </c>
      <c r="AF62">
        <v>0.2</v>
      </c>
      <c r="AG62" s="78">
        <f t="shared" si="5"/>
        <v>3579.252</v>
      </c>
    </row>
    <row r="63" spans="1:33" ht="15" customHeight="1" x14ac:dyDescent="0.2">
      <c r="A63" s="102"/>
      <c r="B63" s="87"/>
      <c r="C63" s="122" t="s">
        <v>82</v>
      </c>
      <c r="D63" s="72">
        <v>1</v>
      </c>
      <c r="E63" s="73">
        <v>6500</v>
      </c>
      <c r="F63" s="74">
        <f>ROUND(E63*F$12,2)</f>
        <v>7150</v>
      </c>
      <c r="G63" s="74">
        <f>F63*1.1*1.1+0.5</f>
        <v>8652.0000000000018</v>
      </c>
      <c r="H63" s="74">
        <v>10692.91</v>
      </c>
      <c r="I63" s="74">
        <f t="shared" si="43"/>
        <v>11762.201000000001</v>
      </c>
      <c r="J63" s="74">
        <v>12467.933060000001</v>
      </c>
      <c r="K63" s="74">
        <f>ROUND('26.08.22'!K63*1.04,2)</f>
        <v>17896.259999999998</v>
      </c>
      <c r="L63" s="75" t="s">
        <v>83</v>
      </c>
      <c r="M63" s="83">
        <v>30</v>
      </c>
      <c r="N63" s="76"/>
      <c r="O63" s="78">
        <f t="shared" si="44"/>
        <v>5368.88</v>
      </c>
      <c r="P63" s="78">
        <f t="shared" ref="P63:P71" si="49">ROUND(K63*1.14,2)</f>
        <v>20401.740000000002</v>
      </c>
      <c r="Q63" s="78">
        <f t="shared" si="45"/>
        <v>27560.240399999999</v>
      </c>
      <c r="R63" s="79">
        <f t="shared" si="46"/>
        <v>71227.1204</v>
      </c>
      <c r="S63" s="78">
        <f t="shared" si="47"/>
        <v>4474.07</v>
      </c>
      <c r="T63" s="78">
        <v>1.54</v>
      </c>
      <c r="U63" s="78">
        <f t="shared" si="48"/>
        <v>75701.190399999992</v>
      </c>
      <c r="V63" s="79">
        <f t="shared" si="15"/>
        <v>61967.594747999996</v>
      </c>
      <c r="W63" s="78">
        <f t="shared" si="0"/>
        <v>65860.03564799999</v>
      </c>
      <c r="X63" s="80">
        <v>3</v>
      </c>
      <c r="Y63" s="78">
        <v>3</v>
      </c>
      <c r="Z63" s="80">
        <f t="shared" si="1"/>
        <v>0</v>
      </c>
      <c r="AA63" s="80">
        <f t="shared" si="2"/>
        <v>0</v>
      </c>
      <c r="AB63" s="80">
        <f t="shared" si="3"/>
        <v>53688.78</v>
      </c>
      <c r="AC63" s="80"/>
      <c r="AD63">
        <v>0.1</v>
      </c>
      <c r="AE63" s="78">
        <f t="shared" si="4"/>
        <v>1789.626</v>
      </c>
      <c r="AF63">
        <v>0.2</v>
      </c>
      <c r="AG63" s="78">
        <f t="shared" si="5"/>
        <v>3579.252</v>
      </c>
    </row>
    <row r="64" spans="1:33" ht="15" customHeight="1" x14ac:dyDescent="0.2">
      <c r="A64" s="102"/>
      <c r="B64" s="87"/>
      <c r="C64" s="122" t="s">
        <v>45</v>
      </c>
      <c r="D64" s="72">
        <v>1</v>
      </c>
      <c r="E64" s="73">
        <v>6500</v>
      </c>
      <c r="F64" s="74">
        <f>ROUND(E64*F$12,2)</f>
        <v>7150</v>
      </c>
      <c r="G64" s="74">
        <f>F64*1.1*1.1+0.5</f>
        <v>8652.0000000000018</v>
      </c>
      <c r="H64" s="74">
        <v>10692.91</v>
      </c>
      <c r="I64" s="74">
        <f t="shared" si="43"/>
        <v>11762.201000000001</v>
      </c>
      <c r="J64" s="74">
        <v>12467.933060000001</v>
      </c>
      <c r="K64" s="74">
        <f>ROUND('26.08.22'!K64*1.04,2)</f>
        <v>17896.259999999998</v>
      </c>
      <c r="L64" s="75" t="s">
        <v>212</v>
      </c>
      <c r="M64" s="83">
        <v>30</v>
      </c>
      <c r="N64" s="76"/>
      <c r="O64" s="78">
        <f t="shared" si="44"/>
        <v>5368.88</v>
      </c>
      <c r="P64" s="78">
        <f t="shared" si="49"/>
        <v>20401.740000000002</v>
      </c>
      <c r="Q64" s="78">
        <f t="shared" si="45"/>
        <v>27560.240399999999</v>
      </c>
      <c r="R64" s="79">
        <f t="shared" si="46"/>
        <v>71227.1204</v>
      </c>
      <c r="S64" s="78">
        <f t="shared" si="47"/>
        <v>4474.07</v>
      </c>
      <c r="T64" s="78">
        <v>1.54</v>
      </c>
      <c r="U64" s="78">
        <f t="shared" si="48"/>
        <v>75701.190399999992</v>
      </c>
      <c r="V64" s="79">
        <f t="shared" si="15"/>
        <v>61967.594747999996</v>
      </c>
      <c r="W64" s="78">
        <f t="shared" si="0"/>
        <v>65860.03564799999</v>
      </c>
      <c r="X64" s="80">
        <v>3</v>
      </c>
      <c r="Y64" s="78">
        <v>3</v>
      </c>
      <c r="Z64" s="80">
        <f t="shared" si="1"/>
        <v>0</v>
      </c>
      <c r="AA64" s="80">
        <f t="shared" si="2"/>
        <v>0</v>
      </c>
      <c r="AB64" s="80">
        <f t="shared" si="3"/>
        <v>53688.78</v>
      </c>
      <c r="AC64" s="80"/>
      <c r="AD64">
        <v>0.1</v>
      </c>
      <c r="AE64" s="78">
        <f t="shared" si="4"/>
        <v>1789.626</v>
      </c>
      <c r="AF64">
        <v>0.2</v>
      </c>
      <c r="AG64" s="78">
        <f t="shared" si="5"/>
        <v>3579.252</v>
      </c>
    </row>
    <row r="65" spans="1:34" ht="15" customHeight="1" x14ac:dyDescent="0.2">
      <c r="A65" s="102"/>
      <c r="B65" s="87"/>
      <c r="C65" s="122" t="s">
        <v>45</v>
      </c>
      <c r="D65" s="72">
        <v>1</v>
      </c>
      <c r="E65" s="73"/>
      <c r="F65" s="74"/>
      <c r="G65" s="74"/>
      <c r="H65" s="74">
        <v>10692.91</v>
      </c>
      <c r="I65" s="74">
        <f t="shared" si="43"/>
        <v>11762.201000000001</v>
      </c>
      <c r="J65" s="74">
        <v>12467.933060000001</v>
      </c>
      <c r="K65" s="74">
        <f>ROUND('26.08.22'!K65*1.04,2)</f>
        <v>17896.259999999998</v>
      </c>
      <c r="L65" s="105" t="s">
        <v>204</v>
      </c>
      <c r="M65" s="83">
        <v>15</v>
      </c>
      <c r="N65" s="76"/>
      <c r="O65" s="78">
        <f t="shared" si="44"/>
        <v>2684.44</v>
      </c>
      <c r="P65" s="78">
        <f t="shared" si="49"/>
        <v>20401.740000000002</v>
      </c>
      <c r="Q65" s="78">
        <f t="shared" si="45"/>
        <v>27560.240399999999</v>
      </c>
      <c r="R65" s="79">
        <f t="shared" si="46"/>
        <v>68542.680399999997</v>
      </c>
      <c r="S65" s="78">
        <f t="shared" si="47"/>
        <v>4474.07</v>
      </c>
      <c r="T65" s="78">
        <v>1.54</v>
      </c>
      <c r="U65" s="78">
        <f t="shared" si="48"/>
        <v>73016.75039999999</v>
      </c>
      <c r="V65" s="79">
        <f t="shared" si="15"/>
        <v>59632.131947999995</v>
      </c>
      <c r="W65" s="78">
        <f t="shared" si="0"/>
        <v>63524.572847999989</v>
      </c>
      <c r="X65" s="80">
        <v>3</v>
      </c>
      <c r="Y65" s="78">
        <v>0</v>
      </c>
      <c r="Z65" s="80">
        <f t="shared" si="1"/>
        <v>3</v>
      </c>
      <c r="AA65" s="80">
        <f t="shared" si="2"/>
        <v>53688.78</v>
      </c>
      <c r="AB65" s="80">
        <f t="shared" si="3"/>
        <v>0</v>
      </c>
      <c r="AC65" s="80"/>
      <c r="AD65">
        <v>0.1</v>
      </c>
      <c r="AE65" s="78">
        <f t="shared" si="4"/>
        <v>1789.626</v>
      </c>
      <c r="AF65">
        <v>0.2</v>
      </c>
      <c r="AG65" s="78">
        <f t="shared" si="5"/>
        <v>3579.252</v>
      </c>
    </row>
    <row r="66" spans="1:34" ht="15" customHeight="1" x14ac:dyDescent="0.2">
      <c r="A66" s="102"/>
      <c r="B66" s="87"/>
      <c r="C66" s="122" t="s">
        <v>82</v>
      </c>
      <c r="D66" s="72">
        <v>1</v>
      </c>
      <c r="E66" s="73"/>
      <c r="F66" s="74"/>
      <c r="G66" s="74"/>
      <c r="H66" s="74"/>
      <c r="I66" s="74"/>
      <c r="J66" s="74">
        <v>12467.933060000001</v>
      </c>
      <c r="K66" s="74">
        <f>ROUND('26.08.22'!K66*1.04,2)</f>
        <v>17896.259999999998</v>
      </c>
      <c r="L66" s="105" t="s">
        <v>84</v>
      </c>
      <c r="M66" s="83">
        <v>30</v>
      </c>
      <c r="N66" s="76"/>
      <c r="O66" s="78">
        <f t="shared" si="44"/>
        <v>5368.88</v>
      </c>
      <c r="P66" s="78">
        <f t="shared" si="49"/>
        <v>20401.740000000002</v>
      </c>
      <c r="Q66" s="78">
        <f t="shared" si="45"/>
        <v>27560.240399999999</v>
      </c>
      <c r="R66" s="79">
        <f t="shared" si="46"/>
        <v>71227.1204</v>
      </c>
      <c r="S66" s="78">
        <f t="shared" si="47"/>
        <v>4474.07</v>
      </c>
      <c r="T66" s="78">
        <v>1.54</v>
      </c>
      <c r="U66" s="78">
        <f t="shared" si="48"/>
        <v>75701.190399999992</v>
      </c>
      <c r="V66" s="79">
        <f t="shared" si="15"/>
        <v>61967.594747999996</v>
      </c>
      <c r="W66" s="78">
        <f t="shared" si="0"/>
        <v>65860.03564799999</v>
      </c>
      <c r="X66" s="80">
        <v>3</v>
      </c>
      <c r="Y66" s="78">
        <v>3</v>
      </c>
      <c r="Z66" s="80">
        <f t="shared" si="1"/>
        <v>0</v>
      </c>
      <c r="AA66" s="80">
        <f t="shared" si="2"/>
        <v>0</v>
      </c>
      <c r="AB66" s="80">
        <f t="shared" si="3"/>
        <v>53688.78</v>
      </c>
      <c r="AC66" s="80"/>
      <c r="AD66">
        <v>0.1</v>
      </c>
      <c r="AE66" s="78">
        <f t="shared" si="4"/>
        <v>1789.626</v>
      </c>
      <c r="AF66">
        <v>0.2</v>
      </c>
      <c r="AG66" s="78">
        <f t="shared" si="5"/>
        <v>3579.252</v>
      </c>
    </row>
    <row r="67" spans="1:34" ht="15" customHeight="1" x14ac:dyDescent="0.2">
      <c r="A67" s="102"/>
      <c r="B67" s="87"/>
      <c r="C67" s="122" t="s">
        <v>82</v>
      </c>
      <c r="D67" s="72">
        <v>1</v>
      </c>
      <c r="E67" s="73"/>
      <c r="F67" s="74"/>
      <c r="G67" s="74"/>
      <c r="H67" s="74"/>
      <c r="I67" s="74"/>
      <c r="J67" s="74">
        <v>12467.933060000001</v>
      </c>
      <c r="K67" s="74">
        <f>ROUND('26.08.22'!K67*1.04,2)</f>
        <v>17896.259999999998</v>
      </c>
      <c r="L67" s="105" t="s">
        <v>205</v>
      </c>
      <c r="M67" s="83"/>
      <c r="N67" s="76"/>
      <c r="O67" s="78">
        <f t="shared" si="44"/>
        <v>0</v>
      </c>
      <c r="P67" s="78">
        <f t="shared" si="49"/>
        <v>20401.740000000002</v>
      </c>
      <c r="Q67" s="78">
        <f t="shared" si="45"/>
        <v>27560.240399999999</v>
      </c>
      <c r="R67" s="79">
        <f t="shared" si="46"/>
        <v>65858.240399999995</v>
      </c>
      <c r="S67" s="78">
        <f t="shared" si="47"/>
        <v>4474.07</v>
      </c>
      <c r="T67" s="78">
        <v>1.54</v>
      </c>
      <c r="U67" s="78">
        <f t="shared" si="48"/>
        <v>70332.310399999988</v>
      </c>
      <c r="V67" s="79">
        <f t="shared" si="15"/>
        <v>57296.669147999994</v>
      </c>
      <c r="W67" s="78">
        <f t="shared" si="0"/>
        <v>61189.110047999988</v>
      </c>
      <c r="X67" s="80">
        <v>3</v>
      </c>
      <c r="Y67" s="78">
        <v>3</v>
      </c>
      <c r="Z67" s="80">
        <f t="shared" si="1"/>
        <v>0</v>
      </c>
      <c r="AA67" s="80">
        <f t="shared" si="2"/>
        <v>0</v>
      </c>
      <c r="AB67" s="80">
        <f t="shared" si="3"/>
        <v>53688.78</v>
      </c>
      <c r="AC67" s="80"/>
      <c r="AD67">
        <v>0.1</v>
      </c>
      <c r="AE67" s="78">
        <f t="shared" si="4"/>
        <v>1789.626</v>
      </c>
      <c r="AF67">
        <v>0.2</v>
      </c>
      <c r="AG67" s="78">
        <f t="shared" si="5"/>
        <v>3579.252</v>
      </c>
    </row>
    <row r="68" spans="1:34" ht="15" customHeight="1" x14ac:dyDescent="0.2">
      <c r="A68" s="102"/>
      <c r="B68" s="87"/>
      <c r="C68" s="122" t="s">
        <v>82</v>
      </c>
      <c r="D68" s="72">
        <v>1</v>
      </c>
      <c r="E68" s="73"/>
      <c r="F68" s="74"/>
      <c r="G68" s="74"/>
      <c r="H68" s="74"/>
      <c r="I68" s="74"/>
      <c r="J68" s="74"/>
      <c r="K68" s="74">
        <f>ROUND('26.08.22'!K68*1.04,2)</f>
        <v>17896.259999999998</v>
      </c>
      <c r="L68" s="105" t="s">
        <v>85</v>
      </c>
      <c r="M68" s="83">
        <v>30</v>
      </c>
      <c r="N68" s="76"/>
      <c r="O68" s="78">
        <f t="shared" si="44"/>
        <v>5368.88</v>
      </c>
      <c r="P68" s="78">
        <f t="shared" si="49"/>
        <v>20401.740000000002</v>
      </c>
      <c r="Q68" s="78">
        <f t="shared" si="45"/>
        <v>27560.240399999999</v>
      </c>
      <c r="R68" s="79">
        <f t="shared" si="46"/>
        <v>71227.1204</v>
      </c>
      <c r="S68" s="78">
        <f t="shared" si="47"/>
        <v>4474.07</v>
      </c>
      <c r="T68" s="78">
        <v>1.54</v>
      </c>
      <c r="U68" s="78">
        <f t="shared" si="48"/>
        <v>75701.190399999992</v>
      </c>
      <c r="V68" s="79">
        <f t="shared" si="15"/>
        <v>61967.594747999996</v>
      </c>
      <c r="W68" s="78">
        <f t="shared" si="0"/>
        <v>65860.03564799999</v>
      </c>
      <c r="X68" s="80"/>
      <c r="Y68" s="78"/>
      <c r="Z68" s="80"/>
      <c r="AA68" s="80"/>
      <c r="AB68" s="80"/>
      <c r="AC68" s="80"/>
      <c r="AE68" s="78"/>
      <c r="AG68" s="78"/>
    </row>
    <row r="69" spans="1:34" ht="16.5" customHeight="1" x14ac:dyDescent="0.2">
      <c r="A69" s="102"/>
      <c r="B69" s="87"/>
      <c r="C69" s="122" t="s">
        <v>82</v>
      </c>
      <c r="D69" s="109">
        <v>1</v>
      </c>
      <c r="E69" s="73"/>
      <c r="F69" s="74"/>
      <c r="G69" s="74"/>
      <c r="H69" s="74">
        <v>9212.35</v>
      </c>
      <c r="I69" s="74">
        <f>H69*$I$12</f>
        <v>10133.585000000001</v>
      </c>
      <c r="J69" s="74">
        <v>10741.600100000001</v>
      </c>
      <c r="K69" s="74">
        <f>ROUND('26.08.22'!K69*1.04,2)</f>
        <v>17896.259999999998</v>
      </c>
      <c r="L69" s="75" t="s">
        <v>86</v>
      </c>
      <c r="M69" s="83">
        <v>30</v>
      </c>
      <c r="N69" s="76"/>
      <c r="O69" s="78">
        <f t="shared" si="44"/>
        <v>5368.88</v>
      </c>
      <c r="P69" s="78">
        <f t="shared" si="49"/>
        <v>20401.740000000002</v>
      </c>
      <c r="Q69" s="78">
        <f t="shared" si="45"/>
        <v>27560.240399999999</v>
      </c>
      <c r="R69" s="79">
        <f t="shared" si="46"/>
        <v>71227.1204</v>
      </c>
      <c r="S69" s="78">
        <f t="shared" si="47"/>
        <v>4474.07</v>
      </c>
      <c r="T69" s="78">
        <v>1.54</v>
      </c>
      <c r="U69" s="78">
        <f t="shared" si="48"/>
        <v>75701.190399999992</v>
      </c>
      <c r="V69" s="79">
        <f t="shared" si="15"/>
        <v>61967.594747999996</v>
      </c>
      <c r="W69" s="78">
        <f t="shared" si="0"/>
        <v>65860.03564799999</v>
      </c>
      <c r="X69" s="80">
        <v>3</v>
      </c>
      <c r="Y69" s="78">
        <v>3</v>
      </c>
      <c r="Z69" s="80">
        <f t="shared" si="1"/>
        <v>0</v>
      </c>
      <c r="AA69" s="80">
        <f t="shared" si="2"/>
        <v>0</v>
      </c>
      <c r="AB69" s="80">
        <f t="shared" si="3"/>
        <v>53688.78</v>
      </c>
      <c r="AC69" s="80"/>
      <c r="AD69">
        <v>0.1</v>
      </c>
      <c r="AE69" s="78">
        <f t="shared" si="4"/>
        <v>1789.626</v>
      </c>
      <c r="AF69">
        <v>0.2</v>
      </c>
      <c r="AG69" s="78">
        <f t="shared" si="5"/>
        <v>3579.252</v>
      </c>
    </row>
    <row r="70" spans="1:34" ht="16.5" customHeight="1" x14ac:dyDescent="0.2">
      <c r="A70" s="102"/>
      <c r="B70" s="87"/>
      <c r="C70" s="122" t="s">
        <v>82</v>
      </c>
      <c r="D70" s="109">
        <v>1</v>
      </c>
      <c r="E70" s="73"/>
      <c r="F70" s="74"/>
      <c r="G70" s="74"/>
      <c r="H70" s="74">
        <v>9212.35</v>
      </c>
      <c r="I70" s="74">
        <f>H70*$I$12</f>
        <v>10133.585000000001</v>
      </c>
      <c r="J70" s="74">
        <v>10741.600100000001</v>
      </c>
      <c r="K70" s="74">
        <f>ROUND('26.08.22'!K70*1.04,2)</f>
        <v>17896.259999999998</v>
      </c>
      <c r="L70" s="75" t="s">
        <v>87</v>
      </c>
      <c r="M70" s="83">
        <v>30</v>
      </c>
      <c r="N70" s="76"/>
      <c r="O70" s="78">
        <f t="shared" si="44"/>
        <v>5368.88</v>
      </c>
      <c r="P70" s="78">
        <f t="shared" si="49"/>
        <v>20401.740000000002</v>
      </c>
      <c r="Q70" s="78">
        <f t="shared" si="45"/>
        <v>27560.240399999999</v>
      </c>
      <c r="R70" s="79">
        <f t="shared" si="46"/>
        <v>71227.1204</v>
      </c>
      <c r="S70" s="78">
        <f t="shared" si="47"/>
        <v>4474.07</v>
      </c>
      <c r="T70" s="78">
        <v>1.54</v>
      </c>
      <c r="U70" s="78">
        <f t="shared" si="48"/>
        <v>75701.190399999992</v>
      </c>
      <c r="V70" s="79">
        <f t="shared" si="15"/>
        <v>61967.594747999996</v>
      </c>
      <c r="W70" s="78">
        <f t="shared" si="0"/>
        <v>65860.03564799999</v>
      </c>
      <c r="X70" s="80">
        <v>3</v>
      </c>
      <c r="Y70" s="78">
        <v>0</v>
      </c>
      <c r="Z70" s="80">
        <f t="shared" si="1"/>
        <v>3</v>
      </c>
      <c r="AA70" s="80">
        <f t="shared" si="2"/>
        <v>53688.78</v>
      </c>
      <c r="AB70" s="80">
        <f t="shared" si="3"/>
        <v>0</v>
      </c>
      <c r="AC70" s="80"/>
      <c r="AD70">
        <v>0.1</v>
      </c>
      <c r="AE70" s="78">
        <f t="shared" si="4"/>
        <v>1789.626</v>
      </c>
      <c r="AF70">
        <v>0.2</v>
      </c>
      <c r="AG70" s="78">
        <f t="shared" si="5"/>
        <v>3579.252</v>
      </c>
    </row>
    <row r="71" spans="1:34" ht="16.5" customHeight="1" x14ac:dyDescent="0.2">
      <c r="A71" s="102"/>
      <c r="B71" s="87"/>
      <c r="C71" s="120" t="s">
        <v>45</v>
      </c>
      <c r="D71" s="109">
        <v>1</v>
      </c>
      <c r="E71" s="73"/>
      <c r="F71" s="74"/>
      <c r="G71" s="74"/>
      <c r="H71" s="74"/>
      <c r="I71" s="74"/>
      <c r="J71" s="74"/>
      <c r="K71" s="74">
        <f>ROUND('26.08.22'!K71*1.04,2)</f>
        <v>17896.259999999998</v>
      </c>
      <c r="L71" s="75" t="s">
        <v>220</v>
      </c>
      <c r="M71" s="83">
        <v>20</v>
      </c>
      <c r="N71" s="76"/>
      <c r="O71" s="78">
        <f t="shared" si="44"/>
        <v>3579.25</v>
      </c>
      <c r="P71" s="78">
        <f t="shared" si="49"/>
        <v>20401.740000000002</v>
      </c>
      <c r="Q71" s="78">
        <f t="shared" si="45"/>
        <v>27560.240399999999</v>
      </c>
      <c r="R71" s="79">
        <f t="shared" si="46"/>
        <v>69437.490399999995</v>
      </c>
      <c r="S71" s="78">
        <f t="shared" si="47"/>
        <v>4474.07</v>
      </c>
      <c r="T71" s="78">
        <v>1.54</v>
      </c>
      <c r="U71" s="78">
        <f t="shared" si="48"/>
        <v>73911.560399999988</v>
      </c>
      <c r="V71" s="79">
        <f t="shared" si="15"/>
        <v>60410.616647999996</v>
      </c>
      <c r="W71" s="78">
        <f t="shared" si="0"/>
        <v>64303.05754799999</v>
      </c>
      <c r="X71" s="80">
        <v>3</v>
      </c>
      <c r="Y71" s="78">
        <v>3</v>
      </c>
      <c r="Z71" s="80">
        <f t="shared" si="1"/>
        <v>0</v>
      </c>
      <c r="AA71" s="80">
        <f t="shared" si="2"/>
        <v>0</v>
      </c>
      <c r="AB71" s="80">
        <f t="shared" si="3"/>
        <v>53688.78</v>
      </c>
      <c r="AC71" s="80"/>
      <c r="AD71">
        <v>0.1</v>
      </c>
      <c r="AE71" s="78">
        <f t="shared" si="4"/>
        <v>1789.626</v>
      </c>
      <c r="AF71">
        <v>0.2</v>
      </c>
      <c r="AG71" s="78">
        <f t="shared" si="5"/>
        <v>3579.252</v>
      </c>
    </row>
    <row r="72" spans="1:34" ht="16.5" customHeight="1" x14ac:dyDescent="0.2">
      <c r="A72" s="102"/>
      <c r="B72" s="87"/>
      <c r="C72" s="120" t="s">
        <v>45</v>
      </c>
      <c r="D72" s="109">
        <v>1</v>
      </c>
      <c r="E72" s="73"/>
      <c r="F72" s="74"/>
      <c r="G72" s="74"/>
      <c r="H72" s="74">
        <v>9212.35</v>
      </c>
      <c r="I72" s="74">
        <f>H72*$I$12</f>
        <v>10133.585000000001</v>
      </c>
      <c r="J72" s="74">
        <v>10741.600100000001</v>
      </c>
      <c r="K72" s="74">
        <f>ROUND('26.08.22'!K72*1.04,2)</f>
        <v>17896.259999999998</v>
      </c>
      <c r="L72" s="75" t="s">
        <v>222</v>
      </c>
      <c r="M72" s="83">
        <v>30</v>
      </c>
      <c r="N72" s="76"/>
      <c r="O72" s="78">
        <f t="shared" si="44"/>
        <v>5368.88</v>
      </c>
      <c r="P72" s="78">
        <f>ROUND(K72*1.14,2)</f>
        <v>20401.740000000002</v>
      </c>
      <c r="Q72" s="78">
        <f t="shared" si="45"/>
        <v>27560.240399999999</v>
      </c>
      <c r="R72" s="79">
        <f t="shared" si="46"/>
        <v>71227.1204</v>
      </c>
      <c r="S72" s="78">
        <f t="shared" si="47"/>
        <v>4474.07</v>
      </c>
      <c r="T72" s="78">
        <v>1.54</v>
      </c>
      <c r="U72" s="78">
        <f t="shared" si="48"/>
        <v>75701.190399999992</v>
      </c>
      <c r="V72" s="79">
        <f t="shared" si="15"/>
        <v>61967.594747999996</v>
      </c>
      <c r="W72" s="78">
        <f t="shared" si="0"/>
        <v>65860.03564799999</v>
      </c>
      <c r="X72" s="80">
        <v>3</v>
      </c>
      <c r="Y72" s="78"/>
      <c r="Z72" s="80">
        <f t="shared" si="1"/>
        <v>3</v>
      </c>
      <c r="AA72" s="80">
        <f t="shared" si="2"/>
        <v>53688.78</v>
      </c>
      <c r="AB72" s="80">
        <f t="shared" si="3"/>
        <v>0</v>
      </c>
      <c r="AC72" s="80"/>
      <c r="AD72">
        <v>0.1</v>
      </c>
      <c r="AE72" s="78">
        <f t="shared" si="4"/>
        <v>1789.626</v>
      </c>
      <c r="AF72">
        <v>0.2</v>
      </c>
      <c r="AG72" s="78">
        <f t="shared" si="5"/>
        <v>3579.252</v>
      </c>
    </row>
    <row r="73" spans="1:34" ht="16.5" hidden="1" customHeight="1" x14ac:dyDescent="0.2">
      <c r="A73" s="102"/>
      <c r="B73" s="215"/>
      <c r="C73" s="120" t="s">
        <v>70</v>
      </c>
      <c r="D73" s="109">
        <v>0</v>
      </c>
      <c r="E73" s="73"/>
      <c r="F73" s="74"/>
      <c r="G73" s="74"/>
      <c r="H73" s="74"/>
      <c r="I73" s="74"/>
      <c r="J73" s="74"/>
      <c r="K73" s="74">
        <f>ROUND('26.08.22'!K73*1.04,2)</f>
        <v>0</v>
      </c>
      <c r="L73" s="75"/>
      <c r="M73" s="83">
        <v>10</v>
      </c>
      <c r="N73" s="76"/>
      <c r="O73" s="78">
        <f t="shared" si="44"/>
        <v>0</v>
      </c>
      <c r="P73" s="78">
        <f>ROUND(K73*1.14,2)</f>
        <v>0</v>
      </c>
      <c r="Q73" s="78">
        <f t="shared" si="45"/>
        <v>0</v>
      </c>
      <c r="R73" s="79">
        <f t="shared" si="46"/>
        <v>0</v>
      </c>
      <c r="S73" s="78">
        <f t="shared" si="47"/>
        <v>0</v>
      </c>
      <c r="T73" s="78">
        <v>2.54</v>
      </c>
      <c r="U73" s="78">
        <f t="shared" si="48"/>
        <v>0</v>
      </c>
      <c r="V73" s="79">
        <f t="shared" si="15"/>
        <v>0</v>
      </c>
      <c r="W73" s="78">
        <f t="shared" si="0"/>
        <v>0</v>
      </c>
      <c r="X73" s="80">
        <v>4</v>
      </c>
      <c r="Y73" s="78"/>
      <c r="Z73" s="80"/>
      <c r="AA73" s="80"/>
      <c r="AB73" s="80"/>
      <c r="AC73" s="80"/>
      <c r="AE73" s="78"/>
      <c r="AG73" s="78"/>
    </row>
    <row r="74" spans="1:34" ht="16.5" hidden="1" customHeight="1" x14ac:dyDescent="0.2">
      <c r="A74" s="102"/>
      <c r="B74" s="215"/>
      <c r="C74" s="120" t="s">
        <v>70</v>
      </c>
      <c r="D74" s="109">
        <v>0</v>
      </c>
      <c r="E74" s="73"/>
      <c r="F74" s="74"/>
      <c r="G74" s="74"/>
      <c r="H74" s="74"/>
      <c r="I74" s="74"/>
      <c r="J74" s="74"/>
      <c r="K74" s="74">
        <f>ROUND('26.08.22'!K74*1.04,2)</f>
        <v>0</v>
      </c>
      <c r="L74" s="75"/>
      <c r="M74" s="83">
        <v>15</v>
      </c>
      <c r="N74" s="76"/>
      <c r="O74" s="78">
        <f t="shared" si="44"/>
        <v>0</v>
      </c>
      <c r="P74" s="78">
        <f>ROUND(K74*1.14,2)</f>
        <v>0</v>
      </c>
      <c r="Q74" s="78">
        <f t="shared" si="45"/>
        <v>0</v>
      </c>
      <c r="R74" s="79">
        <f t="shared" si="46"/>
        <v>0</v>
      </c>
      <c r="S74" s="78">
        <f t="shared" si="47"/>
        <v>0</v>
      </c>
      <c r="T74" s="78">
        <v>3.54</v>
      </c>
      <c r="U74" s="78">
        <f t="shared" si="48"/>
        <v>0</v>
      </c>
      <c r="V74" s="79">
        <f t="shared" si="15"/>
        <v>0</v>
      </c>
      <c r="W74" s="78">
        <f t="shared" si="0"/>
        <v>0</v>
      </c>
      <c r="X74" s="80">
        <v>5</v>
      </c>
      <c r="Y74" s="78"/>
      <c r="Z74" s="80"/>
      <c r="AA74" s="80"/>
      <c r="AB74" s="80"/>
      <c r="AC74" s="80"/>
      <c r="AE74" s="78"/>
      <c r="AG74" s="78"/>
    </row>
    <row r="75" spans="1:34" ht="16.5" customHeight="1" x14ac:dyDescent="0.2">
      <c r="A75" s="102"/>
      <c r="B75" s="215"/>
      <c r="C75" s="120" t="s">
        <v>70</v>
      </c>
      <c r="D75" s="109">
        <v>1</v>
      </c>
      <c r="E75" s="73"/>
      <c r="F75" s="74"/>
      <c r="G75" s="74"/>
      <c r="H75" s="74"/>
      <c r="I75" s="74"/>
      <c r="J75" s="74"/>
      <c r="K75" s="74">
        <f>ROUND('26.08.22'!K75*1.04,2)</f>
        <v>15418.33</v>
      </c>
      <c r="L75" s="75" t="s">
        <v>226</v>
      </c>
      <c r="M75" s="83">
        <v>0</v>
      </c>
      <c r="N75" s="76"/>
      <c r="O75" s="78">
        <f t="shared" si="44"/>
        <v>0</v>
      </c>
      <c r="P75" s="78">
        <f>ROUND(K75*1.14,2)</f>
        <v>17576.900000000001</v>
      </c>
      <c r="Q75" s="78">
        <f>K75*T75</f>
        <v>22202.395199999999</v>
      </c>
      <c r="R75" s="79">
        <f t="shared" si="46"/>
        <v>55197.625200000002</v>
      </c>
      <c r="S75" s="78">
        <f t="shared" si="47"/>
        <v>3854.58</v>
      </c>
      <c r="T75" s="78">
        <v>1.44</v>
      </c>
      <c r="U75" s="78">
        <f t="shared" si="48"/>
        <v>59052.205200000004</v>
      </c>
      <c r="V75" s="79">
        <f t="shared" si="15"/>
        <v>48021.933924000004</v>
      </c>
      <c r="W75" s="78">
        <f t="shared" si="0"/>
        <v>51375.418524000001</v>
      </c>
      <c r="X75" s="80">
        <v>6</v>
      </c>
      <c r="Y75" s="78"/>
      <c r="Z75" s="80"/>
      <c r="AA75" s="80"/>
      <c r="AB75" s="80"/>
      <c r="AC75" s="80"/>
      <c r="AE75" s="78"/>
      <c r="AG75" s="78"/>
    </row>
    <row r="76" spans="1:34" ht="16.5" customHeight="1" x14ac:dyDescent="0.2">
      <c r="A76" s="102"/>
      <c r="B76" s="215"/>
      <c r="C76" s="107" t="s">
        <v>150</v>
      </c>
      <c r="D76" s="109">
        <v>1</v>
      </c>
      <c r="E76" s="73"/>
      <c r="F76" s="74"/>
      <c r="G76" s="74"/>
      <c r="H76" s="74"/>
      <c r="I76" s="74"/>
      <c r="J76" s="74"/>
      <c r="K76" s="74">
        <f>ROUND('26.08.22'!K76*1.04,2)</f>
        <v>17896.259999999998</v>
      </c>
      <c r="L76" s="75" t="s">
        <v>209</v>
      </c>
      <c r="M76" s="83">
        <v>30</v>
      </c>
      <c r="N76" s="76"/>
      <c r="O76" s="78">
        <f t="shared" si="44"/>
        <v>5368.88</v>
      </c>
      <c r="P76" s="78">
        <f>ROUND(K76*1.14,2)</f>
        <v>20401.740000000002</v>
      </c>
      <c r="Q76" s="78">
        <f>K76*T76</f>
        <v>27560.240399999999</v>
      </c>
      <c r="R76" s="79">
        <f t="shared" si="46"/>
        <v>71227.1204</v>
      </c>
      <c r="S76" s="78">
        <f t="shared" si="47"/>
        <v>4474.07</v>
      </c>
      <c r="T76" s="78">
        <v>1.54</v>
      </c>
      <c r="U76" s="78">
        <f t="shared" si="48"/>
        <v>75701.190399999992</v>
      </c>
      <c r="V76" s="79">
        <f t="shared" si="15"/>
        <v>61967.594747999996</v>
      </c>
      <c r="W76" s="78">
        <f t="shared" si="0"/>
        <v>65860.03564799999</v>
      </c>
      <c r="X76" s="80"/>
      <c r="Y76" s="78"/>
      <c r="Z76" s="80"/>
      <c r="AA76" s="80"/>
      <c r="AB76" s="80"/>
      <c r="AC76" s="80"/>
      <c r="AE76" s="78"/>
      <c r="AG76" s="78"/>
    </row>
    <row r="77" spans="1:34" ht="15.75" customHeight="1" x14ac:dyDescent="0.2">
      <c r="A77" s="102"/>
      <c r="B77" s="87"/>
      <c r="C77" s="87" t="s">
        <v>51</v>
      </c>
      <c r="D77" s="88">
        <f>SUM(D60:D76)</f>
        <v>15</v>
      </c>
      <c r="E77" s="88">
        <f t="shared" ref="E77:J77" si="50">SUM(E60:E67)</f>
        <v>28000</v>
      </c>
      <c r="F77" s="88">
        <f t="shared" si="50"/>
        <v>29700</v>
      </c>
      <c r="G77" s="88">
        <f t="shared" si="50"/>
        <v>35939</v>
      </c>
      <c r="H77" s="88">
        <f t="shared" si="50"/>
        <v>65802.530000000013</v>
      </c>
      <c r="I77" s="88">
        <f t="shared" si="50"/>
        <v>72382.782999999996</v>
      </c>
      <c r="J77" s="88">
        <f t="shared" si="50"/>
        <v>101661.6161</v>
      </c>
      <c r="K77" s="90">
        <f>SUM(K60:K76)</f>
        <v>274776.38</v>
      </c>
      <c r="L77" s="90"/>
      <c r="M77" s="90"/>
      <c r="N77" s="90">
        <f t="shared" ref="N77" si="51">SUM(N60:N72)</f>
        <v>0</v>
      </c>
      <c r="O77" s="90">
        <f>SUM(O60:O76)</f>
        <v>63160.029999999992</v>
      </c>
      <c r="P77" s="90">
        <f>SUM(P60:P76)</f>
        <v>315585.38999999996</v>
      </c>
      <c r="Q77" s="90">
        <f t="shared" ref="Q77:AH77" si="52">SUM(Q60:Q75)</f>
        <v>394053.55180000002</v>
      </c>
      <c r="R77" s="90">
        <f t="shared" si="52"/>
        <v>1003908.4718000001</v>
      </c>
      <c r="S77" s="90">
        <f>SUM(S60:S76)</f>
        <v>68694.149999999994</v>
      </c>
      <c r="T77" s="90">
        <f t="shared" si="52"/>
        <v>27.539999999999996</v>
      </c>
      <c r="U77" s="90">
        <f t="shared" si="52"/>
        <v>1068128.5517999998</v>
      </c>
      <c r="V77" s="90">
        <f t="shared" si="52"/>
        <v>873400.37046600005</v>
      </c>
      <c r="W77" s="90">
        <f t="shared" si="52"/>
        <v>929271.84006599966</v>
      </c>
      <c r="X77" s="90">
        <f t="shared" si="52"/>
        <v>51</v>
      </c>
      <c r="Y77" s="90">
        <f t="shared" si="52"/>
        <v>23</v>
      </c>
      <c r="Z77" s="90">
        <f t="shared" si="52"/>
        <v>13</v>
      </c>
      <c r="AA77" s="90">
        <f t="shared" si="52"/>
        <v>238157.88999999998</v>
      </c>
      <c r="AB77" s="90">
        <f t="shared" si="52"/>
        <v>432538.70000000007</v>
      </c>
      <c r="AC77" s="90">
        <f t="shared" si="52"/>
        <v>0</v>
      </c>
      <c r="AD77" s="90">
        <f t="shared" si="52"/>
        <v>1.2</v>
      </c>
      <c r="AE77" s="90">
        <f t="shared" si="52"/>
        <v>22356.553</v>
      </c>
      <c r="AF77" s="90">
        <f t="shared" si="52"/>
        <v>2.4</v>
      </c>
      <c r="AG77" s="90">
        <f t="shared" si="52"/>
        <v>44713.106</v>
      </c>
      <c r="AH77" s="90">
        <f t="shared" si="52"/>
        <v>0</v>
      </c>
    </row>
    <row r="78" spans="1:34" ht="25.5" customHeight="1" x14ac:dyDescent="0.2">
      <c r="A78" s="131" t="s">
        <v>88</v>
      </c>
      <c r="B78" s="87"/>
      <c r="C78" s="131"/>
      <c r="D78" s="132"/>
      <c r="E78" s="95"/>
      <c r="F78" s="95"/>
      <c r="G78" s="95"/>
      <c r="H78" s="95"/>
      <c r="I78" s="95"/>
      <c r="J78" s="95"/>
      <c r="K78" s="90"/>
      <c r="L78" s="90"/>
      <c r="M78" s="113"/>
      <c r="N78" s="113"/>
      <c r="O78" s="90"/>
      <c r="P78" s="132"/>
      <c r="Q78" s="95"/>
      <c r="R78" s="79"/>
      <c r="S78" s="90"/>
      <c r="T78" s="132"/>
      <c r="U78" s="90"/>
      <c r="V78" s="115"/>
      <c r="W78" s="90"/>
      <c r="X78" s="80"/>
      <c r="Y78" s="90"/>
      <c r="Z78" s="80"/>
      <c r="AA78" s="80">
        <f t="shared" si="2"/>
        <v>0</v>
      </c>
      <c r="AB78" s="80">
        <f t="shared" si="3"/>
        <v>0</v>
      </c>
      <c r="AC78" s="91"/>
      <c r="AD78">
        <v>0.1</v>
      </c>
      <c r="AE78" s="90"/>
      <c r="AG78" s="90"/>
    </row>
    <row r="79" spans="1:34" x14ac:dyDescent="0.2">
      <c r="A79" s="133"/>
      <c r="B79" s="87"/>
      <c r="C79" s="87" t="s">
        <v>58</v>
      </c>
      <c r="D79" s="109">
        <v>1</v>
      </c>
      <c r="E79" s="73">
        <v>7500</v>
      </c>
      <c r="F79" s="74">
        <f>ROUND(E79*F$12,2)</f>
        <v>8250</v>
      </c>
      <c r="G79" s="74">
        <f>F79*1.1*1.1+0.5</f>
        <v>9983</v>
      </c>
      <c r="H79" s="74">
        <v>12337.98</v>
      </c>
      <c r="I79" s="74">
        <f t="shared" ref="I79:I87" si="53">H79*$I$12</f>
        <v>13571.778</v>
      </c>
      <c r="J79" s="74">
        <v>14386.084680000002</v>
      </c>
      <c r="K79" s="74">
        <f>ROUND('26.08.22'!K79*1.04,2)</f>
        <v>23402.77</v>
      </c>
      <c r="L79" s="75" t="s">
        <v>89</v>
      </c>
      <c r="M79" s="76">
        <v>20</v>
      </c>
      <c r="N79" s="76"/>
      <c r="O79" s="78">
        <f t="shared" ref="O79:O85" si="54">ROUND((K79*M79/100),2)</f>
        <v>4680.55</v>
      </c>
      <c r="P79" s="78">
        <f>ROUND(K79*1.24,2)</f>
        <v>29019.43</v>
      </c>
      <c r="Q79" s="78">
        <f t="shared" ref="Q79:Q87" si="55">K79*T79</f>
        <v>36040.265800000001</v>
      </c>
      <c r="R79" s="79">
        <f t="shared" ref="R79:R87" si="56">K79+O79+P79+Q79</f>
        <v>93143.015799999994</v>
      </c>
      <c r="S79" s="78">
        <f t="shared" ref="S79:S87" si="57">ROUND(K79*S$12,2)</f>
        <v>5850.69</v>
      </c>
      <c r="T79" s="78">
        <v>1.54</v>
      </c>
      <c r="U79" s="78">
        <f t="shared" ref="U79:U87" si="58">K79+O79+P79+Q79+S79</f>
        <v>98993.705799999996</v>
      </c>
      <c r="V79" s="79">
        <f t="shared" si="15"/>
        <v>81034.423746</v>
      </c>
      <c r="W79" s="78">
        <f t="shared" si="0"/>
        <v>86124.524045999991</v>
      </c>
      <c r="X79" s="80">
        <v>3</v>
      </c>
      <c r="Y79" s="78">
        <v>3</v>
      </c>
      <c r="Z79" s="80">
        <f t="shared" si="1"/>
        <v>0</v>
      </c>
      <c r="AA79" s="80">
        <f t="shared" si="2"/>
        <v>0</v>
      </c>
      <c r="AB79" s="80">
        <f t="shared" si="3"/>
        <v>70208.31</v>
      </c>
      <c r="AC79" s="80"/>
      <c r="AD79">
        <v>0.1</v>
      </c>
      <c r="AE79" s="78">
        <f t="shared" si="4"/>
        <v>2340.277</v>
      </c>
      <c r="AF79">
        <v>0.2</v>
      </c>
      <c r="AG79" s="78">
        <f t="shared" si="5"/>
        <v>4680.5540000000001</v>
      </c>
    </row>
    <row r="80" spans="1:34" x14ac:dyDescent="0.2">
      <c r="A80" s="133"/>
      <c r="B80" s="87"/>
      <c r="C80" s="122" t="s">
        <v>60</v>
      </c>
      <c r="D80" s="72">
        <v>1</v>
      </c>
      <c r="E80" s="73"/>
      <c r="F80" s="74"/>
      <c r="G80" s="74"/>
      <c r="H80" s="74">
        <v>10692.91</v>
      </c>
      <c r="I80" s="74">
        <f>H80*$I$12</f>
        <v>11762.201000000001</v>
      </c>
      <c r="J80" s="74">
        <v>12467.933060000001</v>
      </c>
      <c r="K80" s="74">
        <f>ROUND('26.08.22'!K80*1.04,2)</f>
        <v>21200.16</v>
      </c>
      <c r="L80" s="75" t="s">
        <v>192</v>
      </c>
      <c r="M80" s="83">
        <v>30</v>
      </c>
      <c r="N80" s="76"/>
      <c r="O80" s="78">
        <f>ROUND((K80*M80/100),2)</f>
        <v>6360.05</v>
      </c>
      <c r="P80" s="78">
        <f>ROUND(K80*1.14,2)</f>
        <v>24168.18</v>
      </c>
      <c r="Q80" s="78">
        <f>K80*T80</f>
        <v>32648.2464</v>
      </c>
      <c r="R80" s="79">
        <f>K80+O80+P80+Q80</f>
        <v>84376.636400000003</v>
      </c>
      <c r="S80" s="78">
        <f>ROUND(K80*S$12,2)</f>
        <v>5300.04</v>
      </c>
      <c r="T80" s="78">
        <v>1.54</v>
      </c>
      <c r="U80" s="78">
        <f>K80+O80+P80+Q80+S80</f>
        <v>89676.676399999997</v>
      </c>
      <c r="V80" s="79">
        <f>R80*0.87</f>
        <v>73407.673668000003</v>
      </c>
      <c r="W80" s="78">
        <f>U80*0.87</f>
        <v>78018.708467999997</v>
      </c>
      <c r="X80" s="80"/>
      <c r="Y80" s="78"/>
      <c r="Z80" s="80"/>
      <c r="AA80" s="80"/>
      <c r="AB80" s="80"/>
      <c r="AC80" s="80"/>
      <c r="AE80" s="78"/>
      <c r="AG80" s="78"/>
    </row>
    <row r="81" spans="1:33" ht="15" customHeight="1" x14ac:dyDescent="0.2">
      <c r="A81" s="102"/>
      <c r="B81" s="131"/>
      <c r="C81" s="131" t="s">
        <v>90</v>
      </c>
      <c r="D81" s="109">
        <v>1</v>
      </c>
      <c r="E81" s="73">
        <v>6500</v>
      </c>
      <c r="F81" s="74">
        <f>ROUND(E81*F$12,2)</f>
        <v>7150</v>
      </c>
      <c r="G81" s="74">
        <f>F81*1.1*1.1+0.5</f>
        <v>8652.0000000000018</v>
      </c>
      <c r="H81" s="74">
        <v>10692.91</v>
      </c>
      <c r="I81" s="74">
        <f t="shared" si="53"/>
        <v>11762.201000000001</v>
      </c>
      <c r="J81" s="74">
        <v>12467.933060000001</v>
      </c>
      <c r="K81" s="74">
        <f>ROUND('26.08.22'!K81*1.04,2)</f>
        <v>17896.259999999998</v>
      </c>
      <c r="L81" s="75" t="s">
        <v>194</v>
      </c>
      <c r="M81" s="83">
        <v>30</v>
      </c>
      <c r="N81" s="76"/>
      <c r="O81" s="78">
        <f>ROUND((K81*M81/100),2)</f>
        <v>5368.88</v>
      </c>
      <c r="P81" s="78">
        <f t="shared" ref="P81:P87" si="59">ROUND(K81*1.14,2)</f>
        <v>20401.740000000002</v>
      </c>
      <c r="Q81" s="78">
        <f t="shared" si="55"/>
        <v>27560.240399999999</v>
      </c>
      <c r="R81" s="79">
        <f t="shared" si="56"/>
        <v>71227.1204</v>
      </c>
      <c r="S81" s="78">
        <f t="shared" si="57"/>
        <v>4474.07</v>
      </c>
      <c r="T81" s="78">
        <v>1.54</v>
      </c>
      <c r="U81" s="78">
        <f t="shared" si="58"/>
        <v>75701.190399999992</v>
      </c>
      <c r="V81" s="79">
        <f t="shared" si="15"/>
        <v>61967.594747999996</v>
      </c>
      <c r="W81" s="78">
        <f t="shared" si="0"/>
        <v>65860.03564799999</v>
      </c>
      <c r="X81" s="80">
        <v>3</v>
      </c>
      <c r="Y81" s="78">
        <v>3</v>
      </c>
      <c r="Z81" s="80">
        <f t="shared" si="1"/>
        <v>0</v>
      </c>
      <c r="AA81" s="80">
        <f t="shared" si="2"/>
        <v>0</v>
      </c>
      <c r="AB81" s="80">
        <f t="shared" si="3"/>
        <v>53688.78</v>
      </c>
      <c r="AC81" s="80"/>
      <c r="AD81">
        <v>0.1</v>
      </c>
      <c r="AE81" s="78">
        <f t="shared" si="4"/>
        <v>1789.626</v>
      </c>
      <c r="AF81">
        <v>0.2</v>
      </c>
      <c r="AG81" s="78">
        <f t="shared" si="5"/>
        <v>3579.252</v>
      </c>
    </row>
    <row r="82" spans="1:33" ht="12.75" customHeight="1" x14ac:dyDescent="0.2">
      <c r="A82" s="102"/>
      <c r="B82" s="107"/>
      <c r="C82" s="131" t="s">
        <v>90</v>
      </c>
      <c r="D82" s="109">
        <v>1</v>
      </c>
      <c r="E82" s="73">
        <v>6500</v>
      </c>
      <c r="F82" s="74">
        <f>ROUND(E82*F$12,2)</f>
        <v>7150</v>
      </c>
      <c r="G82" s="74">
        <f>F82*1.1*1.1+0.5</f>
        <v>8652.0000000000018</v>
      </c>
      <c r="H82" s="74">
        <v>10692.91</v>
      </c>
      <c r="I82" s="74">
        <f t="shared" si="53"/>
        <v>11762.201000000001</v>
      </c>
      <c r="J82" s="74">
        <v>12467.933060000001</v>
      </c>
      <c r="K82" s="74">
        <f>ROUND('26.08.22'!K82*1.04,2)</f>
        <v>17896.259999999998</v>
      </c>
      <c r="L82" s="75" t="s">
        <v>92</v>
      </c>
      <c r="M82" s="83">
        <v>30</v>
      </c>
      <c r="N82" s="76"/>
      <c r="O82" s="78">
        <f t="shared" si="54"/>
        <v>5368.88</v>
      </c>
      <c r="P82" s="78">
        <f t="shared" si="59"/>
        <v>20401.740000000002</v>
      </c>
      <c r="Q82" s="78">
        <f t="shared" si="55"/>
        <v>27560.240399999999</v>
      </c>
      <c r="R82" s="79">
        <f t="shared" si="56"/>
        <v>71227.1204</v>
      </c>
      <c r="S82" s="78">
        <f t="shared" si="57"/>
        <v>4474.07</v>
      </c>
      <c r="T82" s="78">
        <v>1.54</v>
      </c>
      <c r="U82" s="78">
        <f t="shared" si="58"/>
        <v>75701.190399999992</v>
      </c>
      <c r="V82" s="79">
        <f t="shared" si="15"/>
        <v>61967.594747999996</v>
      </c>
      <c r="W82" s="78">
        <f t="shared" si="0"/>
        <v>65860.03564799999</v>
      </c>
      <c r="X82" s="80">
        <v>3</v>
      </c>
      <c r="Y82" s="78">
        <v>3</v>
      </c>
      <c r="Z82" s="80">
        <f t="shared" si="1"/>
        <v>0</v>
      </c>
      <c r="AA82" s="80">
        <f t="shared" si="2"/>
        <v>0</v>
      </c>
      <c r="AB82" s="80">
        <f t="shared" si="3"/>
        <v>53688.78</v>
      </c>
      <c r="AC82" s="80"/>
      <c r="AD82">
        <v>0.1</v>
      </c>
      <c r="AE82" s="78">
        <f t="shared" si="4"/>
        <v>1789.626</v>
      </c>
      <c r="AF82">
        <v>0.2</v>
      </c>
      <c r="AG82" s="78">
        <f t="shared" si="5"/>
        <v>3579.252</v>
      </c>
    </row>
    <row r="83" spans="1:33" ht="12.75" customHeight="1" x14ac:dyDescent="0.2">
      <c r="A83" s="102"/>
      <c r="B83" s="107"/>
      <c r="C83" s="131" t="s">
        <v>90</v>
      </c>
      <c r="D83" s="109">
        <v>1</v>
      </c>
      <c r="E83" s="73">
        <v>6500</v>
      </c>
      <c r="F83" s="74">
        <f>ROUND(E83*F$12,2)</f>
        <v>7150</v>
      </c>
      <c r="G83" s="74">
        <f>F83*1.1*1.1+0.5</f>
        <v>8652.0000000000018</v>
      </c>
      <c r="H83" s="74">
        <v>10692.91</v>
      </c>
      <c r="I83" s="74">
        <f t="shared" si="53"/>
        <v>11762.201000000001</v>
      </c>
      <c r="J83" s="74">
        <v>12467.933060000001</v>
      </c>
      <c r="K83" s="74">
        <f>ROUND('26.08.22'!K83*1.04,2)</f>
        <v>17896.259999999998</v>
      </c>
      <c r="L83" s="75" t="s">
        <v>91</v>
      </c>
      <c r="M83" s="83">
        <v>30</v>
      </c>
      <c r="N83" s="76"/>
      <c r="O83" s="78">
        <f t="shared" si="54"/>
        <v>5368.88</v>
      </c>
      <c r="P83" s="78">
        <f t="shared" si="59"/>
        <v>20401.740000000002</v>
      </c>
      <c r="Q83" s="78">
        <f t="shared" si="55"/>
        <v>27560.240399999999</v>
      </c>
      <c r="R83" s="79">
        <f t="shared" si="56"/>
        <v>71227.1204</v>
      </c>
      <c r="S83" s="78">
        <f t="shared" si="57"/>
        <v>4474.07</v>
      </c>
      <c r="T83" s="78">
        <v>1.54</v>
      </c>
      <c r="U83" s="78">
        <f t="shared" si="58"/>
        <v>75701.190399999992</v>
      </c>
      <c r="V83" s="79">
        <f t="shared" si="15"/>
        <v>61967.594747999996</v>
      </c>
      <c r="W83" s="78">
        <f t="shared" si="0"/>
        <v>65860.03564799999</v>
      </c>
      <c r="X83" s="80">
        <v>3</v>
      </c>
      <c r="Y83" s="78"/>
      <c r="Z83" s="80">
        <f t="shared" si="1"/>
        <v>3</v>
      </c>
      <c r="AA83" s="80">
        <f t="shared" si="2"/>
        <v>53688.78</v>
      </c>
      <c r="AB83" s="80">
        <f t="shared" si="3"/>
        <v>0</v>
      </c>
      <c r="AC83" s="80"/>
      <c r="AD83">
        <v>0.1</v>
      </c>
      <c r="AE83" s="78">
        <f t="shared" si="4"/>
        <v>1789.626</v>
      </c>
      <c r="AF83">
        <v>0.2</v>
      </c>
      <c r="AG83" s="78">
        <f t="shared" si="5"/>
        <v>3579.252</v>
      </c>
    </row>
    <row r="84" spans="1:33" ht="12.75" customHeight="1" x14ac:dyDescent="0.2">
      <c r="A84" s="102"/>
      <c r="B84" s="107"/>
      <c r="C84" s="131" t="s">
        <v>90</v>
      </c>
      <c r="D84" s="109">
        <v>1</v>
      </c>
      <c r="E84" s="73"/>
      <c r="F84" s="74"/>
      <c r="G84" s="74"/>
      <c r="H84" s="74"/>
      <c r="I84" s="74"/>
      <c r="J84" s="74"/>
      <c r="K84" s="74">
        <f>ROUND('26.08.22'!K84*1.04,2)</f>
        <v>17896.259999999998</v>
      </c>
      <c r="L84" s="75" t="s">
        <v>199</v>
      </c>
      <c r="M84" s="83">
        <v>30</v>
      </c>
      <c r="N84" s="76"/>
      <c r="O84" s="78">
        <f t="shared" si="54"/>
        <v>5368.88</v>
      </c>
      <c r="P84" s="78">
        <f t="shared" si="59"/>
        <v>20401.740000000002</v>
      </c>
      <c r="Q84" s="78">
        <f t="shared" si="55"/>
        <v>27560.240399999999</v>
      </c>
      <c r="R84" s="79">
        <f t="shared" si="56"/>
        <v>71227.1204</v>
      </c>
      <c r="S84" s="78">
        <f t="shared" si="57"/>
        <v>4474.07</v>
      </c>
      <c r="T84" s="78">
        <v>1.54</v>
      </c>
      <c r="U84" s="78">
        <f t="shared" si="58"/>
        <v>75701.190399999992</v>
      </c>
      <c r="V84" s="79">
        <f t="shared" si="15"/>
        <v>61967.594747999996</v>
      </c>
      <c r="W84" s="78">
        <f t="shared" si="0"/>
        <v>65860.03564799999</v>
      </c>
      <c r="X84" s="80"/>
      <c r="Y84" s="78"/>
      <c r="Z84" s="80"/>
      <c r="AA84" s="80"/>
      <c r="AB84" s="80">
        <f t="shared" si="3"/>
        <v>0</v>
      </c>
      <c r="AC84" s="80"/>
      <c r="AE84" s="78"/>
      <c r="AG84" s="78"/>
    </row>
    <row r="85" spans="1:33" ht="12.75" customHeight="1" x14ac:dyDescent="0.2">
      <c r="A85" s="102"/>
      <c r="B85" s="107"/>
      <c r="C85" s="120" t="s">
        <v>48</v>
      </c>
      <c r="D85" s="109">
        <v>1</v>
      </c>
      <c r="E85" s="73"/>
      <c r="F85" s="74"/>
      <c r="G85" s="74"/>
      <c r="H85" s="74">
        <v>9212.35</v>
      </c>
      <c r="I85" s="74">
        <f t="shared" si="53"/>
        <v>10133.585000000001</v>
      </c>
      <c r="J85" s="74">
        <v>10741.600100000001</v>
      </c>
      <c r="K85" s="74">
        <f>ROUND('26.08.22'!K85*1.04,2)</f>
        <v>15418.33</v>
      </c>
      <c r="L85" s="75" t="s">
        <v>198</v>
      </c>
      <c r="M85" s="83">
        <v>30</v>
      </c>
      <c r="N85" s="76"/>
      <c r="O85" s="78">
        <f t="shared" si="54"/>
        <v>4625.5</v>
      </c>
      <c r="P85" s="78">
        <f t="shared" si="59"/>
        <v>17576.900000000001</v>
      </c>
      <c r="Q85" s="78">
        <f t="shared" si="55"/>
        <v>22202.395199999999</v>
      </c>
      <c r="R85" s="79">
        <f t="shared" si="56"/>
        <v>59823.125200000002</v>
      </c>
      <c r="S85" s="78">
        <f t="shared" si="57"/>
        <v>3854.58</v>
      </c>
      <c r="T85" s="78">
        <v>1.44</v>
      </c>
      <c r="U85" s="78">
        <f t="shared" si="58"/>
        <v>63677.705200000004</v>
      </c>
      <c r="V85" s="79">
        <f t="shared" si="15"/>
        <v>52046.118924000002</v>
      </c>
      <c r="W85" s="78">
        <f t="shared" si="0"/>
        <v>55399.603524000006</v>
      </c>
      <c r="X85" s="80">
        <v>3</v>
      </c>
      <c r="Y85" s="78">
        <v>3</v>
      </c>
      <c r="Z85" s="80">
        <f t="shared" si="1"/>
        <v>0</v>
      </c>
      <c r="AA85" s="80">
        <f t="shared" si="2"/>
        <v>0</v>
      </c>
      <c r="AB85" s="80">
        <f t="shared" si="3"/>
        <v>46254.99</v>
      </c>
      <c r="AC85" s="80"/>
      <c r="AD85">
        <v>0.1</v>
      </c>
      <c r="AE85" s="78">
        <f t="shared" si="4"/>
        <v>1541.8330000000001</v>
      </c>
      <c r="AF85">
        <v>0.2</v>
      </c>
      <c r="AG85" s="78">
        <f t="shared" si="5"/>
        <v>3083.6660000000002</v>
      </c>
    </row>
    <row r="86" spans="1:33" ht="12.75" customHeight="1" x14ac:dyDescent="0.2">
      <c r="A86" s="102"/>
      <c r="B86" s="107"/>
      <c r="C86" s="120" t="s">
        <v>48</v>
      </c>
      <c r="D86" s="109">
        <v>0</v>
      </c>
      <c r="E86" s="73"/>
      <c r="F86" s="74"/>
      <c r="G86" s="74"/>
      <c r="H86" s="74">
        <v>9212.35</v>
      </c>
      <c r="I86" s="74">
        <f t="shared" si="53"/>
        <v>10133.585000000001</v>
      </c>
      <c r="J86" s="74">
        <v>10741.600100000001</v>
      </c>
      <c r="K86" s="74">
        <f>ROUND('26.08.22'!K86*1.04,2)</f>
        <v>0</v>
      </c>
      <c r="M86" s="83">
        <v>0</v>
      </c>
      <c r="N86" s="76"/>
      <c r="O86" s="78">
        <f>ROUND((K86*M86/100),2)</f>
        <v>0</v>
      </c>
      <c r="P86" s="78">
        <f t="shared" si="59"/>
        <v>0</v>
      </c>
      <c r="Q86" s="78">
        <f t="shared" si="55"/>
        <v>0</v>
      </c>
      <c r="R86" s="79">
        <f t="shared" si="56"/>
        <v>0</v>
      </c>
      <c r="S86" s="78">
        <f t="shared" si="57"/>
        <v>0</v>
      </c>
      <c r="T86" s="78">
        <v>1.44</v>
      </c>
      <c r="U86" s="78">
        <f t="shared" si="58"/>
        <v>0</v>
      </c>
      <c r="V86" s="79">
        <f t="shared" si="15"/>
        <v>0</v>
      </c>
      <c r="W86" s="78">
        <f t="shared" si="0"/>
        <v>0</v>
      </c>
      <c r="X86" s="80">
        <v>3</v>
      </c>
      <c r="Y86" s="78"/>
      <c r="Z86" s="80">
        <f t="shared" si="1"/>
        <v>3</v>
      </c>
      <c r="AA86" s="80">
        <f t="shared" si="2"/>
        <v>0</v>
      </c>
      <c r="AB86" s="80">
        <f t="shared" si="3"/>
        <v>0</v>
      </c>
      <c r="AC86" s="80"/>
      <c r="AD86">
        <v>0.1</v>
      </c>
      <c r="AE86" s="78">
        <f t="shared" si="4"/>
        <v>0</v>
      </c>
      <c r="AF86">
        <v>0.2</v>
      </c>
      <c r="AG86" s="78">
        <f t="shared" si="5"/>
        <v>0</v>
      </c>
    </row>
    <row r="87" spans="1:33" ht="12.75" customHeight="1" x14ac:dyDescent="0.2">
      <c r="A87" s="102"/>
      <c r="B87" s="107"/>
      <c r="C87" s="120" t="s">
        <v>48</v>
      </c>
      <c r="D87" s="109">
        <v>1</v>
      </c>
      <c r="E87" s="73"/>
      <c r="F87" s="74"/>
      <c r="G87" s="74"/>
      <c r="H87" s="74">
        <v>9212.35</v>
      </c>
      <c r="I87" s="74">
        <f t="shared" si="53"/>
        <v>10133.585000000001</v>
      </c>
      <c r="J87" s="74">
        <v>10741.600100000001</v>
      </c>
      <c r="K87" s="74">
        <f>ROUND('26.08.22'!K87*1.04,2)</f>
        <v>15418.33</v>
      </c>
      <c r="L87" s="75" t="s">
        <v>200</v>
      </c>
      <c r="M87" s="217">
        <v>30</v>
      </c>
      <c r="N87" s="76"/>
      <c r="O87" s="78">
        <f>ROUND((K87*M87/100),2)</f>
        <v>4625.5</v>
      </c>
      <c r="P87" s="78">
        <f t="shared" si="59"/>
        <v>17576.900000000001</v>
      </c>
      <c r="Q87" s="78">
        <f t="shared" si="55"/>
        <v>22202.395199999999</v>
      </c>
      <c r="R87" s="79">
        <f t="shared" si="56"/>
        <v>59823.125200000002</v>
      </c>
      <c r="S87" s="78">
        <f t="shared" si="57"/>
        <v>3854.58</v>
      </c>
      <c r="T87" s="78">
        <v>1.44</v>
      </c>
      <c r="U87" s="78">
        <f t="shared" si="58"/>
        <v>63677.705200000004</v>
      </c>
      <c r="V87" s="79">
        <f t="shared" ref="V87" si="60">R87*0.87</f>
        <v>52046.118924000002</v>
      </c>
      <c r="W87" s="78">
        <f t="shared" ref="W87" si="61">U87*0.87</f>
        <v>55399.603524000006</v>
      </c>
      <c r="X87" s="80">
        <v>4</v>
      </c>
      <c r="Y87" s="78"/>
      <c r="Z87" s="80">
        <f t="shared" si="1"/>
        <v>4</v>
      </c>
      <c r="AA87" s="80">
        <f t="shared" si="2"/>
        <v>61673.32</v>
      </c>
      <c r="AB87" s="80">
        <f t="shared" si="3"/>
        <v>0</v>
      </c>
      <c r="AC87" s="80"/>
      <c r="AD87">
        <v>1.1000000000000001</v>
      </c>
      <c r="AE87" s="78">
        <f t="shared" si="4"/>
        <v>16960.163</v>
      </c>
      <c r="AF87">
        <v>1.2</v>
      </c>
      <c r="AG87" s="78">
        <f t="shared" si="5"/>
        <v>18501.995999999999</v>
      </c>
    </row>
    <row r="88" spans="1:33" x14ac:dyDescent="0.2">
      <c r="A88" s="86"/>
      <c r="B88" s="107"/>
      <c r="C88" s="87" t="s">
        <v>51</v>
      </c>
      <c r="D88" s="111">
        <f>SUM(D79:D87)</f>
        <v>8</v>
      </c>
      <c r="E88" s="134">
        <f>SUM(E79:E85)</f>
        <v>27000</v>
      </c>
      <c r="F88" s="134">
        <f>SUM(F79:F85)</f>
        <v>29700</v>
      </c>
      <c r="G88" s="134">
        <f>SUM(G79:G85)</f>
        <v>35939</v>
      </c>
      <c r="H88" s="134">
        <f>SUM(H79:H86)</f>
        <v>73534.320000000007</v>
      </c>
      <c r="I88" s="134">
        <f>SUM(I79:I86)</f>
        <v>80887.752000000008</v>
      </c>
      <c r="J88" s="134">
        <v>73273.084060000008</v>
      </c>
      <c r="K88" s="90">
        <f>SUM(K79:K87)</f>
        <v>147024.62999999998</v>
      </c>
      <c r="L88" s="90"/>
      <c r="M88" s="90"/>
      <c r="N88" s="90">
        <f t="shared" ref="N88" si="62">SUM(N79:N86)</f>
        <v>0</v>
      </c>
      <c r="O88" s="90">
        <f>SUM(O79:O87)</f>
        <v>41767.120000000003</v>
      </c>
      <c r="P88" s="90">
        <f t="shared" ref="P88:W88" si="63">SUM(P79:P87)</f>
        <v>169948.37</v>
      </c>
      <c r="Q88" s="90">
        <f t="shared" si="63"/>
        <v>223334.26420000001</v>
      </c>
      <c r="R88" s="90">
        <f t="shared" si="63"/>
        <v>582074.38420000009</v>
      </c>
      <c r="S88" s="90">
        <f t="shared" si="63"/>
        <v>36756.17</v>
      </c>
      <c r="T88" s="90">
        <f t="shared" si="63"/>
        <v>13.559999999999999</v>
      </c>
      <c r="U88" s="90">
        <f t="shared" si="63"/>
        <v>618830.55419999978</v>
      </c>
      <c r="V88" s="90">
        <f t="shared" si="63"/>
        <v>506404.71425399999</v>
      </c>
      <c r="W88" s="90">
        <f t="shared" si="63"/>
        <v>538382.58215399995</v>
      </c>
      <c r="X88" s="80"/>
      <c r="Y88" s="90"/>
      <c r="Z88" s="80"/>
      <c r="AA88" s="80">
        <f t="shared" si="2"/>
        <v>0</v>
      </c>
      <c r="AB88" s="80">
        <f t="shared" si="3"/>
        <v>0</v>
      </c>
      <c r="AC88" s="91"/>
      <c r="AD88">
        <v>0.1</v>
      </c>
      <c r="AE88" s="134">
        <f t="shared" si="4"/>
        <v>14702.462999999998</v>
      </c>
      <c r="AF88">
        <v>0.2</v>
      </c>
      <c r="AG88" s="134">
        <f t="shared" si="5"/>
        <v>29404.925999999996</v>
      </c>
    </row>
    <row r="89" spans="1:33" ht="18" customHeight="1" x14ac:dyDescent="0.2">
      <c r="A89" s="86"/>
      <c r="B89" s="87"/>
      <c r="C89" s="70" t="s">
        <v>73</v>
      </c>
      <c r="D89" s="111">
        <f>D77+D88+D57+D58</f>
        <v>25</v>
      </c>
      <c r="E89" s="134">
        <f t="shared" ref="E89:I89" si="64">SUM(E57:E58)+E77+E88</f>
        <v>73300</v>
      </c>
      <c r="F89" s="134">
        <f t="shared" si="64"/>
        <v>79530</v>
      </c>
      <c r="G89" s="134">
        <f t="shared" si="64"/>
        <v>96236</v>
      </c>
      <c r="H89" s="134">
        <f t="shared" si="64"/>
        <v>169441.50000000003</v>
      </c>
      <c r="I89" s="134">
        <f t="shared" si="64"/>
        <v>186385.65000000002</v>
      </c>
      <c r="J89" s="134">
        <v>185100.85594000004</v>
      </c>
      <c r="K89" s="90">
        <f>K88+K77+K57+K58</f>
        <v>476040.42000000004</v>
      </c>
      <c r="L89" s="90"/>
      <c r="M89" s="90"/>
      <c r="N89" s="90">
        <f t="shared" ref="N89" si="65">N88+N77+N57+N58</f>
        <v>0</v>
      </c>
      <c r="O89" s="90">
        <f>O88+O77+O57+O58</f>
        <v>117605.95</v>
      </c>
      <c r="P89" s="90">
        <f t="shared" ref="P89:W89" si="66">P88+P77+P57+P58</f>
        <v>550078.65999999992</v>
      </c>
      <c r="Q89" s="90">
        <f t="shared" si="66"/>
        <v>700916.5074</v>
      </c>
      <c r="R89" s="90">
        <f t="shared" si="66"/>
        <v>1800974.6574000001</v>
      </c>
      <c r="S89" s="90">
        <f t="shared" si="66"/>
        <v>119010.18</v>
      </c>
      <c r="T89" s="90">
        <f t="shared" si="66"/>
        <v>44.179999999999993</v>
      </c>
      <c r="U89" s="90">
        <f t="shared" si="66"/>
        <v>1915510.7673999995</v>
      </c>
      <c r="V89" s="90">
        <f t="shared" si="66"/>
        <v>1566847.9519380003</v>
      </c>
      <c r="W89" s="90">
        <f t="shared" si="66"/>
        <v>1666494.3676379996</v>
      </c>
      <c r="X89" s="80"/>
      <c r="Y89" s="90"/>
      <c r="Z89" s="80"/>
      <c r="AA89" s="80">
        <f t="shared" si="2"/>
        <v>0</v>
      </c>
      <c r="AB89" s="80">
        <f t="shared" si="3"/>
        <v>0</v>
      </c>
      <c r="AC89" s="91"/>
      <c r="AD89">
        <v>0.1</v>
      </c>
      <c r="AE89" s="134">
        <f t="shared" si="4"/>
        <v>47604.042000000009</v>
      </c>
      <c r="AF89">
        <v>0.2</v>
      </c>
      <c r="AG89" s="134">
        <f t="shared" si="5"/>
        <v>95208.084000000017</v>
      </c>
    </row>
    <row r="90" spans="1:33" ht="23.25" customHeight="1" x14ac:dyDescent="0.2">
      <c r="A90" s="59" t="s">
        <v>93</v>
      </c>
      <c r="B90" s="87"/>
      <c r="C90" s="70"/>
      <c r="D90" s="111"/>
      <c r="E90" s="134"/>
      <c r="F90" s="134"/>
      <c r="G90" s="134"/>
      <c r="H90" s="134"/>
      <c r="I90" s="134"/>
      <c r="J90" s="134"/>
      <c r="K90" s="90"/>
      <c r="L90" s="90"/>
      <c r="M90" s="111"/>
      <c r="N90" s="111"/>
      <c r="O90" s="134"/>
      <c r="P90" s="134"/>
      <c r="Q90" s="134"/>
      <c r="R90" s="79"/>
      <c r="S90" s="134"/>
      <c r="T90" s="134"/>
      <c r="U90" s="134"/>
      <c r="V90" s="135"/>
      <c r="W90" s="134"/>
      <c r="X90" s="80"/>
      <c r="Y90" s="134"/>
      <c r="Z90" s="80"/>
      <c r="AA90" s="80">
        <f t="shared" si="2"/>
        <v>0</v>
      </c>
      <c r="AB90" s="80">
        <f t="shared" si="3"/>
        <v>0</v>
      </c>
      <c r="AC90" s="136"/>
      <c r="AD90">
        <v>0.1</v>
      </c>
      <c r="AE90" s="134"/>
      <c r="AG90" s="134"/>
    </row>
    <row r="91" spans="1:33" x14ac:dyDescent="0.2">
      <c r="A91" s="86"/>
      <c r="B91" s="87"/>
      <c r="C91" s="87" t="s">
        <v>58</v>
      </c>
      <c r="D91" s="137">
        <v>1</v>
      </c>
      <c r="E91" s="134"/>
      <c r="F91" s="134"/>
      <c r="G91" s="134"/>
      <c r="H91" s="134"/>
      <c r="I91" s="134"/>
      <c r="J91" s="138">
        <v>16304.212980000004</v>
      </c>
      <c r="K91" s="74">
        <f>ROUND('26.08.22'!K91*1.04,2)</f>
        <v>23402.77</v>
      </c>
      <c r="L91" s="105" t="s">
        <v>94</v>
      </c>
      <c r="M91" s="139">
        <v>15</v>
      </c>
      <c r="N91" s="137"/>
      <c r="O91" s="78">
        <f>ROUND((K91*M91/100),2)</f>
        <v>3510.42</v>
      </c>
      <c r="P91" s="78">
        <f>ROUND(K91*1.24,2)</f>
        <v>29019.43</v>
      </c>
      <c r="Q91" s="78">
        <f>K91*T91</f>
        <v>36040.265800000001</v>
      </c>
      <c r="R91" s="79">
        <f>K91+O91+P91+Q91</f>
        <v>91972.885800000004</v>
      </c>
      <c r="S91" s="78">
        <f>ROUND(K91*S$12,2)</f>
        <v>5850.69</v>
      </c>
      <c r="T91" s="78">
        <v>1.54</v>
      </c>
      <c r="U91" s="78">
        <f>K91+O91+P91+Q91+S91</f>
        <v>97823.575800000006</v>
      </c>
      <c r="V91" s="79">
        <f t="shared" ref="V91:V154" si="67">R91*0.87</f>
        <v>80016.410646000004</v>
      </c>
      <c r="W91" s="78">
        <f t="shared" ref="W91:W154" si="68">U91*0.87</f>
        <v>85106.510946000009</v>
      </c>
      <c r="X91" s="80">
        <v>3</v>
      </c>
      <c r="Y91" s="78">
        <v>3</v>
      </c>
      <c r="Z91" s="80">
        <f t="shared" si="1"/>
        <v>0</v>
      </c>
      <c r="AA91" s="80">
        <f t="shared" si="2"/>
        <v>0</v>
      </c>
      <c r="AB91" s="80">
        <f t="shared" si="3"/>
        <v>70208.31</v>
      </c>
      <c r="AC91" s="80"/>
      <c r="AD91">
        <v>0.1</v>
      </c>
      <c r="AE91" s="78">
        <f t="shared" si="4"/>
        <v>2340.277</v>
      </c>
      <c r="AF91">
        <v>0.2</v>
      </c>
      <c r="AG91" s="78">
        <f t="shared" si="5"/>
        <v>4680.5540000000001</v>
      </c>
    </row>
    <row r="92" spans="1:33" x14ac:dyDescent="0.2">
      <c r="A92" s="86"/>
      <c r="B92" s="87"/>
      <c r="C92" s="107" t="s">
        <v>45</v>
      </c>
      <c r="D92" s="137">
        <v>1</v>
      </c>
      <c r="E92" s="134"/>
      <c r="F92" s="134"/>
      <c r="G92" s="134"/>
      <c r="H92" s="134"/>
      <c r="I92" s="134"/>
      <c r="J92" s="138">
        <v>12467.933060000001</v>
      </c>
      <c r="K92" s="74">
        <f>ROUND('26.08.22'!K92*1.04,2)</f>
        <v>17896.259999999998</v>
      </c>
      <c r="L92" s="75" t="s">
        <v>95</v>
      </c>
      <c r="M92" s="76">
        <v>30</v>
      </c>
      <c r="N92" s="76"/>
      <c r="O92" s="78">
        <f>ROUND((K92*M92/100),2)</f>
        <v>5368.88</v>
      </c>
      <c r="P92" s="78">
        <f>ROUND(K92*1.14,2)</f>
        <v>20401.740000000002</v>
      </c>
      <c r="Q92" s="78">
        <f>K92*T92</f>
        <v>27560.240399999999</v>
      </c>
      <c r="R92" s="79">
        <f>K92+O92+P92+Q92</f>
        <v>71227.1204</v>
      </c>
      <c r="S92" s="78">
        <f>ROUND(K92*S$12,2)</f>
        <v>4474.07</v>
      </c>
      <c r="T92" s="78">
        <v>1.54</v>
      </c>
      <c r="U92" s="78">
        <f>K92+O92+P92+Q92+S92</f>
        <v>75701.190399999992</v>
      </c>
      <c r="V92" s="79">
        <f t="shared" si="67"/>
        <v>61967.594747999996</v>
      </c>
      <c r="W92" s="78">
        <f t="shared" si="68"/>
        <v>65860.03564799999</v>
      </c>
      <c r="X92" s="80">
        <v>3</v>
      </c>
      <c r="Y92" s="78"/>
      <c r="Z92" s="80">
        <f t="shared" ref="Z92:Z155" si="69">X92-Y92</f>
        <v>3</v>
      </c>
      <c r="AA92" s="80">
        <f t="shared" ref="AA92:AA155" si="70">K92*Z92</f>
        <v>53688.78</v>
      </c>
      <c r="AB92" s="80">
        <f t="shared" ref="AB92:AB155" si="71">K92*Y92</f>
        <v>0</v>
      </c>
      <c r="AC92" s="80"/>
      <c r="AD92">
        <v>0.1</v>
      </c>
      <c r="AE92" s="78">
        <f t="shared" ref="AE92:AE155" si="72">K92*AD92</f>
        <v>1789.626</v>
      </c>
      <c r="AF92">
        <v>0.2</v>
      </c>
      <c r="AG92" s="78">
        <f t="shared" ref="AG92:AG131" si="73">AF92*K92</f>
        <v>3579.252</v>
      </c>
    </row>
    <row r="93" spans="1:33" x14ac:dyDescent="0.2">
      <c r="A93" s="86"/>
      <c r="B93" s="87"/>
      <c r="C93" s="87" t="s">
        <v>96</v>
      </c>
      <c r="D93" s="111">
        <f>SUM(D91:D92)</f>
        <v>2</v>
      </c>
      <c r="E93" s="134"/>
      <c r="F93" s="134"/>
      <c r="G93" s="134"/>
      <c r="H93" s="134"/>
      <c r="I93" s="134"/>
      <c r="J93" s="134">
        <v>28772.146040000007</v>
      </c>
      <c r="K93" s="90">
        <f>SUM(K91:K92)</f>
        <v>41299.03</v>
      </c>
      <c r="L93" s="90"/>
      <c r="M93" s="90"/>
      <c r="N93" s="90">
        <f t="shared" ref="N93:W93" si="74">SUM(N91:N92)</f>
        <v>0</v>
      </c>
      <c r="O93" s="90">
        <f t="shared" si="74"/>
        <v>8879.2999999999993</v>
      </c>
      <c r="P93" s="90">
        <f t="shared" si="74"/>
        <v>49421.17</v>
      </c>
      <c r="Q93" s="90">
        <f t="shared" si="74"/>
        <v>63600.506200000003</v>
      </c>
      <c r="R93" s="90">
        <f t="shared" si="74"/>
        <v>163200.0062</v>
      </c>
      <c r="S93" s="90">
        <f t="shared" si="74"/>
        <v>10324.759999999998</v>
      </c>
      <c r="T93" s="90"/>
      <c r="U93" s="90">
        <f t="shared" si="74"/>
        <v>173524.76620000001</v>
      </c>
      <c r="V93" s="90">
        <f t="shared" si="74"/>
        <v>141984.00539400001</v>
      </c>
      <c r="W93" s="90">
        <f t="shared" si="74"/>
        <v>150966.54659400001</v>
      </c>
      <c r="X93" s="80"/>
      <c r="Y93" s="90"/>
      <c r="Z93" s="80"/>
      <c r="AA93" s="80">
        <f t="shared" si="70"/>
        <v>0</v>
      </c>
      <c r="AB93" s="80">
        <f t="shared" si="71"/>
        <v>0</v>
      </c>
      <c r="AC93" s="91"/>
      <c r="AD93">
        <v>0.1</v>
      </c>
      <c r="AE93" s="89">
        <f t="shared" si="72"/>
        <v>4129.9030000000002</v>
      </c>
      <c r="AF93">
        <v>0.2</v>
      </c>
      <c r="AG93" s="89">
        <f t="shared" si="73"/>
        <v>8259.8060000000005</v>
      </c>
    </row>
    <row r="94" spans="1:33" ht="32.25" customHeight="1" x14ac:dyDescent="0.2">
      <c r="A94" s="59" t="s">
        <v>97</v>
      </c>
      <c r="B94" s="93"/>
      <c r="C94" s="93"/>
      <c r="D94" s="111"/>
      <c r="E94" s="95"/>
      <c r="F94" s="95"/>
      <c r="G94" s="95"/>
      <c r="H94" s="95"/>
      <c r="I94" s="95"/>
      <c r="J94" s="95"/>
      <c r="K94" s="90"/>
      <c r="L94" s="90"/>
      <c r="M94" s="97"/>
      <c r="N94" s="97"/>
      <c r="O94" s="98"/>
      <c r="P94" s="99" t="s">
        <v>40</v>
      </c>
      <c r="Q94" s="66" t="s">
        <v>57</v>
      </c>
      <c r="R94" s="79"/>
      <c r="S94" s="98"/>
      <c r="T94" s="99"/>
      <c r="U94" s="98"/>
      <c r="V94" s="100"/>
      <c r="W94" s="98"/>
      <c r="X94" s="80"/>
      <c r="Y94" s="98"/>
      <c r="Z94" s="80"/>
      <c r="AA94" s="80">
        <f t="shared" si="70"/>
        <v>0</v>
      </c>
      <c r="AB94" s="80">
        <f t="shared" si="71"/>
        <v>0</v>
      </c>
      <c r="AC94" s="101"/>
      <c r="AD94">
        <v>0.1</v>
      </c>
      <c r="AE94" s="98"/>
      <c r="AG94" s="98"/>
    </row>
    <row r="95" spans="1:33" x14ac:dyDescent="0.2">
      <c r="A95" s="102"/>
      <c r="B95" s="87"/>
      <c r="C95" s="87" t="s">
        <v>58</v>
      </c>
      <c r="D95" s="108">
        <v>1</v>
      </c>
      <c r="E95" s="118">
        <v>8500</v>
      </c>
      <c r="F95" s="74">
        <f t="shared" ref="F95:F104" si="75">ROUND(E95*F$12,2)</f>
        <v>9350</v>
      </c>
      <c r="G95" s="74">
        <f>F95*1.1*1.1+0.5</f>
        <v>11314.000000000002</v>
      </c>
      <c r="H95" s="74">
        <v>13983.03</v>
      </c>
      <c r="I95" s="74">
        <f t="shared" ref="I95:I104" si="76">H95*$I$12</f>
        <v>15381.333000000002</v>
      </c>
      <c r="J95" s="74">
        <v>16304.212980000004</v>
      </c>
      <c r="K95" s="74">
        <f>ROUND('26.08.22'!K95*1.04,2)</f>
        <v>23402.77</v>
      </c>
      <c r="L95" s="105" t="s">
        <v>98</v>
      </c>
      <c r="M95" s="76">
        <v>30</v>
      </c>
      <c r="N95" s="76"/>
      <c r="O95" s="78">
        <f>ROUND((K95*M95/100),2)</f>
        <v>7020.83</v>
      </c>
      <c r="P95" s="78">
        <f>ROUND(K95*1.24,2)</f>
        <v>29019.43</v>
      </c>
      <c r="Q95" s="78">
        <f>K95*T95</f>
        <v>36040.265800000001</v>
      </c>
      <c r="R95" s="79">
        <f>K95+O95+P95+Q95</f>
        <v>95483.295799999993</v>
      </c>
      <c r="S95" s="78">
        <f>ROUND(K95*S$12,2)</f>
        <v>5850.69</v>
      </c>
      <c r="T95" s="78">
        <v>1.54</v>
      </c>
      <c r="U95" s="78">
        <f>K95+O95+P95+Q95+S95</f>
        <v>101333.98579999999</v>
      </c>
      <c r="V95" s="79">
        <f t="shared" si="67"/>
        <v>83070.46734599999</v>
      </c>
      <c r="W95" s="78">
        <f t="shared" si="68"/>
        <v>88160.567645999996</v>
      </c>
      <c r="X95" s="80">
        <v>3</v>
      </c>
      <c r="Y95" s="78"/>
      <c r="Z95" s="80">
        <f t="shared" si="69"/>
        <v>3</v>
      </c>
      <c r="AA95" s="80">
        <f t="shared" si="70"/>
        <v>70208.31</v>
      </c>
      <c r="AB95" s="80">
        <f t="shared" si="71"/>
        <v>0</v>
      </c>
      <c r="AC95" s="80"/>
      <c r="AD95">
        <v>0.1</v>
      </c>
      <c r="AE95" s="78">
        <f t="shared" si="72"/>
        <v>2340.277</v>
      </c>
      <c r="AF95">
        <v>0.2</v>
      </c>
      <c r="AG95" s="78">
        <f t="shared" si="73"/>
        <v>4680.5540000000001</v>
      </c>
    </row>
    <row r="96" spans="1:33" ht="21.75" customHeight="1" x14ac:dyDescent="0.2">
      <c r="A96" s="102"/>
      <c r="B96" s="107"/>
      <c r="C96" s="82" t="s">
        <v>99</v>
      </c>
      <c r="D96" s="72">
        <v>1</v>
      </c>
      <c r="E96" s="73">
        <v>7700</v>
      </c>
      <c r="F96" s="74">
        <f t="shared" si="75"/>
        <v>8470</v>
      </c>
      <c r="G96" s="74">
        <f>F96*1.1*1.1+0.3</f>
        <v>10249</v>
      </c>
      <c r="H96" s="74">
        <v>12666.98</v>
      </c>
      <c r="I96" s="74">
        <f t="shared" si="76"/>
        <v>13933.678</v>
      </c>
      <c r="J96" s="74">
        <v>14769.698680000001</v>
      </c>
      <c r="K96" s="74">
        <f>ROUND('26.08.22'!K96*1.04,2)</f>
        <v>21200.16</v>
      </c>
      <c r="L96" s="75" t="s">
        <v>103</v>
      </c>
      <c r="M96" s="83">
        <v>30</v>
      </c>
      <c r="N96" s="76"/>
      <c r="O96" s="78">
        <f t="shared" ref="O96:O104" si="77">ROUND((K96*M96/100),2)</f>
        <v>6360.05</v>
      </c>
      <c r="P96" s="78">
        <f>ROUND(K96*1.14,2)</f>
        <v>24168.18</v>
      </c>
      <c r="Q96" s="78">
        <f t="shared" ref="Q96:Q104" si="78">K96*T96</f>
        <v>32648.2464</v>
      </c>
      <c r="R96" s="79">
        <f t="shared" ref="R96:R130" si="79">K96+O96+P96+Q96</f>
        <v>84376.636400000003</v>
      </c>
      <c r="S96" s="78">
        <f t="shared" ref="S96:S130" si="80">ROUND(K96*S$12,2)</f>
        <v>5300.04</v>
      </c>
      <c r="T96" s="78">
        <v>1.54</v>
      </c>
      <c r="U96" s="78">
        <f t="shared" ref="U96:U130" si="81">K96+O96+P96+Q96+S96</f>
        <v>89676.676399999997</v>
      </c>
      <c r="V96" s="79">
        <f t="shared" si="67"/>
        <v>73407.673668000003</v>
      </c>
      <c r="W96" s="78">
        <f t="shared" si="68"/>
        <v>78018.708467999997</v>
      </c>
      <c r="X96" s="80">
        <v>3</v>
      </c>
      <c r="Y96" s="78"/>
      <c r="Z96" s="80">
        <f t="shared" si="69"/>
        <v>3</v>
      </c>
      <c r="AA96" s="80">
        <f t="shared" si="70"/>
        <v>63600.479999999996</v>
      </c>
      <c r="AB96" s="80">
        <f t="shared" si="71"/>
        <v>0</v>
      </c>
      <c r="AC96" s="80"/>
      <c r="AD96">
        <v>0.1</v>
      </c>
      <c r="AE96" s="78">
        <f t="shared" si="72"/>
        <v>2120.0160000000001</v>
      </c>
      <c r="AF96">
        <v>0.2</v>
      </c>
      <c r="AG96" s="78">
        <f t="shared" si="73"/>
        <v>4240.0320000000002</v>
      </c>
    </row>
    <row r="97" spans="1:33" x14ac:dyDescent="0.2">
      <c r="A97" s="102">
        <f>K98/2</f>
        <v>8948.1299999999992</v>
      </c>
      <c r="B97" s="107"/>
      <c r="C97" s="107" t="s">
        <v>45</v>
      </c>
      <c r="D97" s="109">
        <v>1</v>
      </c>
      <c r="E97" s="73">
        <v>6500</v>
      </c>
      <c r="F97" s="74">
        <f t="shared" si="75"/>
        <v>7150</v>
      </c>
      <c r="G97" s="74">
        <f>F97*1.1*1.1+0.5</f>
        <v>8652.0000000000018</v>
      </c>
      <c r="H97" s="74">
        <v>10692.91</v>
      </c>
      <c r="I97" s="74">
        <f t="shared" si="76"/>
        <v>11762.201000000001</v>
      </c>
      <c r="J97" s="74">
        <v>12467.933060000001</v>
      </c>
      <c r="K97" s="74">
        <f>ROUND('26.08.22'!K97*1.04,2)</f>
        <v>17896.259999999998</v>
      </c>
      <c r="L97" s="75" t="s">
        <v>100</v>
      </c>
      <c r="M97" s="76">
        <v>30</v>
      </c>
      <c r="N97" s="76"/>
      <c r="O97" s="78">
        <f t="shared" si="77"/>
        <v>5368.88</v>
      </c>
      <c r="P97" s="78">
        <f t="shared" ref="P97:P104" si="82">ROUND(K97*1.14,2)</f>
        <v>20401.740000000002</v>
      </c>
      <c r="Q97" s="78">
        <f>K97*T97</f>
        <v>27560.240399999999</v>
      </c>
      <c r="R97" s="79">
        <f t="shared" si="79"/>
        <v>71227.1204</v>
      </c>
      <c r="S97" s="78">
        <f t="shared" si="80"/>
        <v>4474.07</v>
      </c>
      <c r="T97" s="78">
        <v>1.54</v>
      </c>
      <c r="U97" s="78">
        <f t="shared" si="81"/>
        <v>75701.190399999992</v>
      </c>
      <c r="V97" s="79">
        <f t="shared" si="67"/>
        <v>61967.594747999996</v>
      </c>
      <c r="W97" s="78">
        <f t="shared" si="68"/>
        <v>65860.03564799999</v>
      </c>
      <c r="X97" s="80">
        <v>3</v>
      </c>
      <c r="Y97" s="78">
        <v>2</v>
      </c>
      <c r="Z97" s="80">
        <f t="shared" si="69"/>
        <v>1</v>
      </c>
      <c r="AA97" s="80">
        <f t="shared" si="70"/>
        <v>17896.259999999998</v>
      </c>
      <c r="AB97" s="80">
        <f t="shared" si="71"/>
        <v>35792.519999999997</v>
      </c>
      <c r="AC97" s="80"/>
      <c r="AD97">
        <v>0.1</v>
      </c>
      <c r="AE97" s="78">
        <f t="shared" si="72"/>
        <v>1789.626</v>
      </c>
      <c r="AF97">
        <v>0.2</v>
      </c>
      <c r="AG97" s="78">
        <f t="shared" si="73"/>
        <v>3579.252</v>
      </c>
    </row>
    <row r="98" spans="1:33" x14ac:dyDescent="0.2">
      <c r="A98" s="102"/>
      <c r="B98" s="107"/>
      <c r="C98" s="107" t="s">
        <v>45</v>
      </c>
      <c r="D98" s="109">
        <v>1</v>
      </c>
      <c r="E98" s="73"/>
      <c r="F98" s="74"/>
      <c r="G98" s="74"/>
      <c r="H98" s="74"/>
      <c r="I98" s="74"/>
      <c r="J98" s="74"/>
      <c r="K98" s="74">
        <f>ROUND('26.08.22'!K98*1.04,2)</f>
        <v>17896.259999999998</v>
      </c>
      <c r="L98" s="75" t="s">
        <v>101</v>
      </c>
      <c r="M98" s="76">
        <v>0</v>
      </c>
      <c r="N98" s="76"/>
      <c r="O98" s="78">
        <f t="shared" si="77"/>
        <v>0</v>
      </c>
      <c r="P98" s="78">
        <f t="shared" si="82"/>
        <v>20401.740000000002</v>
      </c>
      <c r="Q98" s="78">
        <f t="shared" si="78"/>
        <v>27560.240399999999</v>
      </c>
      <c r="R98" s="79">
        <f t="shared" si="79"/>
        <v>65858.240399999995</v>
      </c>
      <c r="S98" s="78">
        <f t="shared" si="80"/>
        <v>4474.07</v>
      </c>
      <c r="T98" s="78">
        <v>1.54</v>
      </c>
      <c r="U98" s="78">
        <f t="shared" si="81"/>
        <v>70332.310399999988</v>
      </c>
      <c r="V98" s="79">
        <f t="shared" si="67"/>
        <v>57296.669147999994</v>
      </c>
      <c r="W98" s="78">
        <f t="shared" si="68"/>
        <v>61189.110047999988</v>
      </c>
      <c r="X98" s="80"/>
      <c r="Y98" s="78"/>
      <c r="Z98" s="80"/>
      <c r="AA98" s="80"/>
      <c r="AB98" s="80"/>
      <c r="AC98" s="80"/>
      <c r="AE98" s="78"/>
      <c r="AG98" s="78"/>
    </row>
    <row r="99" spans="1:33" x14ac:dyDescent="0.2">
      <c r="A99" s="102"/>
      <c r="B99" s="107"/>
      <c r="C99" s="107" t="s">
        <v>45</v>
      </c>
      <c r="D99" s="109">
        <v>1</v>
      </c>
      <c r="E99" s="73">
        <v>6500</v>
      </c>
      <c r="F99" s="74">
        <f>ROUND(E99*F$12,2)</f>
        <v>7150</v>
      </c>
      <c r="G99" s="74">
        <f>F99*1.1*1.1+0.5</f>
        <v>8652.0000000000018</v>
      </c>
      <c r="H99" s="74">
        <v>10692.91</v>
      </c>
      <c r="I99" s="74">
        <f>H99*$I$12</f>
        <v>11762.201000000001</v>
      </c>
      <c r="J99" s="74">
        <v>12467.933060000001</v>
      </c>
      <c r="K99" s="74">
        <f>ROUND('26.08.22'!K99*1.04,2)</f>
        <v>17896.259999999998</v>
      </c>
      <c r="L99" s="75" t="s">
        <v>102</v>
      </c>
      <c r="M99" s="83">
        <v>15</v>
      </c>
      <c r="N99" s="76"/>
      <c r="O99" s="78">
        <f>ROUND((K99*M99/100),2)</f>
        <v>2684.44</v>
      </c>
      <c r="P99" s="78">
        <f>ROUND(K99*1.14,2)</f>
        <v>20401.740000000002</v>
      </c>
      <c r="Q99" s="78">
        <f>K99*T99</f>
        <v>27560.240399999999</v>
      </c>
      <c r="R99" s="79">
        <f>K99+O99+P99+Q99</f>
        <v>68542.680399999997</v>
      </c>
      <c r="S99" s="78">
        <f>ROUND(K99*S$12,2)</f>
        <v>4474.07</v>
      </c>
      <c r="T99" s="78">
        <v>1.54</v>
      </c>
      <c r="U99" s="78">
        <f>K99+O99+P99+Q99+S99</f>
        <v>73016.75039999999</v>
      </c>
      <c r="V99" s="79">
        <f>R99*0.87</f>
        <v>59632.131947999995</v>
      </c>
      <c r="W99" s="78">
        <f>U99*0.87</f>
        <v>63524.572847999989</v>
      </c>
      <c r="X99" s="80">
        <v>3</v>
      </c>
      <c r="Y99" s="78">
        <v>3</v>
      </c>
      <c r="Z99" s="80">
        <f>X99-Y99</f>
        <v>0</v>
      </c>
      <c r="AA99" s="80">
        <f>K99*Z99</f>
        <v>0</v>
      </c>
      <c r="AB99" s="80">
        <f>K99*Y99</f>
        <v>53688.78</v>
      </c>
      <c r="AC99" s="80"/>
      <c r="AD99">
        <v>0.1</v>
      </c>
      <c r="AE99" s="78">
        <f>K99*AD99</f>
        <v>1789.626</v>
      </c>
      <c r="AF99">
        <v>0.2</v>
      </c>
      <c r="AG99" s="78">
        <f>AF99*K99</f>
        <v>3579.252</v>
      </c>
    </row>
    <row r="100" spans="1:33" x14ac:dyDescent="0.2">
      <c r="A100" s="102"/>
      <c r="B100" s="107"/>
      <c r="C100" s="107" t="s">
        <v>45</v>
      </c>
      <c r="D100" s="109">
        <v>1</v>
      </c>
      <c r="E100" s="73">
        <v>6500</v>
      </c>
      <c r="F100" s="74">
        <f>ROUND(E100*F$12,2)</f>
        <v>7150</v>
      </c>
      <c r="G100" s="74">
        <f>F100*1.1*1.1+0.5</f>
        <v>8652.0000000000018</v>
      </c>
      <c r="H100" s="74">
        <v>10692.91</v>
      </c>
      <c r="I100" s="74">
        <f>H100*$I$12</f>
        <v>11762.201000000001</v>
      </c>
      <c r="J100" s="74">
        <v>12467.933060000001</v>
      </c>
      <c r="K100" s="74">
        <f>ROUND('26.08.22'!K100*1.04,2)</f>
        <v>8948.1299999999992</v>
      </c>
      <c r="L100" s="218" t="s">
        <v>208</v>
      </c>
      <c r="M100" s="216">
        <v>20</v>
      </c>
      <c r="N100" s="216"/>
      <c r="O100" s="79">
        <f>ROUND((K100*M100/100),2)</f>
        <v>1789.63</v>
      </c>
      <c r="P100" s="79">
        <f>ROUND(K100*1.14,2)</f>
        <v>10200.870000000001</v>
      </c>
      <c r="Q100" s="78">
        <f>K100*T100</f>
        <v>13780.120199999999</v>
      </c>
      <c r="R100" s="79">
        <f>K100+O100+P100+Q100</f>
        <v>34718.750199999995</v>
      </c>
      <c r="S100" s="78">
        <f>ROUND(K100*S$12,2)</f>
        <v>2237.0300000000002</v>
      </c>
      <c r="T100" s="78">
        <v>1.54</v>
      </c>
      <c r="U100" s="78">
        <f>K100+O100+P100+Q100+S100</f>
        <v>36955.780199999994</v>
      </c>
      <c r="V100" s="79">
        <f>R100*0.87</f>
        <v>30205.312673999997</v>
      </c>
      <c r="W100" s="78">
        <f>U100*0.87</f>
        <v>32151.528773999995</v>
      </c>
      <c r="X100" s="80">
        <v>3</v>
      </c>
      <c r="Y100" s="78"/>
      <c r="Z100" s="80">
        <f>X100-Y100</f>
        <v>3</v>
      </c>
      <c r="AA100" s="80">
        <f>K100*Z100</f>
        <v>26844.39</v>
      </c>
      <c r="AB100" s="80">
        <f>K100*Y100</f>
        <v>0</v>
      </c>
      <c r="AC100" s="80"/>
      <c r="AD100">
        <v>0.1</v>
      </c>
      <c r="AE100" s="78">
        <f>K100*AD100</f>
        <v>894.81299999999999</v>
      </c>
      <c r="AF100">
        <v>0.2</v>
      </c>
      <c r="AG100" s="78">
        <f>AF100*K100</f>
        <v>1789.626</v>
      </c>
    </row>
    <row r="101" spans="1:33" x14ac:dyDescent="0.2">
      <c r="A101" s="102"/>
      <c r="B101" s="107"/>
      <c r="C101" s="107" t="s">
        <v>45</v>
      </c>
      <c r="D101" s="109">
        <v>1</v>
      </c>
      <c r="E101" s="73">
        <v>6500</v>
      </c>
      <c r="F101" s="74">
        <f>ROUND(E101*F$12,2)</f>
        <v>7150</v>
      </c>
      <c r="G101" s="74">
        <f>F101*1.1*1.1+0.5</f>
        <v>8652.0000000000018</v>
      </c>
      <c r="H101" s="74">
        <v>10692.91</v>
      </c>
      <c r="I101" s="74">
        <f>H101*$I$12</f>
        <v>11762.201000000001</v>
      </c>
      <c r="J101" s="74">
        <v>12467.933060000001</v>
      </c>
      <c r="K101" s="74">
        <f>ROUND('26.08.22'!K101*1.04,2)</f>
        <v>17896.259999999998</v>
      </c>
      <c r="L101" s="105" t="s">
        <v>104</v>
      </c>
      <c r="M101" s="83">
        <v>15</v>
      </c>
      <c r="N101" s="76"/>
      <c r="O101" s="78">
        <f>ROUND((K101*M101/100),2)</f>
        <v>2684.44</v>
      </c>
      <c r="P101" s="78">
        <f>ROUND(K101*1.14,2)</f>
        <v>20401.740000000002</v>
      </c>
      <c r="Q101" s="78">
        <f>K101*T101</f>
        <v>27560.240399999999</v>
      </c>
      <c r="R101" s="79">
        <f>K101+O101+P101+Q101</f>
        <v>68542.680399999997</v>
      </c>
      <c r="S101" s="78">
        <f>ROUND(K101*S$12,2)</f>
        <v>4474.07</v>
      </c>
      <c r="T101" s="78">
        <v>1.54</v>
      </c>
      <c r="U101" s="78">
        <f>K101+O101+P101+Q101+S101</f>
        <v>73016.75039999999</v>
      </c>
      <c r="V101" s="79">
        <f>R101*0.87</f>
        <v>59632.131947999995</v>
      </c>
      <c r="W101" s="78">
        <f>U101*0.87</f>
        <v>63524.572847999989</v>
      </c>
      <c r="X101" s="80">
        <v>3</v>
      </c>
      <c r="Y101" s="78"/>
      <c r="Z101" s="80">
        <f>X101-Y101</f>
        <v>3</v>
      </c>
      <c r="AA101" s="80">
        <f>K101*Z101</f>
        <v>53688.78</v>
      </c>
      <c r="AB101" s="80">
        <f>K101*Y101</f>
        <v>0</v>
      </c>
      <c r="AC101" s="80"/>
      <c r="AD101">
        <v>0.1</v>
      </c>
      <c r="AE101" s="78">
        <f>K101*AD101</f>
        <v>1789.626</v>
      </c>
      <c r="AF101">
        <v>0.2</v>
      </c>
      <c r="AG101" s="78">
        <f>AF101*K101</f>
        <v>3579.252</v>
      </c>
    </row>
    <row r="102" spans="1:33" x14ac:dyDescent="0.2">
      <c r="A102" s="86" t="s">
        <v>0</v>
      </c>
      <c r="B102" s="107"/>
      <c r="C102" s="107" t="s">
        <v>48</v>
      </c>
      <c r="D102" s="109">
        <v>1</v>
      </c>
      <c r="E102" s="73">
        <v>5600</v>
      </c>
      <c r="F102" s="74">
        <f t="shared" si="75"/>
        <v>6160</v>
      </c>
      <c r="G102" s="74">
        <f>F102*1.1*1.1+0.4</f>
        <v>7454.0000000000009</v>
      </c>
      <c r="H102" s="74">
        <v>9212.35</v>
      </c>
      <c r="I102" s="74">
        <f t="shared" si="76"/>
        <v>10133.585000000001</v>
      </c>
      <c r="J102" s="74">
        <v>10741.600100000001</v>
      </c>
      <c r="K102" s="74">
        <f>ROUND('26.08.22'!K102*1.04,2)</f>
        <v>15418.33</v>
      </c>
      <c r="L102" s="105" t="s">
        <v>197</v>
      </c>
      <c r="M102" s="83">
        <v>30</v>
      </c>
      <c r="N102" s="83"/>
      <c r="O102" s="78">
        <f t="shared" si="77"/>
        <v>4625.5</v>
      </c>
      <c r="P102" s="78">
        <f t="shared" si="82"/>
        <v>17576.900000000001</v>
      </c>
      <c r="Q102" s="78">
        <f t="shared" si="78"/>
        <v>22202.395199999999</v>
      </c>
      <c r="R102" s="79">
        <f t="shared" si="79"/>
        <v>59823.125200000002</v>
      </c>
      <c r="S102" s="78">
        <f t="shared" si="80"/>
        <v>3854.58</v>
      </c>
      <c r="T102" s="78">
        <v>1.44</v>
      </c>
      <c r="U102" s="78">
        <f t="shared" si="81"/>
        <v>63677.705200000004</v>
      </c>
      <c r="V102" s="79">
        <f t="shared" si="67"/>
        <v>52046.118924000002</v>
      </c>
      <c r="W102" s="78">
        <f t="shared" si="68"/>
        <v>55399.603524000006</v>
      </c>
      <c r="X102" s="80">
        <v>3</v>
      </c>
      <c r="Y102" s="78"/>
      <c r="Z102" s="80">
        <f t="shared" si="69"/>
        <v>3</v>
      </c>
      <c r="AA102" s="80">
        <f t="shared" si="70"/>
        <v>46254.99</v>
      </c>
      <c r="AB102" s="80">
        <f t="shared" si="71"/>
        <v>0</v>
      </c>
      <c r="AC102" s="80"/>
      <c r="AD102">
        <v>0.1</v>
      </c>
      <c r="AE102" s="78">
        <f t="shared" si="72"/>
        <v>1541.8330000000001</v>
      </c>
      <c r="AF102">
        <v>0.2</v>
      </c>
      <c r="AG102" s="78">
        <f t="shared" si="73"/>
        <v>3083.6660000000002</v>
      </c>
    </row>
    <row r="103" spans="1:33" ht="12" customHeight="1" x14ac:dyDescent="0.2">
      <c r="A103" s="102"/>
      <c r="B103" s="107"/>
      <c r="C103" s="107" t="s">
        <v>48</v>
      </c>
      <c r="D103" s="109">
        <v>1</v>
      </c>
      <c r="E103" s="73">
        <v>5600</v>
      </c>
      <c r="F103" s="74">
        <f t="shared" si="75"/>
        <v>6160</v>
      </c>
      <c r="G103" s="74">
        <f>F103*1.1*1.1+0.4</f>
        <v>7454.0000000000009</v>
      </c>
      <c r="H103" s="74">
        <v>9212.35</v>
      </c>
      <c r="I103" s="74">
        <f t="shared" si="76"/>
        <v>10133.585000000001</v>
      </c>
      <c r="J103" s="74">
        <v>10741.600100000001</v>
      </c>
      <c r="K103" s="74">
        <f>ROUND('26.08.22'!K103*1.04,2)</f>
        <v>15418.33</v>
      </c>
      <c r="L103" s="75" t="s">
        <v>105</v>
      </c>
      <c r="M103" s="76">
        <v>30</v>
      </c>
      <c r="N103" s="76"/>
      <c r="O103" s="78">
        <f t="shared" si="77"/>
        <v>4625.5</v>
      </c>
      <c r="P103" s="78">
        <f t="shared" si="82"/>
        <v>17576.900000000001</v>
      </c>
      <c r="Q103" s="78">
        <f t="shared" si="78"/>
        <v>22202.395199999999</v>
      </c>
      <c r="R103" s="79">
        <f t="shared" si="79"/>
        <v>59823.125200000002</v>
      </c>
      <c r="S103" s="78">
        <f t="shared" si="80"/>
        <v>3854.58</v>
      </c>
      <c r="T103" s="78">
        <v>1.44</v>
      </c>
      <c r="U103" s="78">
        <f t="shared" si="81"/>
        <v>63677.705200000004</v>
      </c>
      <c r="V103" s="79">
        <f t="shared" si="67"/>
        <v>52046.118924000002</v>
      </c>
      <c r="W103" s="78">
        <f t="shared" si="68"/>
        <v>55399.603524000006</v>
      </c>
      <c r="X103" s="80">
        <v>3</v>
      </c>
      <c r="Y103" s="78">
        <v>3</v>
      </c>
      <c r="Z103" s="80">
        <f t="shared" si="69"/>
        <v>0</v>
      </c>
      <c r="AA103" s="80">
        <f t="shared" si="70"/>
        <v>0</v>
      </c>
      <c r="AB103" s="80">
        <f t="shared" si="71"/>
        <v>46254.99</v>
      </c>
      <c r="AC103" s="80"/>
      <c r="AD103">
        <v>0.1</v>
      </c>
      <c r="AE103" s="78">
        <f t="shared" si="72"/>
        <v>1541.8330000000001</v>
      </c>
      <c r="AF103">
        <v>0.2</v>
      </c>
      <c r="AG103" s="78">
        <f t="shared" si="73"/>
        <v>3083.6660000000002</v>
      </c>
    </row>
    <row r="104" spans="1:33" x14ac:dyDescent="0.2">
      <c r="A104" s="102"/>
      <c r="B104" s="107"/>
      <c r="C104" s="107" t="s">
        <v>45</v>
      </c>
      <c r="D104" s="109">
        <v>1</v>
      </c>
      <c r="E104" s="73">
        <v>5600</v>
      </c>
      <c r="F104" s="74">
        <f t="shared" si="75"/>
        <v>6160</v>
      </c>
      <c r="G104" s="74">
        <f>F104*1.1*1.1+0.4</f>
        <v>7454.0000000000009</v>
      </c>
      <c r="H104" s="74">
        <v>9212.35</v>
      </c>
      <c r="I104" s="74">
        <f t="shared" si="76"/>
        <v>10133.585000000001</v>
      </c>
      <c r="J104" s="74">
        <v>10741.600100000001</v>
      </c>
      <c r="K104" s="74">
        <f>ROUND('26.08.22'!K104*1.04,2)</f>
        <v>17896.259999999998</v>
      </c>
      <c r="L104" s="75" t="s">
        <v>106</v>
      </c>
      <c r="M104" s="83">
        <v>30</v>
      </c>
      <c r="N104" s="76"/>
      <c r="O104" s="78">
        <f t="shared" si="77"/>
        <v>5368.88</v>
      </c>
      <c r="P104" s="78">
        <f t="shared" si="82"/>
        <v>20401.740000000002</v>
      </c>
      <c r="Q104" s="78">
        <f t="shared" si="78"/>
        <v>27560.240399999999</v>
      </c>
      <c r="R104" s="79">
        <f t="shared" si="79"/>
        <v>71227.1204</v>
      </c>
      <c r="S104" s="78">
        <f t="shared" si="80"/>
        <v>4474.07</v>
      </c>
      <c r="T104" s="78">
        <v>1.54</v>
      </c>
      <c r="U104" s="78">
        <f t="shared" si="81"/>
        <v>75701.190399999992</v>
      </c>
      <c r="V104" s="79">
        <f t="shared" si="67"/>
        <v>61967.594747999996</v>
      </c>
      <c r="W104" s="78">
        <f t="shared" si="68"/>
        <v>65860.03564799999</v>
      </c>
      <c r="X104" s="80">
        <v>3</v>
      </c>
      <c r="Y104" s="78">
        <v>3</v>
      </c>
      <c r="Z104" s="80">
        <f t="shared" si="69"/>
        <v>0</v>
      </c>
      <c r="AA104" s="80">
        <f t="shared" si="70"/>
        <v>0</v>
      </c>
      <c r="AB104" s="80">
        <f t="shared" si="71"/>
        <v>53688.78</v>
      </c>
      <c r="AC104" s="80"/>
      <c r="AD104">
        <v>0.1</v>
      </c>
      <c r="AE104" s="78">
        <f t="shared" si="72"/>
        <v>1789.626</v>
      </c>
      <c r="AF104">
        <v>0.2</v>
      </c>
      <c r="AG104" s="78">
        <f t="shared" si="73"/>
        <v>3579.252</v>
      </c>
    </row>
    <row r="105" spans="1:33" x14ac:dyDescent="0.2">
      <c r="A105" s="102"/>
      <c r="B105" s="87"/>
      <c r="C105" s="87" t="s">
        <v>96</v>
      </c>
      <c r="D105" s="111">
        <f t="shared" ref="D105:I105" si="83">SUM(D95:D104)</f>
        <v>10</v>
      </c>
      <c r="E105" s="95">
        <f t="shared" si="83"/>
        <v>59000</v>
      </c>
      <c r="F105" s="95">
        <f t="shared" si="83"/>
        <v>64900</v>
      </c>
      <c r="G105" s="95">
        <f t="shared" si="83"/>
        <v>78533</v>
      </c>
      <c r="H105" s="95">
        <f t="shared" si="83"/>
        <v>97058.700000000026</v>
      </c>
      <c r="I105" s="95">
        <f t="shared" si="83"/>
        <v>106764.57000000002</v>
      </c>
      <c r="J105" s="95">
        <v>113170.44420000001</v>
      </c>
      <c r="K105" s="90">
        <f>SUM(K95:K104)</f>
        <v>173869.02</v>
      </c>
      <c r="L105" s="90"/>
      <c r="M105" s="90"/>
      <c r="N105" s="90">
        <f t="shared" ref="N105" si="84">SUM(N95:N104)</f>
        <v>0</v>
      </c>
      <c r="O105" s="90">
        <f>SUM(O95:O104)</f>
        <v>40528.15</v>
      </c>
      <c r="P105" s="90">
        <f t="shared" ref="P105:W105" si="85">SUM(P95:P104)</f>
        <v>200550.97999999998</v>
      </c>
      <c r="Q105" s="90">
        <f t="shared" si="85"/>
        <v>264674.62479999999</v>
      </c>
      <c r="R105" s="90">
        <f t="shared" si="85"/>
        <v>679622.77480000001</v>
      </c>
      <c r="S105" s="90">
        <f t="shared" si="85"/>
        <v>43467.27</v>
      </c>
      <c r="T105" s="90">
        <f t="shared" si="85"/>
        <v>15.2</v>
      </c>
      <c r="U105" s="90">
        <f t="shared" si="85"/>
        <v>723090.0447999998</v>
      </c>
      <c r="V105" s="90">
        <f t="shared" si="85"/>
        <v>591271.81407600001</v>
      </c>
      <c r="W105" s="90">
        <f t="shared" si="85"/>
        <v>629088.33897599997</v>
      </c>
      <c r="X105" s="80"/>
      <c r="Y105" s="90"/>
      <c r="Z105" s="80"/>
      <c r="AA105" s="80">
        <f t="shared" si="70"/>
        <v>0</v>
      </c>
      <c r="AB105" s="80">
        <f t="shared" si="71"/>
        <v>0</v>
      </c>
      <c r="AC105" s="91"/>
      <c r="AD105">
        <v>0.1</v>
      </c>
      <c r="AE105" s="95">
        <f t="shared" si="72"/>
        <v>17386.901999999998</v>
      </c>
      <c r="AF105">
        <v>0.2</v>
      </c>
      <c r="AG105" s="95">
        <f t="shared" si="73"/>
        <v>34773.803999999996</v>
      </c>
    </row>
    <row r="106" spans="1:33" ht="19.5" customHeight="1" x14ac:dyDescent="0.2">
      <c r="A106" s="59" t="s">
        <v>107</v>
      </c>
      <c r="B106" s="93"/>
      <c r="C106" s="93"/>
      <c r="D106" s="94"/>
      <c r="E106" s="95"/>
      <c r="F106" s="95"/>
      <c r="G106" s="95"/>
      <c r="H106" s="95"/>
      <c r="I106" s="95"/>
      <c r="J106" s="95"/>
      <c r="K106" s="90"/>
      <c r="L106" s="96"/>
      <c r="M106" s="97"/>
      <c r="N106" s="97"/>
      <c r="O106" s="98"/>
      <c r="P106" s="99" t="s">
        <v>108</v>
      </c>
      <c r="Q106" s="66" t="s">
        <v>109</v>
      </c>
      <c r="R106" s="79"/>
      <c r="S106" s="98"/>
      <c r="T106" s="99"/>
      <c r="U106" s="98"/>
      <c r="V106" s="100"/>
      <c r="W106" s="98"/>
      <c r="X106" s="80"/>
      <c r="Y106" s="98"/>
      <c r="Z106" s="80"/>
      <c r="AA106" s="80">
        <f t="shared" si="70"/>
        <v>0</v>
      </c>
      <c r="AB106" s="80">
        <f t="shared" si="71"/>
        <v>0</v>
      </c>
      <c r="AC106" s="101"/>
      <c r="AD106">
        <v>0.1</v>
      </c>
      <c r="AE106" s="98"/>
      <c r="AG106" s="98"/>
    </row>
    <row r="107" spans="1:33" x14ac:dyDescent="0.2">
      <c r="A107" s="102"/>
      <c r="B107" s="87"/>
      <c r="C107" s="87" t="s">
        <v>58</v>
      </c>
      <c r="D107" s="72">
        <v>1</v>
      </c>
      <c r="E107" s="73">
        <v>8500</v>
      </c>
      <c r="F107" s="74">
        <f t="shared" ref="F107:F116" si="86">ROUND(E107*F$12,2)</f>
        <v>9350</v>
      </c>
      <c r="G107" s="74">
        <f>F107*1.1*1.1+0.5</f>
        <v>11314.000000000002</v>
      </c>
      <c r="H107" s="74">
        <v>13983.03</v>
      </c>
      <c r="I107" s="74">
        <f t="shared" ref="I107:I116" si="87">H107*$I$12</f>
        <v>15381.333000000002</v>
      </c>
      <c r="J107" s="74">
        <v>16304.212980000004</v>
      </c>
      <c r="K107" s="74">
        <f>ROUND('26.08.22'!K107*1.04,2)</f>
        <v>23402.77</v>
      </c>
      <c r="L107" s="105" t="s">
        <v>110</v>
      </c>
      <c r="M107" s="76">
        <v>20</v>
      </c>
      <c r="N107" s="76"/>
      <c r="O107" s="78">
        <f>ROUND((K107*M107/100),2)</f>
        <v>4680.55</v>
      </c>
      <c r="P107" s="78">
        <f>ROUND(K107*1.24,2)</f>
        <v>29019.43</v>
      </c>
      <c r="Q107" s="78">
        <f>K107*T107</f>
        <v>36040.265800000001</v>
      </c>
      <c r="R107" s="79">
        <f t="shared" si="79"/>
        <v>93143.015799999994</v>
      </c>
      <c r="S107" s="78">
        <f t="shared" si="80"/>
        <v>5850.69</v>
      </c>
      <c r="T107" s="78">
        <v>1.54</v>
      </c>
      <c r="U107" s="78">
        <f t="shared" si="81"/>
        <v>98993.705799999996</v>
      </c>
      <c r="V107" s="79">
        <f t="shared" si="67"/>
        <v>81034.423746</v>
      </c>
      <c r="W107" s="78">
        <f t="shared" si="68"/>
        <v>86124.524045999991</v>
      </c>
      <c r="X107" s="80">
        <v>3</v>
      </c>
      <c r="Y107" s="78">
        <v>3</v>
      </c>
      <c r="Z107" s="80">
        <f t="shared" si="69"/>
        <v>0</v>
      </c>
      <c r="AA107" s="80">
        <f t="shared" si="70"/>
        <v>0</v>
      </c>
      <c r="AB107" s="80">
        <f t="shared" si="71"/>
        <v>70208.31</v>
      </c>
      <c r="AC107" s="80"/>
      <c r="AD107">
        <v>0.1</v>
      </c>
      <c r="AE107" s="78">
        <f t="shared" si="72"/>
        <v>2340.277</v>
      </c>
      <c r="AF107">
        <v>0.2</v>
      </c>
      <c r="AG107" s="78">
        <f t="shared" si="73"/>
        <v>4680.5540000000001</v>
      </c>
    </row>
    <row r="108" spans="1:33" ht="16.5" customHeight="1" x14ac:dyDescent="0.2">
      <c r="A108" s="102"/>
      <c r="B108" s="87"/>
      <c r="C108" s="82" t="s">
        <v>99</v>
      </c>
      <c r="D108" s="72">
        <v>1</v>
      </c>
      <c r="E108" s="73">
        <v>7700</v>
      </c>
      <c r="F108" s="74">
        <f t="shared" si="86"/>
        <v>8470</v>
      </c>
      <c r="G108" s="74">
        <f>F108*1.1*1.1+0.3</f>
        <v>10249</v>
      </c>
      <c r="H108" s="74">
        <v>12666.98</v>
      </c>
      <c r="I108" s="74">
        <f t="shared" si="87"/>
        <v>13933.678</v>
      </c>
      <c r="J108" s="74">
        <v>14769.698680000001</v>
      </c>
      <c r="K108" s="74">
        <f>ROUND('26.08.22'!K108*1.04,2)</f>
        <v>21200.16</v>
      </c>
      <c r="L108" s="75" t="s">
        <v>111</v>
      </c>
      <c r="M108" s="76">
        <v>30</v>
      </c>
      <c r="N108" s="76"/>
      <c r="O108" s="78">
        <f t="shared" ref="O108:O130" si="88">ROUND((K108*M108/100),2)</f>
        <v>6360.05</v>
      </c>
      <c r="P108" s="78">
        <f>ROUND(K108*1.14,2)</f>
        <v>24168.18</v>
      </c>
      <c r="Q108" s="78">
        <f t="shared" ref="Q108:Q130" si="89">K108*T108</f>
        <v>32648.2464</v>
      </c>
      <c r="R108" s="79">
        <f t="shared" si="79"/>
        <v>84376.636400000003</v>
      </c>
      <c r="S108" s="78">
        <f t="shared" si="80"/>
        <v>5300.04</v>
      </c>
      <c r="T108" s="78">
        <v>1.54</v>
      </c>
      <c r="U108" s="78">
        <f t="shared" si="81"/>
        <v>89676.676399999997</v>
      </c>
      <c r="V108" s="79">
        <f t="shared" si="67"/>
        <v>73407.673668000003</v>
      </c>
      <c r="W108" s="78">
        <f t="shared" si="68"/>
        <v>78018.708467999997</v>
      </c>
      <c r="X108" s="80">
        <v>3</v>
      </c>
      <c r="Y108" s="78">
        <v>3</v>
      </c>
      <c r="Z108" s="80">
        <f t="shared" si="69"/>
        <v>0</v>
      </c>
      <c r="AA108" s="80">
        <f t="shared" si="70"/>
        <v>0</v>
      </c>
      <c r="AB108" s="80">
        <f t="shared" si="71"/>
        <v>63600.479999999996</v>
      </c>
      <c r="AC108" s="80"/>
      <c r="AD108">
        <v>0.1</v>
      </c>
      <c r="AE108" s="78">
        <f t="shared" si="72"/>
        <v>2120.0160000000001</v>
      </c>
      <c r="AF108">
        <v>0.2</v>
      </c>
      <c r="AG108" s="78">
        <f t="shared" si="73"/>
        <v>4240.0320000000002</v>
      </c>
    </row>
    <row r="109" spans="1:33" x14ac:dyDescent="0.2">
      <c r="A109" s="102"/>
      <c r="B109" s="107"/>
      <c r="C109" s="107" t="s">
        <v>48</v>
      </c>
      <c r="D109" s="109">
        <v>1</v>
      </c>
      <c r="E109" s="73">
        <v>5600</v>
      </c>
      <c r="F109" s="74">
        <f t="shared" si="86"/>
        <v>6160</v>
      </c>
      <c r="G109" s="74">
        <f>F109*1.1*1.1+0.4</f>
        <v>7454.0000000000009</v>
      </c>
      <c r="H109" s="74">
        <v>9212.35</v>
      </c>
      <c r="I109" s="74">
        <f t="shared" si="87"/>
        <v>10133.585000000001</v>
      </c>
      <c r="J109" s="74">
        <v>10741.600100000001</v>
      </c>
      <c r="K109" s="74">
        <f>ROUND('26.08.22'!K109*1.04,2)</f>
        <v>15418.33</v>
      </c>
      <c r="L109" s="105" t="s">
        <v>196</v>
      </c>
      <c r="M109" s="76">
        <v>10</v>
      </c>
      <c r="N109" s="76"/>
      <c r="O109" s="78">
        <f t="shared" si="88"/>
        <v>1541.83</v>
      </c>
      <c r="P109" s="78">
        <f>ROUND(K109*1.14,2)</f>
        <v>17576.900000000001</v>
      </c>
      <c r="Q109" s="78">
        <f t="shared" si="89"/>
        <v>22202.395199999999</v>
      </c>
      <c r="R109" s="79">
        <f t="shared" si="79"/>
        <v>56739.455199999997</v>
      </c>
      <c r="S109" s="78">
        <f t="shared" si="80"/>
        <v>3854.58</v>
      </c>
      <c r="T109" s="78">
        <v>1.44</v>
      </c>
      <c r="U109" s="78">
        <f t="shared" si="81"/>
        <v>60594.035199999998</v>
      </c>
      <c r="V109" s="79">
        <f t="shared" si="67"/>
        <v>49363.326023999995</v>
      </c>
      <c r="W109" s="78">
        <f t="shared" si="68"/>
        <v>52716.810623999998</v>
      </c>
      <c r="X109" s="80">
        <v>3</v>
      </c>
      <c r="Y109" s="78">
        <v>3</v>
      </c>
      <c r="Z109" s="80">
        <f t="shared" si="69"/>
        <v>0</v>
      </c>
      <c r="AA109" s="80">
        <f t="shared" si="70"/>
        <v>0</v>
      </c>
      <c r="AB109" s="80">
        <f t="shared" si="71"/>
        <v>46254.99</v>
      </c>
      <c r="AC109" s="80"/>
      <c r="AD109">
        <v>0.1</v>
      </c>
      <c r="AE109" s="78">
        <f t="shared" si="72"/>
        <v>1541.8330000000001</v>
      </c>
      <c r="AF109">
        <v>0.2</v>
      </c>
      <c r="AG109" s="78">
        <f t="shared" si="73"/>
        <v>3083.6660000000002</v>
      </c>
    </row>
    <row r="110" spans="1:33" x14ac:dyDescent="0.2">
      <c r="A110" s="140"/>
      <c r="B110" s="107"/>
      <c r="C110" s="107" t="s">
        <v>48</v>
      </c>
      <c r="D110" s="109">
        <v>1</v>
      </c>
      <c r="E110" s="73">
        <v>5600</v>
      </c>
      <c r="F110" s="74">
        <f t="shared" si="86"/>
        <v>6160</v>
      </c>
      <c r="G110" s="74">
        <f>F110*1.1*1.1+0.4</f>
        <v>7454.0000000000009</v>
      </c>
      <c r="H110" s="74">
        <v>9212.35</v>
      </c>
      <c r="I110" s="74">
        <f t="shared" si="87"/>
        <v>10133.585000000001</v>
      </c>
      <c r="J110" s="74">
        <v>10741.600100000001</v>
      </c>
      <c r="K110" s="74">
        <f>ROUND('26.08.22'!K110*1.04,2)</f>
        <v>15418.33</v>
      </c>
      <c r="L110" s="141" t="s">
        <v>112</v>
      </c>
      <c r="M110" s="83">
        <v>15</v>
      </c>
      <c r="N110" s="142"/>
      <c r="O110" s="78">
        <f t="shared" si="88"/>
        <v>2312.75</v>
      </c>
      <c r="P110" s="78">
        <f>ROUND(K110*1.14,2)</f>
        <v>17576.900000000001</v>
      </c>
      <c r="Q110" s="78">
        <f t="shared" si="89"/>
        <v>22202.395199999999</v>
      </c>
      <c r="R110" s="79">
        <f t="shared" si="79"/>
        <v>57510.375200000002</v>
      </c>
      <c r="S110" s="78">
        <f t="shared" si="80"/>
        <v>3854.58</v>
      </c>
      <c r="T110" s="78">
        <v>1.44</v>
      </c>
      <c r="U110" s="78">
        <f t="shared" si="81"/>
        <v>61364.955200000004</v>
      </c>
      <c r="V110" s="79">
        <f t="shared" si="67"/>
        <v>50034.026424000003</v>
      </c>
      <c r="W110" s="78">
        <f t="shared" si="68"/>
        <v>53387.511024000007</v>
      </c>
      <c r="X110" s="80">
        <v>3</v>
      </c>
      <c r="Y110" s="78">
        <v>3</v>
      </c>
      <c r="Z110" s="80">
        <f t="shared" si="69"/>
        <v>0</v>
      </c>
      <c r="AA110" s="80">
        <f t="shared" si="70"/>
        <v>0</v>
      </c>
      <c r="AB110" s="80">
        <f t="shared" si="71"/>
        <v>46254.99</v>
      </c>
      <c r="AC110" s="80"/>
      <c r="AD110">
        <v>0.1</v>
      </c>
      <c r="AE110" s="78">
        <f t="shared" si="72"/>
        <v>1541.8330000000001</v>
      </c>
      <c r="AF110">
        <v>0.2</v>
      </c>
      <c r="AG110" s="78">
        <f t="shared" si="73"/>
        <v>3083.6660000000002</v>
      </c>
    </row>
    <row r="111" spans="1:33" x14ac:dyDescent="0.2">
      <c r="A111" s="102"/>
      <c r="B111" s="107"/>
      <c r="C111" s="107" t="s">
        <v>48</v>
      </c>
      <c r="D111" s="109">
        <v>1</v>
      </c>
      <c r="E111" s="73">
        <v>5600</v>
      </c>
      <c r="F111" s="74">
        <f t="shared" si="86"/>
        <v>6160</v>
      </c>
      <c r="G111" s="74">
        <f>F111*1.1*1.1+0.4</f>
        <v>7454.0000000000009</v>
      </c>
      <c r="H111" s="74">
        <v>9212.35</v>
      </c>
      <c r="I111" s="74">
        <f t="shared" si="87"/>
        <v>10133.585000000001</v>
      </c>
      <c r="J111" s="74">
        <v>10741.600100000001</v>
      </c>
      <c r="K111" s="74">
        <f>ROUND('26.08.22'!K111*1.04,2)</f>
        <v>15418.33</v>
      </c>
      <c r="L111" s="105" t="s">
        <v>113</v>
      </c>
      <c r="M111" s="76">
        <v>15</v>
      </c>
      <c r="N111" s="76"/>
      <c r="O111" s="78">
        <f t="shared" si="88"/>
        <v>2312.75</v>
      </c>
      <c r="P111" s="78">
        <f>ROUND(K111*1.14,2)</f>
        <v>17576.900000000001</v>
      </c>
      <c r="Q111" s="78">
        <f t="shared" si="89"/>
        <v>22202.395199999999</v>
      </c>
      <c r="R111" s="79">
        <f t="shared" si="79"/>
        <v>57510.375200000002</v>
      </c>
      <c r="S111" s="78">
        <f t="shared" si="80"/>
        <v>3854.58</v>
      </c>
      <c r="T111" s="78">
        <v>1.44</v>
      </c>
      <c r="U111" s="78">
        <f t="shared" si="81"/>
        <v>61364.955200000004</v>
      </c>
      <c r="V111" s="79">
        <f t="shared" si="67"/>
        <v>50034.026424000003</v>
      </c>
      <c r="W111" s="78">
        <f t="shared" si="68"/>
        <v>53387.511024000007</v>
      </c>
      <c r="X111" s="80">
        <v>3</v>
      </c>
      <c r="Y111" s="78">
        <v>1</v>
      </c>
      <c r="Z111" s="80">
        <f t="shared" si="69"/>
        <v>2</v>
      </c>
      <c r="AA111" s="80">
        <f t="shared" si="70"/>
        <v>30836.66</v>
      </c>
      <c r="AB111" s="80">
        <f t="shared" si="71"/>
        <v>15418.33</v>
      </c>
      <c r="AC111" s="80"/>
      <c r="AD111">
        <v>0.1</v>
      </c>
      <c r="AE111" s="78">
        <f t="shared" si="72"/>
        <v>1541.8330000000001</v>
      </c>
      <c r="AF111">
        <v>0.2</v>
      </c>
      <c r="AG111" s="78">
        <f t="shared" si="73"/>
        <v>3083.6660000000002</v>
      </c>
    </row>
    <row r="112" spans="1:33" x14ac:dyDescent="0.2">
      <c r="A112" s="102"/>
      <c r="B112" s="107"/>
      <c r="C112" s="107" t="s">
        <v>45</v>
      </c>
      <c r="D112" s="109">
        <v>1</v>
      </c>
      <c r="E112" s="73">
        <v>5600</v>
      </c>
      <c r="F112" s="74">
        <v>7150</v>
      </c>
      <c r="G112" s="74">
        <f>F112*1.1*1.1+0.5</f>
        <v>8652.0000000000018</v>
      </c>
      <c r="H112" s="74">
        <v>10692.91</v>
      </c>
      <c r="I112" s="74">
        <f t="shared" si="87"/>
        <v>11762.201000000001</v>
      </c>
      <c r="J112" s="74">
        <v>12467.933060000001</v>
      </c>
      <c r="K112" s="74">
        <f>ROUND('26.08.22'!K112*1.04,2)</f>
        <v>17896.259999999998</v>
      </c>
      <c r="L112" s="105" t="s">
        <v>114</v>
      </c>
      <c r="M112" s="83">
        <v>20</v>
      </c>
      <c r="N112" s="76"/>
      <c r="O112" s="78">
        <f t="shared" si="88"/>
        <v>3579.25</v>
      </c>
      <c r="P112" s="78">
        <f>ROUND(K112*1.14,2)</f>
        <v>20401.740000000002</v>
      </c>
      <c r="Q112" s="78">
        <f t="shared" si="89"/>
        <v>27560.240399999999</v>
      </c>
      <c r="R112" s="79">
        <f t="shared" si="79"/>
        <v>69437.490399999995</v>
      </c>
      <c r="S112" s="78">
        <f t="shared" si="80"/>
        <v>4474.07</v>
      </c>
      <c r="T112" s="78">
        <v>1.54</v>
      </c>
      <c r="U112" s="78">
        <f t="shared" si="81"/>
        <v>73911.560399999988</v>
      </c>
      <c r="V112" s="79">
        <f t="shared" si="67"/>
        <v>60410.616647999996</v>
      </c>
      <c r="W112" s="78">
        <f t="shared" si="68"/>
        <v>64303.05754799999</v>
      </c>
      <c r="X112" s="80">
        <v>3</v>
      </c>
      <c r="Y112" s="78">
        <v>3</v>
      </c>
      <c r="Z112" s="80">
        <f t="shared" si="69"/>
        <v>0</v>
      </c>
      <c r="AA112" s="80">
        <f t="shared" si="70"/>
        <v>0</v>
      </c>
      <c r="AB112" s="80">
        <f t="shared" si="71"/>
        <v>53688.78</v>
      </c>
      <c r="AC112" s="80"/>
      <c r="AD112">
        <v>0.1</v>
      </c>
      <c r="AE112" s="78">
        <f t="shared" si="72"/>
        <v>1789.626</v>
      </c>
      <c r="AF112">
        <v>0.2</v>
      </c>
      <c r="AG112" s="78">
        <f t="shared" si="73"/>
        <v>3579.252</v>
      </c>
    </row>
    <row r="113" spans="1:33" x14ac:dyDescent="0.2">
      <c r="A113" s="86"/>
      <c r="B113" s="107"/>
      <c r="C113" s="107" t="s">
        <v>115</v>
      </c>
      <c r="D113" s="143">
        <v>1</v>
      </c>
      <c r="E113" s="118">
        <v>4500</v>
      </c>
      <c r="F113" s="74">
        <f t="shared" si="86"/>
        <v>4950</v>
      </c>
      <c r="G113" s="74">
        <f>F113*1.1*1.1+0.5</f>
        <v>5990.0000000000009</v>
      </c>
      <c r="H113" s="74">
        <v>7402.79</v>
      </c>
      <c r="I113" s="74">
        <f t="shared" si="87"/>
        <v>8143.0690000000004</v>
      </c>
      <c r="J113" s="74">
        <v>8631.6531400000003</v>
      </c>
      <c r="K113" s="74">
        <f>ROUND('26.08.22'!K113*1.04,2)</f>
        <v>12389.73</v>
      </c>
      <c r="L113" s="105" t="s">
        <v>221</v>
      </c>
      <c r="M113" s="83">
        <v>0</v>
      </c>
      <c r="N113" s="83"/>
      <c r="O113" s="78">
        <f t="shared" si="88"/>
        <v>0</v>
      </c>
      <c r="P113" s="78">
        <f>ROUND(K113*1.54,2)</f>
        <v>19080.18</v>
      </c>
      <c r="Q113" s="78">
        <f t="shared" si="89"/>
        <v>17841.211199999998</v>
      </c>
      <c r="R113" s="79">
        <f t="shared" si="79"/>
        <v>49311.121199999994</v>
      </c>
      <c r="S113" s="78">
        <f t="shared" si="80"/>
        <v>3097.43</v>
      </c>
      <c r="T113" s="78">
        <v>1.44</v>
      </c>
      <c r="U113" s="78">
        <f t="shared" si="81"/>
        <v>52408.551199999994</v>
      </c>
      <c r="V113" s="79">
        <f t="shared" si="67"/>
        <v>42900.675443999993</v>
      </c>
      <c r="W113" s="78">
        <f t="shared" si="68"/>
        <v>45595.439543999993</v>
      </c>
      <c r="X113" s="80">
        <v>3</v>
      </c>
      <c r="Y113" s="78"/>
      <c r="Z113" s="80">
        <f t="shared" si="69"/>
        <v>3</v>
      </c>
      <c r="AA113" s="80">
        <f t="shared" si="70"/>
        <v>37169.19</v>
      </c>
      <c r="AB113" s="80">
        <f t="shared" si="71"/>
        <v>0</v>
      </c>
      <c r="AC113" s="80"/>
      <c r="AD113">
        <v>0.1</v>
      </c>
      <c r="AE113" s="78">
        <f t="shared" si="72"/>
        <v>1238.973</v>
      </c>
      <c r="AF113">
        <v>0.2</v>
      </c>
      <c r="AG113" s="78">
        <f t="shared" si="73"/>
        <v>2477.9459999999999</v>
      </c>
    </row>
    <row r="114" spans="1:33" x14ac:dyDescent="0.2">
      <c r="A114" s="86"/>
      <c r="B114" s="107"/>
      <c r="C114" s="107" t="s">
        <v>117</v>
      </c>
      <c r="D114" s="143">
        <v>1</v>
      </c>
      <c r="E114" s="118">
        <v>4500</v>
      </c>
      <c r="F114" s="74">
        <f t="shared" si="86"/>
        <v>4950</v>
      </c>
      <c r="G114" s="74">
        <f>F114*1.1*1.1+0.5</f>
        <v>5990.0000000000009</v>
      </c>
      <c r="H114" s="74">
        <v>7402.79</v>
      </c>
      <c r="I114" s="74">
        <f t="shared" si="87"/>
        <v>8143.0690000000004</v>
      </c>
      <c r="J114" s="74">
        <v>8631.6531400000003</v>
      </c>
      <c r="K114" s="74">
        <f>ROUND('26.08.22'!K114*1.04,2)</f>
        <v>12389.73</v>
      </c>
      <c r="L114" s="105" t="s">
        <v>116</v>
      </c>
      <c r="M114" s="83">
        <v>0</v>
      </c>
      <c r="N114" s="83"/>
      <c r="O114" s="78">
        <f t="shared" si="88"/>
        <v>0</v>
      </c>
      <c r="P114" s="78">
        <f>ROUND(K114*1.34,2)</f>
        <v>16602.240000000002</v>
      </c>
      <c r="Q114" s="78">
        <f t="shared" si="89"/>
        <v>17841.211199999998</v>
      </c>
      <c r="R114" s="79">
        <f t="shared" si="79"/>
        <v>46833.181199999999</v>
      </c>
      <c r="S114" s="78">
        <f t="shared" si="80"/>
        <v>3097.43</v>
      </c>
      <c r="T114" s="78">
        <v>1.44</v>
      </c>
      <c r="U114" s="78">
        <f t="shared" si="81"/>
        <v>49930.611199999999</v>
      </c>
      <c r="V114" s="79">
        <f t="shared" si="67"/>
        <v>40744.867643999998</v>
      </c>
      <c r="W114" s="78">
        <f t="shared" si="68"/>
        <v>43439.631743999998</v>
      </c>
      <c r="X114" s="80">
        <v>3</v>
      </c>
      <c r="Y114" s="78">
        <v>3</v>
      </c>
      <c r="Z114" s="80">
        <f t="shared" si="69"/>
        <v>0</v>
      </c>
      <c r="AA114" s="80">
        <f t="shared" si="70"/>
        <v>0</v>
      </c>
      <c r="AB114" s="80">
        <f t="shared" si="71"/>
        <v>37169.19</v>
      </c>
      <c r="AC114" s="80"/>
      <c r="AD114">
        <v>0.1</v>
      </c>
      <c r="AE114" s="78">
        <f t="shared" si="72"/>
        <v>1238.973</v>
      </c>
      <c r="AF114">
        <v>0.2</v>
      </c>
      <c r="AG114" s="78">
        <f t="shared" si="73"/>
        <v>2477.9459999999999</v>
      </c>
    </row>
    <row r="115" spans="1:33" x14ac:dyDescent="0.2">
      <c r="A115" s="86"/>
      <c r="B115" s="107"/>
      <c r="C115" s="107" t="s">
        <v>117</v>
      </c>
      <c r="D115" s="143">
        <v>0</v>
      </c>
      <c r="E115" s="118">
        <v>4500</v>
      </c>
      <c r="F115" s="74">
        <f t="shared" si="86"/>
        <v>4950</v>
      </c>
      <c r="G115" s="74">
        <f>F115*1.1*1.1+0.5</f>
        <v>5990.0000000000009</v>
      </c>
      <c r="H115" s="74">
        <v>7402.79</v>
      </c>
      <c r="I115" s="74">
        <f t="shared" si="87"/>
        <v>8143.0690000000004</v>
      </c>
      <c r="J115" s="74">
        <v>8631.6531400000003</v>
      </c>
      <c r="K115" s="74">
        <f>ROUND('26.08.22'!K115*1.04,2)</f>
        <v>0</v>
      </c>
      <c r="L115" s="105"/>
      <c r="M115" s="83">
        <v>0</v>
      </c>
      <c r="N115" s="83"/>
      <c r="O115" s="78">
        <f t="shared" si="88"/>
        <v>0</v>
      </c>
      <c r="P115" s="78">
        <f>ROUND(K115*1.34,2)</f>
        <v>0</v>
      </c>
      <c r="Q115" s="78">
        <f t="shared" si="89"/>
        <v>0</v>
      </c>
      <c r="R115" s="79">
        <f t="shared" si="79"/>
        <v>0</v>
      </c>
      <c r="S115" s="78">
        <f t="shared" si="80"/>
        <v>0</v>
      </c>
      <c r="T115" s="78">
        <v>1.44</v>
      </c>
      <c r="U115" s="78">
        <f t="shared" si="81"/>
        <v>0</v>
      </c>
      <c r="V115" s="79">
        <f t="shared" si="67"/>
        <v>0</v>
      </c>
      <c r="W115" s="78">
        <f t="shared" si="68"/>
        <v>0</v>
      </c>
      <c r="X115" s="80">
        <v>3</v>
      </c>
      <c r="Y115" s="78">
        <v>3</v>
      </c>
      <c r="Z115" s="80">
        <f t="shared" si="69"/>
        <v>0</v>
      </c>
      <c r="AA115" s="80">
        <f t="shared" si="70"/>
        <v>0</v>
      </c>
      <c r="AB115" s="80">
        <f t="shared" si="71"/>
        <v>0</v>
      </c>
      <c r="AC115" s="80"/>
      <c r="AD115">
        <v>0.1</v>
      </c>
      <c r="AE115" s="78">
        <f t="shared" si="72"/>
        <v>0</v>
      </c>
      <c r="AF115">
        <v>0.2</v>
      </c>
      <c r="AG115" s="78">
        <f t="shared" si="73"/>
        <v>0</v>
      </c>
    </row>
    <row r="116" spans="1:33" x14ac:dyDescent="0.2">
      <c r="A116" s="86"/>
      <c r="B116" s="107"/>
      <c r="C116" s="107" t="s">
        <v>117</v>
      </c>
      <c r="D116" s="143">
        <v>1</v>
      </c>
      <c r="E116" s="118">
        <v>4500</v>
      </c>
      <c r="F116" s="74">
        <f t="shared" si="86"/>
        <v>4950</v>
      </c>
      <c r="G116" s="74">
        <f>F116*1.1*1.1+0.5</f>
        <v>5990.0000000000009</v>
      </c>
      <c r="H116" s="74">
        <v>7402.79</v>
      </c>
      <c r="I116" s="74">
        <f t="shared" si="87"/>
        <v>8143.0690000000004</v>
      </c>
      <c r="J116" s="74">
        <v>8631.6531400000003</v>
      </c>
      <c r="K116" s="74">
        <f>ROUND('26.08.22'!K116*1.04,2)</f>
        <v>12389.73</v>
      </c>
      <c r="L116" s="105" t="s">
        <v>118</v>
      </c>
      <c r="M116" s="83">
        <v>0</v>
      </c>
      <c r="N116" s="83"/>
      <c r="O116" s="78">
        <f t="shared" si="88"/>
        <v>0</v>
      </c>
      <c r="P116" s="78">
        <f>ROUND(K116*1.34,2)</f>
        <v>16602.240000000002</v>
      </c>
      <c r="Q116" s="78">
        <f t="shared" si="89"/>
        <v>17841.211199999998</v>
      </c>
      <c r="R116" s="79">
        <f t="shared" si="79"/>
        <v>46833.181199999999</v>
      </c>
      <c r="S116" s="78">
        <f t="shared" si="80"/>
        <v>3097.43</v>
      </c>
      <c r="T116" s="78">
        <v>1.44</v>
      </c>
      <c r="U116" s="78">
        <f t="shared" si="81"/>
        <v>49930.611199999999</v>
      </c>
      <c r="V116" s="79">
        <f t="shared" si="67"/>
        <v>40744.867643999998</v>
      </c>
      <c r="W116" s="78">
        <f t="shared" si="68"/>
        <v>43439.631743999998</v>
      </c>
      <c r="X116" s="80">
        <v>3</v>
      </c>
      <c r="Y116" s="78">
        <v>3</v>
      </c>
      <c r="Z116" s="80">
        <f t="shared" si="69"/>
        <v>0</v>
      </c>
      <c r="AA116" s="80">
        <f t="shared" si="70"/>
        <v>0</v>
      </c>
      <c r="AB116" s="80">
        <f t="shared" si="71"/>
        <v>37169.19</v>
      </c>
      <c r="AC116" s="80"/>
      <c r="AD116">
        <v>0.1</v>
      </c>
      <c r="AE116" s="78">
        <f t="shared" si="72"/>
        <v>1238.973</v>
      </c>
      <c r="AF116">
        <v>0.2</v>
      </c>
      <c r="AG116" s="78">
        <f t="shared" si="73"/>
        <v>2477.9459999999999</v>
      </c>
    </row>
    <row r="117" spans="1:33" x14ac:dyDescent="0.2">
      <c r="A117" s="86"/>
      <c r="B117" s="87"/>
      <c r="C117" s="87" t="s">
        <v>51</v>
      </c>
      <c r="D117" s="111">
        <f t="shared" ref="D117:I117" si="90">SUM(D107:D116)</f>
        <v>9</v>
      </c>
      <c r="E117" s="95">
        <f t="shared" si="90"/>
        <v>56600</v>
      </c>
      <c r="F117" s="95">
        <f t="shared" si="90"/>
        <v>63250</v>
      </c>
      <c r="G117" s="95">
        <f t="shared" si="90"/>
        <v>76537</v>
      </c>
      <c r="H117" s="95">
        <f t="shared" si="90"/>
        <v>94591.129999999976</v>
      </c>
      <c r="I117" s="95">
        <f t="shared" si="90"/>
        <v>104050.24300000002</v>
      </c>
      <c r="J117" s="95">
        <v>121034.85768000003</v>
      </c>
      <c r="K117" s="90">
        <f>SUM(K107:K116)</f>
        <v>145923.37</v>
      </c>
      <c r="L117" s="90"/>
      <c r="M117" s="90"/>
      <c r="N117" s="90">
        <f t="shared" ref="N117" si="91">SUM(N107:N116)</f>
        <v>0</v>
      </c>
      <c r="O117" s="90">
        <f>SUM(O107:O116)</f>
        <v>20787.18</v>
      </c>
      <c r="P117" s="90">
        <f t="shared" ref="P117:W117" si="92">SUM(P107:P116)</f>
        <v>178604.71</v>
      </c>
      <c r="Q117" s="90">
        <f t="shared" si="92"/>
        <v>216379.57179999998</v>
      </c>
      <c r="R117" s="90">
        <f t="shared" si="92"/>
        <v>561694.83180000004</v>
      </c>
      <c r="S117" s="90">
        <f t="shared" si="92"/>
        <v>36480.83</v>
      </c>
      <c r="T117" s="90">
        <f t="shared" si="92"/>
        <v>14.699999999999996</v>
      </c>
      <c r="U117" s="90">
        <f t="shared" si="92"/>
        <v>598175.66180000012</v>
      </c>
      <c r="V117" s="90">
        <f t="shared" si="92"/>
        <v>488674.50366600003</v>
      </c>
      <c r="W117" s="90">
        <f t="shared" si="92"/>
        <v>520412.82576599997</v>
      </c>
      <c r="X117" s="80"/>
      <c r="Y117" s="90"/>
      <c r="Z117" s="80"/>
      <c r="AA117" s="80">
        <f t="shared" si="70"/>
        <v>0</v>
      </c>
      <c r="AB117" s="80">
        <f t="shared" si="71"/>
        <v>0</v>
      </c>
      <c r="AC117" s="91"/>
      <c r="AD117">
        <v>0.1</v>
      </c>
      <c r="AE117" s="112">
        <f t="shared" si="72"/>
        <v>14592.337</v>
      </c>
      <c r="AF117">
        <v>0.2</v>
      </c>
      <c r="AG117" s="112">
        <f t="shared" si="73"/>
        <v>29184.673999999999</v>
      </c>
    </row>
    <row r="118" spans="1:33" ht="19.5" customHeight="1" x14ac:dyDescent="0.2">
      <c r="A118" s="71" t="s">
        <v>119</v>
      </c>
      <c r="B118" s="93"/>
      <c r="C118" s="93"/>
      <c r="D118" s="94"/>
      <c r="E118" s="95"/>
      <c r="F118" s="95"/>
      <c r="G118" s="95"/>
      <c r="H118" s="95"/>
      <c r="I118" s="95"/>
      <c r="J118" s="95"/>
      <c r="K118" s="90"/>
      <c r="L118" s="96"/>
      <c r="M118" s="96"/>
      <c r="N118" s="96"/>
      <c r="O118" s="96"/>
      <c r="P118" s="99" t="s">
        <v>108</v>
      </c>
      <c r="Q118" s="96"/>
      <c r="R118" s="79"/>
      <c r="S118" s="96"/>
      <c r="T118" s="99"/>
      <c r="U118" s="96"/>
      <c r="V118" s="100"/>
      <c r="W118" s="96"/>
      <c r="X118" s="80"/>
      <c r="Y118" s="96"/>
      <c r="Z118" s="80"/>
      <c r="AA118" s="80">
        <f t="shared" si="70"/>
        <v>0</v>
      </c>
      <c r="AB118" s="80">
        <f t="shared" si="71"/>
        <v>0</v>
      </c>
      <c r="AC118" s="144"/>
      <c r="AD118">
        <v>0.1</v>
      </c>
      <c r="AE118" s="96"/>
      <c r="AG118" s="96"/>
    </row>
    <row r="119" spans="1:33" x14ac:dyDescent="0.2">
      <c r="A119" s="133"/>
      <c r="B119" s="87"/>
      <c r="C119" s="87" t="s">
        <v>120</v>
      </c>
      <c r="D119" s="109">
        <v>1</v>
      </c>
      <c r="E119" s="73">
        <v>7500</v>
      </c>
      <c r="F119" s="74">
        <f>ROUND(E119*F$12,2)</f>
        <v>8250</v>
      </c>
      <c r="G119" s="74">
        <f>F119*1.1*1.1+0.5</f>
        <v>9983</v>
      </c>
      <c r="H119" s="74">
        <v>12337.98</v>
      </c>
      <c r="I119" s="74">
        <f>H119*$I$12</f>
        <v>13571.778</v>
      </c>
      <c r="J119" s="74">
        <v>14386.084680000002</v>
      </c>
      <c r="K119" s="74">
        <f>ROUND('26.08.22'!K119*1.04,2)</f>
        <v>20649.54</v>
      </c>
      <c r="L119" s="105" t="s">
        <v>121</v>
      </c>
      <c r="M119" s="216">
        <v>15</v>
      </c>
      <c r="N119" s="76"/>
      <c r="O119" s="78">
        <f t="shared" si="88"/>
        <v>3097.43</v>
      </c>
      <c r="P119" s="78">
        <f>ROUND(K119*1.14,2)</f>
        <v>23540.48</v>
      </c>
      <c r="Q119" s="78">
        <f t="shared" si="89"/>
        <v>31800.2916</v>
      </c>
      <c r="R119" s="79">
        <f t="shared" si="79"/>
        <v>79087.741599999994</v>
      </c>
      <c r="S119" s="78">
        <f t="shared" si="80"/>
        <v>5162.3900000000003</v>
      </c>
      <c r="T119" s="78">
        <v>1.54</v>
      </c>
      <c r="U119" s="78">
        <f t="shared" si="81"/>
        <v>84250.131599999993</v>
      </c>
      <c r="V119" s="79">
        <f t="shared" si="67"/>
        <v>68806.335191999999</v>
      </c>
      <c r="W119" s="78">
        <f t="shared" si="68"/>
        <v>73297.614491999993</v>
      </c>
      <c r="X119" s="80">
        <v>3</v>
      </c>
      <c r="Y119" s="78">
        <v>3</v>
      </c>
      <c r="Z119" s="80">
        <f t="shared" si="69"/>
        <v>0</v>
      </c>
      <c r="AA119" s="80">
        <f t="shared" si="70"/>
        <v>0</v>
      </c>
      <c r="AB119" s="80">
        <f t="shared" si="71"/>
        <v>61948.62</v>
      </c>
      <c r="AC119" s="80"/>
      <c r="AD119">
        <v>0.1</v>
      </c>
      <c r="AE119" s="78">
        <f t="shared" si="72"/>
        <v>2064.9540000000002</v>
      </c>
      <c r="AF119">
        <v>0.2</v>
      </c>
      <c r="AG119" s="78">
        <f t="shared" si="73"/>
        <v>4129.9080000000004</v>
      </c>
    </row>
    <row r="120" spans="1:33" x14ac:dyDescent="0.2">
      <c r="A120" s="102"/>
      <c r="B120" s="107"/>
      <c r="C120" s="107" t="s">
        <v>184</v>
      </c>
      <c r="D120" s="109">
        <v>1</v>
      </c>
      <c r="E120" s="73">
        <v>5600</v>
      </c>
      <c r="F120" s="74">
        <v>7150</v>
      </c>
      <c r="G120" s="74">
        <f>F120*1.1*1.1+0.5</f>
        <v>8652.0000000000018</v>
      </c>
      <c r="H120" s="74">
        <v>10692.91</v>
      </c>
      <c r="I120" s="74">
        <f>H120*$I$12</f>
        <v>11762.201000000001</v>
      </c>
      <c r="J120" s="74">
        <v>12467.933060000001</v>
      </c>
      <c r="K120" s="74">
        <f>ROUND('26.08.22'!K120*1.04,2)</f>
        <v>17896.259999999998</v>
      </c>
      <c r="L120" s="75" t="s">
        <v>186</v>
      </c>
      <c r="M120" s="216">
        <v>10</v>
      </c>
      <c r="N120" s="76"/>
      <c r="O120" s="78">
        <f t="shared" si="88"/>
        <v>1789.63</v>
      </c>
      <c r="P120" s="78">
        <f>ROUND(K120*1.14,2)</f>
        <v>20401.740000000002</v>
      </c>
      <c r="Q120" s="78">
        <f t="shared" si="89"/>
        <v>27560.240399999999</v>
      </c>
      <c r="R120" s="79">
        <f t="shared" si="79"/>
        <v>67647.8704</v>
      </c>
      <c r="S120" s="78">
        <f t="shared" si="80"/>
        <v>4474.07</v>
      </c>
      <c r="T120" s="78">
        <v>1.54</v>
      </c>
      <c r="U120" s="78">
        <f t="shared" si="81"/>
        <v>72121.940399999992</v>
      </c>
      <c r="V120" s="79">
        <f t="shared" si="67"/>
        <v>58853.647248000001</v>
      </c>
      <c r="W120" s="78">
        <f t="shared" si="68"/>
        <v>62746.088147999995</v>
      </c>
      <c r="X120" s="80">
        <v>3</v>
      </c>
      <c r="Y120" s="78"/>
      <c r="Z120" s="80">
        <f t="shared" si="69"/>
        <v>3</v>
      </c>
      <c r="AA120" s="80">
        <f t="shared" si="70"/>
        <v>53688.78</v>
      </c>
      <c r="AB120" s="80">
        <f t="shared" si="71"/>
        <v>0</v>
      </c>
      <c r="AC120" s="80"/>
      <c r="AD120">
        <v>0.1</v>
      </c>
      <c r="AE120" s="78">
        <f t="shared" si="72"/>
        <v>1789.626</v>
      </c>
      <c r="AF120">
        <v>0.2</v>
      </c>
      <c r="AG120" s="78">
        <f t="shared" si="73"/>
        <v>3579.252</v>
      </c>
    </row>
    <row r="121" spans="1:33" x14ac:dyDescent="0.2">
      <c r="A121" s="86"/>
      <c r="B121" s="87"/>
      <c r="C121" s="87" t="s">
        <v>51</v>
      </c>
      <c r="D121" s="111">
        <f>SUM(D119:D120)</f>
        <v>2</v>
      </c>
      <c r="E121" s="111">
        <f t="shared" ref="E121:N121" si="93">SUM(E119:E120)</f>
        <v>13100</v>
      </c>
      <c r="F121" s="111">
        <f t="shared" si="93"/>
        <v>15400</v>
      </c>
      <c r="G121" s="111">
        <f t="shared" si="93"/>
        <v>18635</v>
      </c>
      <c r="H121" s="111">
        <f t="shared" si="93"/>
        <v>23030.89</v>
      </c>
      <c r="I121" s="111">
        <f t="shared" si="93"/>
        <v>25333.978999999999</v>
      </c>
      <c r="J121" s="111">
        <f t="shared" si="93"/>
        <v>26854.017740000003</v>
      </c>
      <c r="K121" s="90">
        <f t="shared" si="93"/>
        <v>38545.800000000003</v>
      </c>
      <c r="L121" s="90"/>
      <c r="M121" s="90"/>
      <c r="N121" s="90">
        <f t="shared" si="93"/>
        <v>0</v>
      </c>
      <c r="O121" s="90">
        <f>SUM(O119:O120)</f>
        <v>4887.0599999999995</v>
      </c>
      <c r="P121" s="90">
        <f t="shared" ref="P121:W121" si="94">SUM(P119:P120)</f>
        <v>43942.22</v>
      </c>
      <c r="Q121" s="90">
        <f t="shared" si="94"/>
        <v>59360.531999999999</v>
      </c>
      <c r="R121" s="90">
        <f t="shared" si="94"/>
        <v>146735.61199999999</v>
      </c>
      <c r="S121" s="90">
        <f t="shared" si="94"/>
        <v>9636.4599999999991</v>
      </c>
      <c r="T121" s="90">
        <f t="shared" si="94"/>
        <v>3.08</v>
      </c>
      <c r="U121" s="90">
        <f t="shared" si="94"/>
        <v>156372.07199999999</v>
      </c>
      <c r="V121" s="90">
        <f t="shared" si="94"/>
        <v>127659.98243999999</v>
      </c>
      <c r="W121" s="90">
        <f t="shared" si="94"/>
        <v>136043.70263999997</v>
      </c>
      <c r="X121" s="80"/>
      <c r="Y121" s="90"/>
      <c r="Z121" s="80"/>
      <c r="AA121" s="80">
        <f t="shared" si="70"/>
        <v>0</v>
      </c>
      <c r="AB121" s="80">
        <f t="shared" si="71"/>
        <v>0</v>
      </c>
      <c r="AC121" s="91"/>
      <c r="AD121">
        <v>0.1</v>
      </c>
      <c r="AE121" s="112">
        <f t="shared" si="72"/>
        <v>3854.5800000000004</v>
      </c>
      <c r="AF121">
        <v>0.2</v>
      </c>
      <c r="AG121" s="112">
        <f t="shared" si="73"/>
        <v>7709.1600000000008</v>
      </c>
    </row>
    <row r="122" spans="1:33" ht="28.5" customHeight="1" x14ac:dyDescent="0.2">
      <c r="A122" s="71" t="s">
        <v>122</v>
      </c>
      <c r="B122" s="93"/>
      <c r="C122" s="93"/>
      <c r="D122" s="94"/>
      <c r="E122" s="95"/>
      <c r="F122" s="95"/>
      <c r="G122" s="95"/>
      <c r="H122" s="95"/>
      <c r="I122" s="95"/>
      <c r="J122" s="95"/>
      <c r="K122" s="90"/>
      <c r="L122" s="90"/>
      <c r="M122" s="90"/>
      <c r="N122" s="90"/>
      <c r="O122" s="90"/>
      <c r="P122" s="99" t="s">
        <v>40</v>
      </c>
      <c r="Q122" s="78">
        <f t="shared" si="89"/>
        <v>0</v>
      </c>
      <c r="R122" s="79"/>
      <c r="S122" s="90"/>
      <c r="T122" s="99"/>
      <c r="U122" s="90"/>
      <c r="V122" s="100"/>
      <c r="W122" s="90"/>
      <c r="X122" s="80"/>
      <c r="Y122" s="90"/>
      <c r="Z122" s="80"/>
      <c r="AA122" s="80">
        <f t="shared" si="70"/>
        <v>0</v>
      </c>
      <c r="AB122" s="80">
        <f t="shared" si="71"/>
        <v>0</v>
      </c>
      <c r="AC122" s="91"/>
      <c r="AD122">
        <v>0.1</v>
      </c>
      <c r="AE122" s="90"/>
      <c r="AG122" s="90"/>
    </row>
    <row r="123" spans="1:33" x14ac:dyDescent="0.2">
      <c r="A123" s="102"/>
      <c r="B123" s="87"/>
      <c r="C123" s="87" t="s">
        <v>58</v>
      </c>
      <c r="D123" s="72">
        <v>1</v>
      </c>
      <c r="E123" s="73">
        <v>8500</v>
      </c>
      <c r="F123" s="74">
        <f t="shared" ref="F123:F128" si="95">ROUND(E123*F$12,2)</f>
        <v>9350</v>
      </c>
      <c r="G123" s="74">
        <f>F123*1.1*1.1+0.5</f>
        <v>11314.000000000002</v>
      </c>
      <c r="H123" s="74">
        <v>13983.03</v>
      </c>
      <c r="I123" s="74">
        <f t="shared" ref="I123:I130" si="96">H123*$I$12</f>
        <v>15381.333000000002</v>
      </c>
      <c r="J123" s="74">
        <v>16304.212980000004</v>
      </c>
      <c r="K123" s="74">
        <f>ROUND('26.08.22'!K123*1.04,2)</f>
        <v>23402.77</v>
      </c>
      <c r="L123" s="75" t="s">
        <v>218</v>
      </c>
      <c r="M123" s="76">
        <v>30</v>
      </c>
      <c r="N123" s="76"/>
      <c r="O123" s="78">
        <f t="shared" si="88"/>
        <v>7020.83</v>
      </c>
      <c r="P123" s="78">
        <f>ROUND(K123*1.24,2)</f>
        <v>29019.43</v>
      </c>
      <c r="Q123" s="78">
        <f t="shared" si="89"/>
        <v>36040.265800000001</v>
      </c>
      <c r="R123" s="79">
        <f t="shared" si="79"/>
        <v>95483.295799999993</v>
      </c>
      <c r="S123" s="78">
        <f t="shared" si="80"/>
        <v>5850.69</v>
      </c>
      <c r="T123" s="78">
        <v>1.54</v>
      </c>
      <c r="U123" s="78">
        <f t="shared" si="81"/>
        <v>101333.98579999999</v>
      </c>
      <c r="V123" s="79">
        <f t="shared" si="67"/>
        <v>83070.46734599999</v>
      </c>
      <c r="W123" s="78">
        <f t="shared" si="68"/>
        <v>88160.567645999996</v>
      </c>
      <c r="X123" s="80">
        <v>3</v>
      </c>
      <c r="Y123" s="78">
        <v>3</v>
      </c>
      <c r="Z123" s="80">
        <f t="shared" si="69"/>
        <v>0</v>
      </c>
      <c r="AA123" s="80">
        <f t="shared" si="70"/>
        <v>0</v>
      </c>
      <c r="AB123" s="80">
        <f t="shared" si="71"/>
        <v>70208.31</v>
      </c>
      <c r="AC123" s="80"/>
      <c r="AD123">
        <v>0.1</v>
      </c>
      <c r="AE123" s="78">
        <f t="shared" si="72"/>
        <v>2340.277</v>
      </c>
      <c r="AF123">
        <v>0.2</v>
      </c>
      <c r="AG123" s="78">
        <f t="shared" si="73"/>
        <v>4680.5540000000001</v>
      </c>
    </row>
    <row r="124" spans="1:33" ht="17.25" customHeight="1" x14ac:dyDescent="0.2">
      <c r="A124" s="102"/>
      <c r="B124" s="107"/>
      <c r="C124" s="82" t="s">
        <v>123</v>
      </c>
      <c r="D124" s="72">
        <v>1</v>
      </c>
      <c r="E124" s="73">
        <v>7700</v>
      </c>
      <c r="F124" s="74">
        <f t="shared" si="95"/>
        <v>8470</v>
      </c>
      <c r="G124" s="74">
        <f>F124*1.1*1.1+0.3</f>
        <v>10249</v>
      </c>
      <c r="H124" s="74">
        <v>12666.98</v>
      </c>
      <c r="I124" s="74">
        <f t="shared" si="96"/>
        <v>13933.678</v>
      </c>
      <c r="J124" s="74">
        <v>14769.698680000001</v>
      </c>
      <c r="K124" s="74">
        <f>ROUND('26.08.22'!K124*1.04,2)</f>
        <v>21200.16</v>
      </c>
      <c r="L124" s="75" t="s">
        <v>124</v>
      </c>
      <c r="M124" s="69">
        <v>30</v>
      </c>
      <c r="N124" s="76"/>
      <c r="O124" s="78">
        <f>ROUND((K124*M124/100),2)</f>
        <v>6360.05</v>
      </c>
      <c r="P124" s="78">
        <f>ROUND(K124*1.14,2)</f>
        <v>24168.18</v>
      </c>
      <c r="Q124" s="78">
        <f t="shared" si="89"/>
        <v>32648.2464</v>
      </c>
      <c r="R124" s="79">
        <f t="shared" si="79"/>
        <v>84376.636400000003</v>
      </c>
      <c r="S124" s="78">
        <f t="shared" si="80"/>
        <v>5300.04</v>
      </c>
      <c r="T124" s="78">
        <v>1.54</v>
      </c>
      <c r="U124" s="78">
        <f t="shared" si="81"/>
        <v>89676.676399999997</v>
      </c>
      <c r="V124" s="79">
        <f t="shared" si="67"/>
        <v>73407.673668000003</v>
      </c>
      <c r="W124" s="78">
        <f t="shared" si="68"/>
        <v>78018.708467999997</v>
      </c>
      <c r="X124" s="80">
        <v>3</v>
      </c>
      <c r="Y124" s="78">
        <v>3</v>
      </c>
      <c r="Z124" s="80">
        <f t="shared" si="69"/>
        <v>0</v>
      </c>
      <c r="AA124" s="80">
        <f t="shared" si="70"/>
        <v>0</v>
      </c>
      <c r="AB124" s="80">
        <f t="shared" si="71"/>
        <v>63600.479999999996</v>
      </c>
      <c r="AC124" s="80"/>
      <c r="AD124">
        <v>0.1</v>
      </c>
      <c r="AE124" s="78">
        <f t="shared" si="72"/>
        <v>2120.0160000000001</v>
      </c>
      <c r="AF124">
        <v>0.2</v>
      </c>
      <c r="AG124" s="78">
        <f t="shared" si="73"/>
        <v>4240.0320000000002</v>
      </c>
    </row>
    <row r="125" spans="1:33" x14ac:dyDescent="0.2">
      <c r="A125" s="102"/>
      <c r="B125" s="107"/>
      <c r="C125" s="107" t="s">
        <v>45</v>
      </c>
      <c r="D125" s="109">
        <v>1</v>
      </c>
      <c r="E125" s="73">
        <v>6500</v>
      </c>
      <c r="F125" s="74">
        <f t="shared" si="95"/>
        <v>7150</v>
      </c>
      <c r="G125" s="74">
        <f>F125*1.1*1.1+0.5</f>
        <v>8652.0000000000018</v>
      </c>
      <c r="H125" s="74">
        <v>10692.91</v>
      </c>
      <c r="I125" s="74">
        <f t="shared" si="96"/>
        <v>11762.201000000001</v>
      </c>
      <c r="J125" s="74">
        <v>12467.933060000001</v>
      </c>
      <c r="K125" s="74">
        <f>ROUND('26.08.22'!K125*1.04,2)</f>
        <v>17896.259999999998</v>
      </c>
      <c r="L125" s="75" t="s">
        <v>180</v>
      </c>
      <c r="M125" s="83">
        <v>20</v>
      </c>
      <c r="N125" s="76"/>
      <c r="O125" s="78">
        <f t="shared" si="88"/>
        <v>3579.25</v>
      </c>
      <c r="P125" s="78">
        <f t="shared" ref="P125:P130" si="97">ROUND(K125*1.14,2)</f>
        <v>20401.740000000002</v>
      </c>
      <c r="Q125" s="78">
        <f t="shared" si="89"/>
        <v>27560.240399999999</v>
      </c>
      <c r="R125" s="79">
        <f t="shared" si="79"/>
        <v>69437.490399999995</v>
      </c>
      <c r="S125" s="78">
        <f t="shared" si="80"/>
        <v>4474.07</v>
      </c>
      <c r="T125" s="78">
        <v>1.54</v>
      </c>
      <c r="U125" s="78">
        <f t="shared" si="81"/>
        <v>73911.560399999988</v>
      </c>
      <c r="V125" s="79">
        <f t="shared" si="67"/>
        <v>60410.616647999996</v>
      </c>
      <c r="W125" s="78">
        <f t="shared" si="68"/>
        <v>64303.05754799999</v>
      </c>
      <c r="X125" s="80">
        <v>3</v>
      </c>
      <c r="Y125" s="78">
        <v>3</v>
      </c>
      <c r="Z125" s="80">
        <f t="shared" si="69"/>
        <v>0</v>
      </c>
      <c r="AA125" s="80">
        <f t="shared" si="70"/>
        <v>0</v>
      </c>
      <c r="AB125" s="80">
        <f t="shared" si="71"/>
        <v>53688.78</v>
      </c>
      <c r="AC125" s="80"/>
      <c r="AD125">
        <v>0.1</v>
      </c>
      <c r="AE125" s="78">
        <f t="shared" si="72"/>
        <v>1789.626</v>
      </c>
      <c r="AF125">
        <v>0.2</v>
      </c>
      <c r="AG125" s="78">
        <f t="shared" si="73"/>
        <v>3579.252</v>
      </c>
    </row>
    <row r="126" spans="1:33" x14ac:dyDescent="0.2">
      <c r="A126" s="102"/>
      <c r="B126" s="107"/>
      <c r="C126" s="107" t="s">
        <v>45</v>
      </c>
      <c r="D126" s="109">
        <v>1</v>
      </c>
      <c r="E126" s="73">
        <v>6500</v>
      </c>
      <c r="F126" s="74">
        <f t="shared" si="95"/>
        <v>7150</v>
      </c>
      <c r="G126" s="74">
        <f>F126*1.1*1.1+0.5</f>
        <v>8652.0000000000018</v>
      </c>
      <c r="H126" s="74">
        <v>10692.91</v>
      </c>
      <c r="I126" s="74">
        <f t="shared" si="96"/>
        <v>11762.201000000001</v>
      </c>
      <c r="J126" s="74">
        <v>12467.933060000001</v>
      </c>
      <c r="K126" s="74">
        <f>ROUND('26.08.22'!K126*1.04,2)</f>
        <v>17896.259999999998</v>
      </c>
      <c r="L126" s="75" t="s">
        <v>125</v>
      </c>
      <c r="M126" s="76">
        <v>30</v>
      </c>
      <c r="N126" s="76"/>
      <c r="O126" s="78">
        <f t="shared" si="88"/>
        <v>5368.88</v>
      </c>
      <c r="P126" s="78">
        <f t="shared" si="97"/>
        <v>20401.740000000002</v>
      </c>
      <c r="Q126" s="78">
        <f t="shared" si="89"/>
        <v>27560.240399999999</v>
      </c>
      <c r="R126" s="79">
        <f t="shared" si="79"/>
        <v>71227.1204</v>
      </c>
      <c r="S126" s="78">
        <f t="shared" si="80"/>
        <v>4474.07</v>
      </c>
      <c r="T126" s="78">
        <v>1.54</v>
      </c>
      <c r="U126" s="78">
        <f t="shared" si="81"/>
        <v>75701.190399999992</v>
      </c>
      <c r="V126" s="79">
        <f t="shared" si="67"/>
        <v>61967.594747999996</v>
      </c>
      <c r="W126" s="78">
        <f t="shared" si="68"/>
        <v>65860.03564799999</v>
      </c>
      <c r="X126" s="80">
        <v>3</v>
      </c>
      <c r="Y126" s="78">
        <v>3</v>
      </c>
      <c r="Z126" s="80">
        <f t="shared" si="69"/>
        <v>0</v>
      </c>
      <c r="AA126" s="80">
        <f t="shared" si="70"/>
        <v>0</v>
      </c>
      <c r="AB126" s="80">
        <f t="shared" si="71"/>
        <v>53688.78</v>
      </c>
      <c r="AC126" s="80"/>
      <c r="AD126">
        <v>0.1</v>
      </c>
      <c r="AE126" s="78">
        <f t="shared" si="72"/>
        <v>1789.626</v>
      </c>
      <c r="AF126">
        <v>0.2</v>
      </c>
      <c r="AG126" s="78">
        <f t="shared" si="73"/>
        <v>3579.252</v>
      </c>
    </row>
    <row r="127" spans="1:33" x14ac:dyDescent="0.2">
      <c r="A127" s="102"/>
      <c r="B127" s="107"/>
      <c r="C127" s="107" t="s">
        <v>45</v>
      </c>
      <c r="D127" s="109">
        <v>1</v>
      </c>
      <c r="E127" s="73">
        <v>6500</v>
      </c>
      <c r="F127" s="74">
        <f t="shared" si="95"/>
        <v>7150</v>
      </c>
      <c r="G127" s="74">
        <f>F127*1.1*1.1+0.5</f>
        <v>8652.0000000000018</v>
      </c>
      <c r="H127" s="74">
        <v>10692.91</v>
      </c>
      <c r="I127" s="74">
        <f t="shared" si="96"/>
        <v>11762.201000000001</v>
      </c>
      <c r="J127" s="74">
        <v>12467.933060000001</v>
      </c>
      <c r="K127" s="74">
        <f>ROUND('26.08.22'!K127*1.04,2)</f>
        <v>17896.259999999998</v>
      </c>
      <c r="L127" s="105" t="s">
        <v>126</v>
      </c>
      <c r="M127" s="145">
        <v>30</v>
      </c>
      <c r="N127" s="76"/>
      <c r="O127" s="78">
        <f t="shared" si="88"/>
        <v>5368.88</v>
      </c>
      <c r="P127" s="78">
        <f t="shared" si="97"/>
        <v>20401.740000000002</v>
      </c>
      <c r="Q127" s="78">
        <f t="shared" si="89"/>
        <v>27560.240399999999</v>
      </c>
      <c r="R127" s="79">
        <f t="shared" si="79"/>
        <v>71227.1204</v>
      </c>
      <c r="S127" s="78">
        <f t="shared" si="80"/>
        <v>4474.07</v>
      </c>
      <c r="T127" s="78">
        <v>1.54</v>
      </c>
      <c r="U127" s="78">
        <f t="shared" si="81"/>
        <v>75701.190399999992</v>
      </c>
      <c r="V127" s="79">
        <f t="shared" si="67"/>
        <v>61967.594747999996</v>
      </c>
      <c r="W127" s="78">
        <f t="shared" si="68"/>
        <v>65860.03564799999</v>
      </c>
      <c r="X127" s="80">
        <v>3</v>
      </c>
      <c r="Y127" s="78">
        <v>3</v>
      </c>
      <c r="Z127" s="80">
        <f t="shared" si="69"/>
        <v>0</v>
      </c>
      <c r="AA127" s="80">
        <f t="shared" si="70"/>
        <v>0</v>
      </c>
      <c r="AB127" s="80">
        <f t="shared" si="71"/>
        <v>53688.78</v>
      </c>
      <c r="AC127" s="80"/>
      <c r="AD127">
        <v>0.1</v>
      </c>
      <c r="AE127" s="78">
        <f t="shared" si="72"/>
        <v>1789.626</v>
      </c>
      <c r="AF127">
        <v>0.2</v>
      </c>
      <c r="AG127" s="78">
        <f t="shared" si="73"/>
        <v>3579.252</v>
      </c>
    </row>
    <row r="128" spans="1:33" x14ac:dyDescent="0.2">
      <c r="A128" s="102" t="s">
        <v>127</v>
      </c>
      <c r="B128" s="107"/>
      <c r="C128" s="107" t="s">
        <v>48</v>
      </c>
      <c r="D128" s="109">
        <v>1</v>
      </c>
      <c r="E128" s="73">
        <v>5600</v>
      </c>
      <c r="F128" s="74">
        <f t="shared" si="95"/>
        <v>6160</v>
      </c>
      <c r="G128" s="74">
        <f>F128*1.1*1.1+0.4</f>
        <v>7454.0000000000009</v>
      </c>
      <c r="H128" s="74">
        <v>9212.35</v>
      </c>
      <c r="I128" s="74">
        <f t="shared" si="96"/>
        <v>10133.585000000001</v>
      </c>
      <c r="J128" s="74">
        <v>10741.600100000001</v>
      </c>
      <c r="K128" s="74">
        <f>ROUND('26.08.22'!K128*1.04,2)</f>
        <v>15418.33</v>
      </c>
      <c r="L128" s="75" t="s">
        <v>227</v>
      </c>
      <c r="M128" s="145">
        <v>30</v>
      </c>
      <c r="N128" s="76"/>
      <c r="O128" s="78">
        <f>ROUND((K128*M128/100),2)</f>
        <v>4625.5</v>
      </c>
      <c r="P128" s="78">
        <f t="shared" si="97"/>
        <v>17576.900000000001</v>
      </c>
      <c r="Q128" s="78">
        <f t="shared" si="89"/>
        <v>22202.395199999999</v>
      </c>
      <c r="R128" s="79">
        <f t="shared" si="79"/>
        <v>59823.125200000002</v>
      </c>
      <c r="S128" s="78">
        <f t="shared" si="80"/>
        <v>3854.58</v>
      </c>
      <c r="T128" s="78">
        <v>1.44</v>
      </c>
      <c r="U128" s="78">
        <f t="shared" si="81"/>
        <v>63677.705200000004</v>
      </c>
      <c r="V128" s="79">
        <f t="shared" si="67"/>
        <v>52046.118924000002</v>
      </c>
      <c r="W128" s="78">
        <f t="shared" si="68"/>
        <v>55399.603524000006</v>
      </c>
      <c r="X128" s="80">
        <v>3</v>
      </c>
      <c r="Y128" s="78"/>
      <c r="Z128" s="80">
        <v>1</v>
      </c>
      <c r="AA128" s="80">
        <f t="shared" si="70"/>
        <v>15418.33</v>
      </c>
      <c r="AB128" s="80">
        <f t="shared" si="71"/>
        <v>0</v>
      </c>
      <c r="AC128" s="80"/>
      <c r="AD128">
        <v>0.1</v>
      </c>
      <c r="AE128" s="78">
        <f t="shared" si="72"/>
        <v>1541.8330000000001</v>
      </c>
      <c r="AF128">
        <v>0.2</v>
      </c>
      <c r="AG128" s="78">
        <f t="shared" si="73"/>
        <v>3083.6660000000002</v>
      </c>
    </row>
    <row r="129" spans="1:33" x14ac:dyDescent="0.2">
      <c r="A129" s="102"/>
      <c r="B129" s="107"/>
      <c r="C129" s="107" t="s">
        <v>45</v>
      </c>
      <c r="D129" s="109">
        <v>1</v>
      </c>
      <c r="E129" s="73"/>
      <c r="F129" s="74"/>
      <c r="G129" s="74"/>
      <c r="H129" s="74">
        <v>9212.35</v>
      </c>
      <c r="I129" s="74">
        <f t="shared" si="96"/>
        <v>10133.585000000001</v>
      </c>
      <c r="J129" s="74">
        <v>10741.600100000001</v>
      </c>
      <c r="K129" s="74">
        <f>ROUND('26.08.22'!K129*1.04,2)</f>
        <v>17896.259999999998</v>
      </c>
      <c r="L129" s="180" t="s">
        <v>191</v>
      </c>
      <c r="M129" s="146">
        <v>30</v>
      </c>
      <c r="N129" s="76"/>
      <c r="O129" s="78">
        <f>ROUND((K129*M129/100),2)</f>
        <v>5368.88</v>
      </c>
      <c r="P129" s="78">
        <f t="shared" si="97"/>
        <v>20401.740000000002</v>
      </c>
      <c r="Q129" s="78">
        <f t="shared" si="89"/>
        <v>27560.240399999999</v>
      </c>
      <c r="R129" s="79">
        <f t="shared" si="79"/>
        <v>71227.1204</v>
      </c>
      <c r="S129" s="78">
        <f t="shared" si="80"/>
        <v>4474.07</v>
      </c>
      <c r="T129" s="78">
        <v>1.54</v>
      </c>
      <c r="U129" s="78">
        <f t="shared" si="81"/>
        <v>75701.190399999992</v>
      </c>
      <c r="V129" s="79">
        <f t="shared" si="67"/>
        <v>61967.594747999996</v>
      </c>
      <c r="W129" s="78">
        <f t="shared" si="68"/>
        <v>65860.03564799999</v>
      </c>
      <c r="X129" s="80">
        <v>3</v>
      </c>
      <c r="Y129" s="124"/>
      <c r="Z129" s="80">
        <v>1</v>
      </c>
      <c r="AA129" s="80">
        <f t="shared" si="70"/>
        <v>17896.259999999998</v>
      </c>
      <c r="AB129" s="80">
        <f t="shared" si="71"/>
        <v>0</v>
      </c>
      <c r="AC129" s="80"/>
      <c r="AD129">
        <v>0.1</v>
      </c>
      <c r="AE129" s="78">
        <f t="shared" si="72"/>
        <v>1789.626</v>
      </c>
      <c r="AF129">
        <v>0.2</v>
      </c>
      <c r="AG129" s="78">
        <f t="shared" si="73"/>
        <v>3579.252</v>
      </c>
    </row>
    <row r="130" spans="1:33" x14ac:dyDescent="0.2">
      <c r="A130" s="102"/>
      <c r="B130" s="107"/>
      <c r="C130" s="107" t="s">
        <v>48</v>
      </c>
      <c r="D130" s="143">
        <v>1</v>
      </c>
      <c r="E130" s="118"/>
      <c r="F130" s="74"/>
      <c r="G130" s="74"/>
      <c r="H130" s="74">
        <v>9212.35</v>
      </c>
      <c r="I130" s="74">
        <f t="shared" si="96"/>
        <v>10133.585000000001</v>
      </c>
      <c r="J130" s="74">
        <v>10741.600100000001</v>
      </c>
      <c r="K130" s="74">
        <f>ROUND('26.08.22'!K130*1.04,2)</f>
        <v>15418.33</v>
      </c>
      <c r="L130" s="180" t="s">
        <v>219</v>
      </c>
      <c r="M130" s="145">
        <v>20</v>
      </c>
      <c r="N130" s="83"/>
      <c r="O130" s="78">
        <f t="shared" si="88"/>
        <v>3083.67</v>
      </c>
      <c r="P130" s="78">
        <f t="shared" si="97"/>
        <v>17576.900000000001</v>
      </c>
      <c r="Q130" s="78">
        <f t="shared" si="89"/>
        <v>22202.395199999999</v>
      </c>
      <c r="R130" s="79">
        <f t="shared" si="79"/>
        <v>58281.2952</v>
      </c>
      <c r="S130" s="78">
        <f t="shared" si="80"/>
        <v>3854.58</v>
      </c>
      <c r="T130" s="78">
        <v>1.44</v>
      </c>
      <c r="U130" s="78">
        <f t="shared" si="81"/>
        <v>62135.875200000002</v>
      </c>
      <c r="V130" s="79">
        <f t="shared" si="67"/>
        <v>50704.726823999998</v>
      </c>
      <c r="W130" s="78">
        <f t="shared" si="68"/>
        <v>54058.211424000001</v>
      </c>
      <c r="X130" s="80">
        <v>3</v>
      </c>
      <c r="Y130" s="124"/>
      <c r="Z130" s="80">
        <v>1</v>
      </c>
      <c r="AA130" s="80">
        <f t="shared" si="70"/>
        <v>15418.33</v>
      </c>
      <c r="AB130" s="80">
        <f t="shared" si="71"/>
        <v>0</v>
      </c>
      <c r="AC130" s="80"/>
      <c r="AD130">
        <v>0.1</v>
      </c>
      <c r="AE130" s="78">
        <f t="shared" si="72"/>
        <v>1541.8330000000001</v>
      </c>
      <c r="AF130">
        <v>0.2</v>
      </c>
      <c r="AG130" s="78">
        <f t="shared" si="73"/>
        <v>3083.6660000000002</v>
      </c>
    </row>
    <row r="131" spans="1:33" x14ac:dyDescent="0.2">
      <c r="A131" s="102"/>
      <c r="B131" s="87"/>
      <c r="C131" s="87" t="s">
        <v>51</v>
      </c>
      <c r="D131" s="111">
        <f>SUM(D123:D130)</f>
        <v>8</v>
      </c>
      <c r="E131" s="95">
        <f>SUM(E123:E128)</f>
        <v>41300</v>
      </c>
      <c r="F131" s="95">
        <f>SUM(F123:F128)</f>
        <v>45430</v>
      </c>
      <c r="G131" s="95">
        <f>SUM(G123:G128)</f>
        <v>54973</v>
      </c>
      <c r="H131" s="95">
        <f>SUM(H123:H130)</f>
        <v>86365.790000000023</v>
      </c>
      <c r="I131" s="95">
        <f>SUM(I123:I130)</f>
        <v>95002.369000000021</v>
      </c>
      <c r="J131" s="95">
        <v>100702.51114</v>
      </c>
      <c r="K131" s="230">
        <f>SUM(K123:K130)</f>
        <v>147024.62999999998</v>
      </c>
      <c r="L131" s="148"/>
      <c r="M131" s="148"/>
      <c r="N131" s="148">
        <f t="shared" ref="N131" si="98">SUM(N123:N130)</f>
        <v>0</v>
      </c>
      <c r="O131" s="148">
        <f>SUM(O123:O130)</f>
        <v>40775.94</v>
      </c>
      <c r="P131" s="148">
        <f t="shared" ref="P131:W131" si="99">SUM(P123:P130)</f>
        <v>169948.37</v>
      </c>
      <c r="Q131" s="148">
        <f t="shared" si="99"/>
        <v>223334.26420000001</v>
      </c>
      <c r="R131" s="148">
        <f t="shared" si="99"/>
        <v>581083.20420000004</v>
      </c>
      <c r="S131" s="148">
        <f t="shared" si="99"/>
        <v>36756.17</v>
      </c>
      <c r="T131" s="148">
        <f t="shared" si="99"/>
        <v>12.12</v>
      </c>
      <c r="U131" s="148">
        <f t="shared" si="99"/>
        <v>617839.37419999996</v>
      </c>
      <c r="V131" s="148">
        <f t="shared" si="99"/>
        <v>505542.38765399996</v>
      </c>
      <c r="W131" s="148">
        <f t="shared" si="99"/>
        <v>537520.25555399992</v>
      </c>
      <c r="X131" s="80"/>
      <c r="Y131" s="148"/>
      <c r="Z131" s="80"/>
      <c r="AA131" s="80">
        <f t="shared" si="70"/>
        <v>0</v>
      </c>
      <c r="AB131" s="80">
        <f t="shared" si="71"/>
        <v>0</v>
      </c>
      <c r="AC131" s="149"/>
      <c r="AD131">
        <v>0.1</v>
      </c>
      <c r="AE131" s="150">
        <f t="shared" si="72"/>
        <v>14702.462999999998</v>
      </c>
      <c r="AF131">
        <v>0.2</v>
      </c>
      <c r="AG131" s="150">
        <f t="shared" si="73"/>
        <v>29404.925999999996</v>
      </c>
    </row>
    <row r="132" spans="1:33" ht="33.75" customHeight="1" x14ac:dyDescent="0.2">
      <c r="A132" s="102"/>
      <c r="B132" s="151"/>
      <c r="C132" s="151" t="s">
        <v>128</v>
      </c>
      <c r="D132" s="152">
        <f>D16+D24+D51+D55+D89+D105+D117+D131+D93+D121</f>
        <v>86</v>
      </c>
      <c r="E132" s="153">
        <f t="shared" ref="E132:J132" si="100">E16+E24+E51+E55+E89+E105+E117+E131+E93+E121</f>
        <v>322200</v>
      </c>
      <c r="F132" s="153">
        <f t="shared" si="100"/>
        <v>355300</v>
      </c>
      <c r="G132" s="153">
        <f t="shared" si="100"/>
        <v>563440</v>
      </c>
      <c r="H132" s="153">
        <f t="shared" si="100"/>
        <v>765283.27000000014</v>
      </c>
      <c r="I132" s="153">
        <f t="shared" si="100"/>
        <v>841811.59700000018</v>
      </c>
      <c r="J132" s="153">
        <f t="shared" si="100"/>
        <v>921092.43886000011</v>
      </c>
      <c r="K132" s="231">
        <f>K16+K24+K51+K55+K89+K105+K117+K131+K93+K121</f>
        <v>1633102.2000000002</v>
      </c>
      <c r="L132" s="154"/>
      <c r="M132" s="154"/>
      <c r="N132" s="154">
        <f t="shared" ref="N132" si="101">N16+N24+N51+N55+N89+N105+N117+N131+N93+N121</f>
        <v>0</v>
      </c>
      <c r="O132" s="154">
        <f>O16+O24+O51+O55+O89+O105+O117+O131+O93+O121</f>
        <v>390634</v>
      </c>
      <c r="P132" s="154">
        <f t="shared" ref="P132:W132" si="102">P16+P24+P51+P55+P89+P105+P117+P131+P93+P121</f>
        <v>1903779.0799999998</v>
      </c>
      <c r="Q132" s="154">
        <f t="shared" si="102"/>
        <v>2457846.9996000002</v>
      </c>
      <c r="R132" s="154">
        <f t="shared" si="102"/>
        <v>6341695.3995999983</v>
      </c>
      <c r="S132" s="154">
        <f t="shared" si="102"/>
        <v>408275.73000000004</v>
      </c>
      <c r="T132" s="154">
        <f t="shared" si="102"/>
        <v>133.64000000000001</v>
      </c>
      <c r="U132" s="154">
        <f t="shared" si="102"/>
        <v>6745497.0596000003</v>
      </c>
      <c r="V132" s="154">
        <f t="shared" si="102"/>
        <v>5517274.9976520007</v>
      </c>
      <c r="W132" s="154">
        <f t="shared" si="102"/>
        <v>5868582.4418519987</v>
      </c>
      <c r="X132" s="80"/>
      <c r="Y132" s="154"/>
      <c r="Z132" s="80"/>
      <c r="AA132" s="80">
        <f t="shared" si="70"/>
        <v>0</v>
      </c>
      <c r="AB132" s="80">
        <f t="shared" si="71"/>
        <v>0</v>
      </c>
      <c r="AC132" s="155"/>
      <c r="AD132">
        <v>0.1</v>
      </c>
      <c r="AE132" s="154">
        <f>AE16+AE24+AE51+AE55+AE89+AE105+AE117+AE131+AE93+AE121</f>
        <v>181206.47999999998</v>
      </c>
      <c r="AF132" s="154"/>
      <c r="AG132" s="154">
        <f>AG16+AG24+AG51+AG55+AG89+AG105+AG117+AG131+AG93+AG121</f>
        <v>344516.69999999995</v>
      </c>
    </row>
    <row r="133" spans="1:33" x14ac:dyDescent="0.2">
      <c r="A133" s="156" t="s">
        <v>129</v>
      </c>
      <c r="B133" s="157"/>
      <c r="C133" s="157"/>
      <c r="D133" s="158"/>
      <c r="E133" s="159"/>
      <c r="F133" s="159"/>
      <c r="G133" s="159"/>
      <c r="H133" s="159"/>
      <c r="I133" s="159"/>
      <c r="J133" s="159"/>
      <c r="K133" s="74"/>
      <c r="L133" s="160"/>
      <c r="M133" s="161"/>
      <c r="N133" s="161"/>
      <c r="O133" s="159"/>
      <c r="P133" s="159"/>
      <c r="Q133" s="162"/>
      <c r="R133" s="79"/>
      <c r="S133" s="159"/>
      <c r="T133" s="159"/>
      <c r="U133" s="159"/>
      <c r="V133" s="163"/>
      <c r="W133" s="159"/>
      <c r="X133" s="80"/>
      <c r="Y133" s="159"/>
      <c r="Z133" s="80"/>
      <c r="AA133" s="80">
        <f t="shared" si="70"/>
        <v>0</v>
      </c>
      <c r="AB133" s="80">
        <f t="shared" si="71"/>
        <v>0</v>
      </c>
      <c r="AC133" s="164"/>
      <c r="AD133">
        <v>0.1</v>
      </c>
      <c r="AE133" s="159"/>
      <c r="AG133" s="159"/>
    </row>
    <row r="134" spans="1:33" x14ac:dyDescent="0.2">
      <c r="A134" s="165"/>
      <c r="B134" s="166"/>
      <c r="C134" s="166"/>
      <c r="D134" s="167"/>
      <c r="E134" s="168"/>
      <c r="F134" s="168"/>
      <c r="G134" s="168"/>
      <c r="H134" s="168"/>
      <c r="I134" s="168"/>
      <c r="J134" s="168"/>
      <c r="K134" s="74"/>
      <c r="L134" s="169"/>
      <c r="M134" s="170"/>
      <c r="N134" s="170"/>
      <c r="O134" s="168"/>
      <c r="P134" s="168"/>
      <c r="Q134" s="168"/>
      <c r="R134" s="79"/>
      <c r="S134" s="168"/>
      <c r="T134" s="168"/>
      <c r="U134" s="168"/>
      <c r="V134" s="171"/>
      <c r="W134" s="168"/>
      <c r="X134" s="80"/>
      <c r="Y134" s="168"/>
      <c r="Z134" s="80"/>
      <c r="AA134" s="80">
        <f t="shared" si="70"/>
        <v>0</v>
      </c>
      <c r="AB134" s="80">
        <f t="shared" si="71"/>
        <v>0</v>
      </c>
      <c r="AC134" s="164"/>
      <c r="AD134">
        <v>0.1</v>
      </c>
      <c r="AE134" s="168"/>
      <c r="AG134" s="168"/>
    </row>
    <row r="135" spans="1:33" ht="27" customHeight="1" x14ac:dyDescent="0.2">
      <c r="A135" s="172" t="s">
        <v>130</v>
      </c>
      <c r="B135" s="173"/>
      <c r="C135" s="173"/>
      <c r="D135" s="174"/>
      <c r="E135" s="175"/>
      <c r="F135" s="175"/>
      <c r="G135" s="175"/>
      <c r="H135" s="175"/>
      <c r="I135" s="175"/>
      <c r="J135" s="175"/>
      <c r="K135" s="90"/>
      <c r="L135" s="176"/>
      <c r="M135" s="173"/>
      <c r="N135" s="173"/>
      <c r="O135" s="173"/>
      <c r="P135" s="177"/>
      <c r="Q135" s="178"/>
      <c r="R135" s="79"/>
      <c r="S135" s="173"/>
      <c r="T135" s="177"/>
      <c r="U135" s="173"/>
      <c r="V135" s="179"/>
      <c r="W135" s="173"/>
      <c r="X135" s="80"/>
      <c r="Y135" s="173"/>
      <c r="Z135" s="80"/>
      <c r="AA135" s="80">
        <f t="shared" si="70"/>
        <v>0</v>
      </c>
      <c r="AB135" s="80">
        <f t="shared" si="71"/>
        <v>0</v>
      </c>
      <c r="AC135" s="68"/>
      <c r="AD135">
        <v>0.1</v>
      </c>
      <c r="AE135" s="173"/>
      <c r="AG135" s="173"/>
    </row>
    <row r="136" spans="1:33" ht="26.25" customHeight="1" x14ac:dyDescent="0.2">
      <c r="A136" s="71" t="s">
        <v>131</v>
      </c>
      <c r="B136" s="97"/>
      <c r="C136" s="97"/>
      <c r="D136" s="94"/>
      <c r="E136" s="95"/>
      <c r="F136" s="95"/>
      <c r="G136" s="95"/>
      <c r="H136" s="95"/>
      <c r="I136" s="95"/>
      <c r="J136" s="95"/>
      <c r="K136" s="90"/>
      <c r="L136" s="96"/>
      <c r="M136" s="97"/>
      <c r="N136" s="97"/>
      <c r="O136" s="98"/>
      <c r="P136" s="130">
        <v>1.1399999999999999</v>
      </c>
      <c r="Q136" s="66" t="s">
        <v>132</v>
      </c>
      <c r="R136" s="79"/>
      <c r="S136" s="98"/>
      <c r="T136" s="130"/>
      <c r="U136" s="98"/>
      <c r="V136" s="100"/>
      <c r="W136" s="98"/>
      <c r="X136" s="80"/>
      <c r="Y136" s="98"/>
      <c r="Z136" s="80"/>
      <c r="AA136" s="80">
        <f t="shared" si="70"/>
        <v>0</v>
      </c>
      <c r="AB136" s="80">
        <f t="shared" si="71"/>
        <v>0</v>
      </c>
      <c r="AC136" s="101"/>
      <c r="AD136">
        <v>0.1</v>
      </c>
      <c r="AE136" s="98"/>
      <c r="AG136" s="98"/>
    </row>
    <row r="137" spans="1:33" x14ac:dyDescent="0.2">
      <c r="A137" s="102"/>
      <c r="B137" s="87"/>
      <c r="C137" s="87" t="s">
        <v>133</v>
      </c>
      <c r="D137" s="72">
        <v>1</v>
      </c>
      <c r="E137" s="73">
        <v>7500</v>
      </c>
      <c r="F137" s="74">
        <f t="shared" ref="F137:F142" si="103">ROUND(E137*F$12,2)</f>
        <v>8250</v>
      </c>
      <c r="G137" s="74">
        <f>F137*1.1*1.1+0.5</f>
        <v>9983</v>
      </c>
      <c r="H137" s="74">
        <v>12337.98</v>
      </c>
      <c r="I137" s="74">
        <f t="shared" ref="I137:I142" si="104">H137*$I$12</f>
        <v>13571.778</v>
      </c>
      <c r="J137" s="74">
        <v>14386.084680000002</v>
      </c>
      <c r="K137" s="74">
        <f>ROUND('26.08.22'!K137*1.04,2)</f>
        <v>20649.54</v>
      </c>
      <c r="L137" s="105" t="s">
        <v>134</v>
      </c>
      <c r="M137" s="76">
        <v>30</v>
      </c>
      <c r="N137" s="76"/>
      <c r="O137" s="78">
        <f>ROUND((K137*M137/100),2)</f>
        <v>6194.86</v>
      </c>
      <c r="P137" s="78">
        <f>ROUND(K137*1.14,2)</f>
        <v>23540.48</v>
      </c>
      <c r="Q137" s="78">
        <f>K137*T137</f>
        <v>29735.337599999999</v>
      </c>
      <c r="R137" s="79">
        <f>K137+O137+P137+Q137</f>
        <v>80120.217600000004</v>
      </c>
      <c r="S137" s="78">
        <f>ROUND(K137*S$12,2)</f>
        <v>5162.3900000000003</v>
      </c>
      <c r="T137" s="78">
        <v>1.44</v>
      </c>
      <c r="U137" s="78">
        <f>K137+O137+P137+Q137+S137</f>
        <v>85282.607600000003</v>
      </c>
      <c r="V137" s="79">
        <f t="shared" si="67"/>
        <v>69704.589311999996</v>
      </c>
      <c r="W137" s="78">
        <f t="shared" si="68"/>
        <v>74195.868612000006</v>
      </c>
      <c r="X137" s="80">
        <v>3</v>
      </c>
      <c r="Y137" s="78">
        <v>2</v>
      </c>
      <c r="Z137" s="80">
        <f t="shared" si="69"/>
        <v>1</v>
      </c>
      <c r="AA137" s="80">
        <f t="shared" si="70"/>
        <v>20649.54</v>
      </c>
      <c r="AB137" s="80">
        <f t="shared" si="71"/>
        <v>41299.08</v>
      </c>
      <c r="AC137" s="80"/>
      <c r="AD137">
        <v>0.1</v>
      </c>
      <c r="AE137" s="78">
        <f t="shared" si="72"/>
        <v>2064.9540000000002</v>
      </c>
      <c r="AF137">
        <v>0.1</v>
      </c>
      <c r="AG137" s="78">
        <f>K137*AF137</f>
        <v>2064.9540000000002</v>
      </c>
    </row>
    <row r="138" spans="1:33" ht="21" customHeight="1" x14ac:dyDescent="0.2">
      <c r="A138" s="102"/>
      <c r="B138" s="122"/>
      <c r="C138" s="122" t="s">
        <v>90</v>
      </c>
      <c r="D138" s="72">
        <v>1</v>
      </c>
      <c r="E138" s="73">
        <v>6000</v>
      </c>
      <c r="F138" s="74">
        <f t="shared" si="103"/>
        <v>6600</v>
      </c>
      <c r="G138" s="74">
        <f>F138*1.1*1.1</f>
        <v>7986.0000000000018</v>
      </c>
      <c r="H138" s="74">
        <v>9870.3799999999992</v>
      </c>
      <c r="I138" s="74">
        <f t="shared" si="104"/>
        <v>10857.418</v>
      </c>
      <c r="J138" s="74">
        <v>11508.863080000001</v>
      </c>
      <c r="K138" s="74">
        <f>ROUND('26.08.22'!K138*1.04,2)</f>
        <v>16519.63</v>
      </c>
      <c r="L138" s="180" t="s">
        <v>135</v>
      </c>
      <c r="M138" s="83">
        <v>30</v>
      </c>
      <c r="N138" s="76"/>
      <c r="O138" s="78">
        <f t="shared" ref="O138:O184" si="105">ROUND((K138*M138/100),2)</f>
        <v>4955.8900000000003</v>
      </c>
      <c r="P138" s="78">
        <f t="shared" ref="P138:P184" si="106">ROUND(K138*1.14,2)</f>
        <v>18832.38</v>
      </c>
      <c r="Q138" s="78">
        <f t="shared" ref="Q138:Q184" si="107">K138*T138</f>
        <v>16354.433700000001</v>
      </c>
      <c r="R138" s="79">
        <f t="shared" ref="R138:R184" si="108">K138+O138+P138+Q138</f>
        <v>56662.333700000003</v>
      </c>
      <c r="S138" s="78">
        <f t="shared" ref="S138:S184" si="109">ROUND(K138*S$12,2)</f>
        <v>4129.91</v>
      </c>
      <c r="T138" s="78">
        <v>0.99</v>
      </c>
      <c r="U138" s="78">
        <f t="shared" ref="U138:U184" si="110">K138+O138+P138+Q138+S138</f>
        <v>60792.243700000006</v>
      </c>
      <c r="V138" s="79">
        <f t="shared" si="67"/>
        <v>49296.230319000002</v>
      </c>
      <c r="W138" s="78">
        <f t="shared" si="68"/>
        <v>52889.252019000007</v>
      </c>
      <c r="X138" s="80">
        <v>3</v>
      </c>
      <c r="Y138" s="78">
        <v>3</v>
      </c>
      <c r="Z138" s="80">
        <f t="shared" si="69"/>
        <v>0</v>
      </c>
      <c r="AA138" s="80">
        <f t="shared" si="70"/>
        <v>0</v>
      </c>
      <c r="AB138" s="80">
        <f t="shared" si="71"/>
        <v>49558.89</v>
      </c>
      <c r="AC138" s="80"/>
      <c r="AD138">
        <v>0.1</v>
      </c>
      <c r="AE138" s="78">
        <f t="shared" si="72"/>
        <v>1651.9630000000002</v>
      </c>
      <c r="AF138">
        <v>0.1</v>
      </c>
      <c r="AG138" s="78">
        <f t="shared" ref="AG138:AG184" si="111">K138*AF138</f>
        <v>1651.9630000000002</v>
      </c>
    </row>
    <row r="139" spans="1:33" ht="15.75" customHeight="1" x14ac:dyDescent="0.2">
      <c r="A139" s="102"/>
      <c r="B139" s="122"/>
      <c r="C139" s="107" t="s">
        <v>48</v>
      </c>
      <c r="D139" s="109">
        <v>1</v>
      </c>
      <c r="E139" s="73">
        <v>5000</v>
      </c>
      <c r="F139" s="74">
        <f t="shared" si="103"/>
        <v>5500</v>
      </c>
      <c r="G139" s="74">
        <f>F139*1.1*1.1</f>
        <v>6655.0000000000018</v>
      </c>
      <c r="H139" s="74">
        <v>8225.31</v>
      </c>
      <c r="I139" s="74">
        <f t="shared" si="104"/>
        <v>9047.8410000000003</v>
      </c>
      <c r="J139" s="74">
        <v>9590.7114600000004</v>
      </c>
      <c r="K139" s="74">
        <f>ROUND('26.08.22'!K139*1.04,2)</f>
        <v>13766.34</v>
      </c>
      <c r="L139" s="75" t="s">
        <v>211</v>
      </c>
      <c r="M139" s="83">
        <v>30</v>
      </c>
      <c r="N139" s="76"/>
      <c r="O139" s="78">
        <f t="shared" si="105"/>
        <v>4129.8999999999996</v>
      </c>
      <c r="P139" s="78">
        <f t="shared" si="106"/>
        <v>15693.63</v>
      </c>
      <c r="Q139" s="78">
        <f t="shared" si="107"/>
        <v>12252.042600000001</v>
      </c>
      <c r="R139" s="79">
        <f t="shared" si="108"/>
        <v>45841.912599999996</v>
      </c>
      <c r="S139" s="78">
        <f t="shared" si="109"/>
        <v>3441.59</v>
      </c>
      <c r="T139" s="78">
        <v>0.89</v>
      </c>
      <c r="U139" s="78">
        <f t="shared" si="110"/>
        <v>49283.502599999993</v>
      </c>
      <c r="V139" s="79">
        <f t="shared" si="67"/>
        <v>39882.463961999994</v>
      </c>
      <c r="W139" s="78">
        <f t="shared" si="68"/>
        <v>42876.647261999991</v>
      </c>
      <c r="X139" s="80">
        <v>3</v>
      </c>
      <c r="Y139" s="78">
        <v>3</v>
      </c>
      <c r="Z139" s="80">
        <f t="shared" si="69"/>
        <v>0</v>
      </c>
      <c r="AA139" s="80">
        <f t="shared" si="70"/>
        <v>0</v>
      </c>
      <c r="AB139" s="80">
        <f t="shared" si="71"/>
        <v>41299.020000000004</v>
      </c>
      <c r="AC139" s="80"/>
      <c r="AD139">
        <v>0.1</v>
      </c>
      <c r="AE139" s="78">
        <f t="shared" si="72"/>
        <v>1376.634</v>
      </c>
      <c r="AF139">
        <v>0.1</v>
      </c>
      <c r="AG139" s="78">
        <f t="shared" si="111"/>
        <v>1376.634</v>
      </c>
    </row>
    <row r="140" spans="1:33" ht="25.5" x14ac:dyDescent="0.2">
      <c r="A140" s="102"/>
      <c r="B140" s="107"/>
      <c r="C140" s="131" t="s">
        <v>136</v>
      </c>
      <c r="D140" s="109">
        <v>1</v>
      </c>
      <c r="E140" s="73">
        <v>5000</v>
      </c>
      <c r="F140" s="74">
        <f t="shared" si="103"/>
        <v>5500</v>
      </c>
      <c r="G140" s="74">
        <f>F140*1.1*1.1</f>
        <v>6655.0000000000018</v>
      </c>
      <c r="H140" s="74">
        <v>8225.31</v>
      </c>
      <c r="I140" s="74">
        <f t="shared" si="104"/>
        <v>9047.8410000000003</v>
      </c>
      <c r="J140" s="74">
        <v>9590.7114600000004</v>
      </c>
      <c r="K140" s="74">
        <f>ROUND('26.08.22'!K140*1.04,2)</f>
        <v>16519.63</v>
      </c>
      <c r="L140" s="75"/>
      <c r="M140" s="83"/>
      <c r="N140" s="76"/>
      <c r="O140" s="78">
        <f t="shared" si="105"/>
        <v>0</v>
      </c>
      <c r="P140" s="78">
        <f t="shared" si="106"/>
        <v>18832.38</v>
      </c>
      <c r="Q140" s="78">
        <f t="shared" si="107"/>
        <v>16354.433700000001</v>
      </c>
      <c r="R140" s="79">
        <f t="shared" si="108"/>
        <v>51706.443700000003</v>
      </c>
      <c r="S140" s="78">
        <f t="shared" si="109"/>
        <v>4129.91</v>
      </c>
      <c r="T140" s="78">
        <v>0.99</v>
      </c>
      <c r="U140" s="78">
        <f t="shared" si="110"/>
        <v>55836.353700000007</v>
      </c>
      <c r="V140" s="79">
        <f t="shared" si="67"/>
        <v>44984.606019000006</v>
      </c>
      <c r="W140" s="78">
        <f t="shared" si="68"/>
        <v>48577.627719000004</v>
      </c>
      <c r="X140" s="80">
        <v>3</v>
      </c>
      <c r="Y140" s="78">
        <v>3</v>
      </c>
      <c r="Z140" s="80">
        <f t="shared" si="69"/>
        <v>0</v>
      </c>
      <c r="AA140" s="80">
        <f t="shared" si="70"/>
        <v>0</v>
      </c>
      <c r="AB140" s="80">
        <f t="shared" si="71"/>
        <v>49558.89</v>
      </c>
      <c r="AC140" s="80"/>
      <c r="AD140">
        <v>0.1</v>
      </c>
      <c r="AE140" s="78">
        <f t="shared" si="72"/>
        <v>1651.9630000000002</v>
      </c>
      <c r="AF140">
        <v>0.1</v>
      </c>
      <c r="AG140" s="78">
        <f t="shared" si="111"/>
        <v>1651.9630000000002</v>
      </c>
    </row>
    <row r="141" spans="1:33" ht="30.75" customHeight="1" x14ac:dyDescent="0.2">
      <c r="A141" s="102"/>
      <c r="B141" s="107"/>
      <c r="C141" s="131" t="s">
        <v>136</v>
      </c>
      <c r="D141" s="109">
        <v>1</v>
      </c>
      <c r="E141" s="73">
        <v>5000</v>
      </c>
      <c r="F141" s="74">
        <f t="shared" si="103"/>
        <v>5500</v>
      </c>
      <c r="G141" s="74">
        <f>F141*1.1*1.1</f>
        <v>6655.0000000000018</v>
      </c>
      <c r="H141" s="74">
        <v>8225.31</v>
      </c>
      <c r="I141" s="74">
        <f t="shared" si="104"/>
        <v>9047.8410000000003</v>
      </c>
      <c r="J141" s="74">
        <v>9590.7114600000004</v>
      </c>
      <c r="K141" s="74">
        <f>ROUND('26.08.22'!K141*1.04,2)</f>
        <v>16519.63</v>
      </c>
      <c r="L141" s="75" t="s">
        <v>137</v>
      </c>
      <c r="M141" s="83">
        <v>30</v>
      </c>
      <c r="N141" s="76"/>
      <c r="O141" s="78">
        <f t="shared" si="105"/>
        <v>4955.8900000000003</v>
      </c>
      <c r="P141" s="78">
        <f t="shared" si="106"/>
        <v>18832.38</v>
      </c>
      <c r="Q141" s="78">
        <f t="shared" si="107"/>
        <v>16354.433700000001</v>
      </c>
      <c r="R141" s="79">
        <f t="shared" si="108"/>
        <v>56662.333700000003</v>
      </c>
      <c r="S141" s="78">
        <f t="shared" si="109"/>
        <v>4129.91</v>
      </c>
      <c r="T141" s="78">
        <v>0.99</v>
      </c>
      <c r="U141" s="78">
        <f t="shared" si="110"/>
        <v>60792.243700000006</v>
      </c>
      <c r="V141" s="79">
        <f t="shared" si="67"/>
        <v>49296.230319000002</v>
      </c>
      <c r="W141" s="78">
        <f t="shared" si="68"/>
        <v>52889.252019000007</v>
      </c>
      <c r="X141" s="80">
        <v>3</v>
      </c>
      <c r="Y141" s="78">
        <v>3</v>
      </c>
      <c r="Z141" s="80">
        <f t="shared" si="69"/>
        <v>0</v>
      </c>
      <c r="AA141" s="80">
        <f t="shared" si="70"/>
        <v>0</v>
      </c>
      <c r="AB141" s="80">
        <f t="shared" si="71"/>
        <v>49558.89</v>
      </c>
      <c r="AC141" s="80"/>
      <c r="AD141">
        <v>0.1</v>
      </c>
      <c r="AE141" s="78">
        <f t="shared" si="72"/>
        <v>1651.9630000000002</v>
      </c>
      <c r="AF141">
        <v>0.1</v>
      </c>
      <c r="AG141" s="78">
        <f t="shared" si="111"/>
        <v>1651.9630000000002</v>
      </c>
    </row>
    <row r="142" spans="1:33" x14ac:dyDescent="0.2">
      <c r="A142" s="102"/>
      <c r="B142" s="107"/>
      <c r="C142" s="107" t="s">
        <v>138</v>
      </c>
      <c r="D142" s="109">
        <v>1</v>
      </c>
      <c r="E142" s="73">
        <v>4500</v>
      </c>
      <c r="F142" s="74">
        <f t="shared" si="103"/>
        <v>4950</v>
      </c>
      <c r="G142" s="74">
        <f>F142*1.1*1.1+0.5</f>
        <v>5990.0000000000009</v>
      </c>
      <c r="H142" s="74">
        <v>7402.79</v>
      </c>
      <c r="I142" s="74">
        <f t="shared" si="104"/>
        <v>8143.0690000000004</v>
      </c>
      <c r="J142" s="74">
        <v>8631.6531400000003</v>
      </c>
      <c r="K142" s="74">
        <f>ROUND('26.08.22'!K142*1.04,2)</f>
        <v>12389.73</v>
      </c>
      <c r="L142" s="75" t="s">
        <v>139</v>
      </c>
      <c r="M142" s="76">
        <v>0</v>
      </c>
      <c r="N142" s="76"/>
      <c r="O142" s="78">
        <f>ROUND((K142*M142/100),2)</f>
        <v>0</v>
      </c>
      <c r="P142" s="78">
        <f t="shared" si="106"/>
        <v>14124.29</v>
      </c>
      <c r="Q142" s="78">
        <f t="shared" si="107"/>
        <v>6690.4542000000001</v>
      </c>
      <c r="R142" s="79">
        <f t="shared" si="108"/>
        <v>33204.474199999997</v>
      </c>
      <c r="S142" s="78">
        <f t="shared" si="109"/>
        <v>3097.43</v>
      </c>
      <c r="T142" s="78">
        <v>0.54</v>
      </c>
      <c r="U142" s="78">
        <f t="shared" si="110"/>
        <v>36301.904199999997</v>
      </c>
      <c r="V142" s="79">
        <f t="shared" si="67"/>
        <v>28887.892553999998</v>
      </c>
      <c r="W142" s="78">
        <f t="shared" si="68"/>
        <v>31582.656653999999</v>
      </c>
      <c r="X142" s="80">
        <v>3</v>
      </c>
      <c r="Y142" s="78"/>
      <c r="Z142" s="80">
        <f t="shared" si="69"/>
        <v>3</v>
      </c>
      <c r="AA142" s="80">
        <f t="shared" si="70"/>
        <v>37169.19</v>
      </c>
      <c r="AB142" s="80">
        <f t="shared" si="71"/>
        <v>0</v>
      </c>
      <c r="AC142" s="80"/>
      <c r="AD142">
        <v>0.1</v>
      </c>
      <c r="AE142" s="78">
        <f t="shared" si="72"/>
        <v>1238.973</v>
      </c>
      <c r="AF142">
        <v>0.1</v>
      </c>
      <c r="AG142" s="78">
        <f t="shared" si="111"/>
        <v>1238.973</v>
      </c>
    </row>
    <row r="143" spans="1:33" x14ac:dyDescent="0.2">
      <c r="A143" s="107"/>
      <c r="B143" s="181"/>
      <c r="C143" s="181" t="s">
        <v>140</v>
      </c>
      <c r="D143" s="111">
        <f t="shared" ref="D143:I143" si="112">SUM(D137:D142)</f>
        <v>6</v>
      </c>
      <c r="E143" s="89">
        <f t="shared" si="112"/>
        <v>33000</v>
      </c>
      <c r="F143" s="89">
        <f t="shared" si="112"/>
        <v>36300</v>
      </c>
      <c r="G143" s="89">
        <f t="shared" si="112"/>
        <v>43924</v>
      </c>
      <c r="H143" s="89">
        <f t="shared" si="112"/>
        <v>54287.079999999994</v>
      </c>
      <c r="I143" s="89">
        <f t="shared" si="112"/>
        <v>59715.788</v>
      </c>
      <c r="J143" s="89">
        <v>53708.023820000002</v>
      </c>
      <c r="K143" s="90">
        <f>SUM(K137:K142)</f>
        <v>96364.5</v>
      </c>
      <c r="L143" s="90"/>
      <c r="M143" s="90"/>
      <c r="N143" s="90">
        <f t="shared" ref="N143" si="113">SUM(N137:N142)</f>
        <v>0</v>
      </c>
      <c r="O143" s="90">
        <f>SUM(O137:O142)</f>
        <v>20236.54</v>
      </c>
      <c r="P143" s="90">
        <f t="shared" ref="P143:W143" si="114">SUM(P137:P142)</f>
        <v>109855.54000000001</v>
      </c>
      <c r="Q143" s="90">
        <f t="shared" si="114"/>
        <v>97741.135500000004</v>
      </c>
      <c r="R143" s="90">
        <f t="shared" si="114"/>
        <v>324197.71549999999</v>
      </c>
      <c r="S143" s="90">
        <f t="shared" si="114"/>
        <v>24091.14</v>
      </c>
      <c r="T143" s="90">
        <f t="shared" si="114"/>
        <v>5.84</v>
      </c>
      <c r="U143" s="90">
        <f t="shared" si="114"/>
        <v>348288.85550000001</v>
      </c>
      <c r="V143" s="90">
        <f t="shared" si="114"/>
        <v>282052.01248499996</v>
      </c>
      <c r="W143" s="90">
        <f t="shared" si="114"/>
        <v>303011.30428500002</v>
      </c>
      <c r="X143" s="80"/>
      <c r="Y143" s="90"/>
      <c r="Z143" s="80"/>
      <c r="AA143" s="80">
        <f t="shared" si="70"/>
        <v>0</v>
      </c>
      <c r="AB143" s="80">
        <f t="shared" si="71"/>
        <v>0</v>
      </c>
      <c r="AC143" s="91"/>
      <c r="AD143">
        <v>0.1</v>
      </c>
      <c r="AE143" s="90">
        <f t="shared" si="72"/>
        <v>9636.4500000000007</v>
      </c>
      <c r="AF143">
        <v>0.1</v>
      </c>
      <c r="AG143" s="90">
        <f t="shared" si="111"/>
        <v>9636.4500000000007</v>
      </c>
    </row>
    <row r="144" spans="1:33" ht="24.75" customHeight="1" x14ac:dyDescent="0.2">
      <c r="A144" s="71" t="s">
        <v>141</v>
      </c>
      <c r="B144" s="97"/>
      <c r="C144" s="97"/>
      <c r="D144" s="94"/>
      <c r="E144" s="95"/>
      <c r="F144" s="95"/>
      <c r="G144" s="95"/>
      <c r="H144" s="95"/>
      <c r="I144" s="95"/>
      <c r="J144" s="95"/>
      <c r="K144" s="90"/>
      <c r="L144" s="90"/>
      <c r="M144" s="90"/>
      <c r="N144" s="90"/>
      <c r="O144" s="90"/>
      <c r="P144" s="130">
        <v>1.1399999999999999</v>
      </c>
      <c r="Q144" s="90"/>
      <c r="R144" s="79"/>
      <c r="S144" s="90"/>
      <c r="T144" s="130"/>
      <c r="U144" s="90"/>
      <c r="V144" s="79"/>
      <c r="W144" s="90"/>
      <c r="X144" s="80"/>
      <c r="Y144" s="90"/>
      <c r="Z144" s="80"/>
      <c r="AA144" s="80">
        <f t="shared" si="70"/>
        <v>0</v>
      </c>
      <c r="AB144" s="80">
        <f t="shared" si="71"/>
        <v>0</v>
      </c>
      <c r="AC144" s="91"/>
      <c r="AD144">
        <v>0.1</v>
      </c>
      <c r="AE144" s="90"/>
      <c r="AG144" s="90"/>
    </row>
    <row r="145" spans="1:33" x14ac:dyDescent="0.2">
      <c r="A145" s="102"/>
      <c r="B145" s="87"/>
      <c r="C145" s="87" t="s">
        <v>133</v>
      </c>
      <c r="D145" s="72">
        <v>1</v>
      </c>
      <c r="E145" s="73">
        <v>6500</v>
      </c>
      <c r="F145" s="74">
        <f t="shared" ref="F145:F150" si="115">ROUND(E145*F$12,2)</f>
        <v>7150</v>
      </c>
      <c r="G145" s="74">
        <f>F145*1.1*1.1+0.5</f>
        <v>8652.0000000000018</v>
      </c>
      <c r="H145" s="74">
        <v>10692.91</v>
      </c>
      <c r="I145" s="74">
        <f t="shared" ref="I145:I150" si="116">H145*$I$12</f>
        <v>11762.201000000001</v>
      </c>
      <c r="J145" s="74">
        <v>12467.933060000001</v>
      </c>
      <c r="K145" s="74">
        <f>ROUND('26.08.22'!K145*1.04,2)</f>
        <v>20649.54</v>
      </c>
      <c r="L145" s="75" t="s">
        <v>142</v>
      </c>
      <c r="M145" s="76">
        <v>30</v>
      </c>
      <c r="N145" s="76"/>
      <c r="O145" s="78">
        <f t="shared" si="105"/>
        <v>6194.86</v>
      </c>
      <c r="P145" s="78">
        <f t="shared" si="106"/>
        <v>23540.48</v>
      </c>
      <c r="Q145" s="78">
        <f t="shared" si="107"/>
        <v>29735.337599999999</v>
      </c>
      <c r="R145" s="79">
        <f t="shared" si="108"/>
        <v>80120.217600000004</v>
      </c>
      <c r="S145" s="78">
        <f t="shared" si="109"/>
        <v>5162.3900000000003</v>
      </c>
      <c r="T145" s="78">
        <v>1.44</v>
      </c>
      <c r="U145" s="78">
        <f t="shared" si="110"/>
        <v>85282.607600000003</v>
      </c>
      <c r="V145" s="79">
        <f t="shared" si="67"/>
        <v>69704.589311999996</v>
      </c>
      <c r="W145" s="78">
        <f t="shared" si="68"/>
        <v>74195.868612000006</v>
      </c>
      <c r="X145" s="80">
        <v>3</v>
      </c>
      <c r="Y145" s="78">
        <v>3</v>
      </c>
      <c r="Z145" s="80">
        <f t="shared" si="69"/>
        <v>0</v>
      </c>
      <c r="AA145" s="80">
        <f t="shared" si="70"/>
        <v>0</v>
      </c>
      <c r="AB145" s="80">
        <f t="shared" si="71"/>
        <v>61948.62</v>
      </c>
      <c r="AC145" s="80"/>
      <c r="AD145">
        <v>0.1</v>
      </c>
      <c r="AE145" s="78">
        <f t="shared" si="72"/>
        <v>2064.9540000000002</v>
      </c>
      <c r="AF145">
        <v>0.1</v>
      </c>
      <c r="AG145" s="78">
        <f t="shared" si="111"/>
        <v>2064.9540000000002</v>
      </c>
    </row>
    <row r="146" spans="1:33" ht="29.25" customHeight="1" x14ac:dyDescent="0.2">
      <c r="A146" s="102"/>
      <c r="B146" s="107"/>
      <c r="C146" s="131" t="s">
        <v>136</v>
      </c>
      <c r="D146" s="109">
        <v>1</v>
      </c>
      <c r="E146" s="73">
        <v>5000</v>
      </c>
      <c r="F146" s="74">
        <f t="shared" si="115"/>
        <v>5500</v>
      </c>
      <c r="G146" s="74">
        <f>F146*1.1*1.1</f>
        <v>6655.0000000000018</v>
      </c>
      <c r="H146" s="74">
        <v>8225.31</v>
      </c>
      <c r="I146" s="74">
        <f t="shared" si="116"/>
        <v>9047.8410000000003</v>
      </c>
      <c r="J146" s="74">
        <v>9590.7114600000004</v>
      </c>
      <c r="K146" s="74">
        <f>ROUND('26.08.22'!K146*1.04,2)</f>
        <v>16519.63</v>
      </c>
      <c r="L146" s="75" t="s">
        <v>143</v>
      </c>
      <c r="M146" s="83">
        <v>30</v>
      </c>
      <c r="N146" s="76"/>
      <c r="O146" s="78">
        <f t="shared" si="105"/>
        <v>4955.8900000000003</v>
      </c>
      <c r="P146" s="78">
        <f t="shared" si="106"/>
        <v>18832.38</v>
      </c>
      <c r="Q146" s="78">
        <f t="shared" si="107"/>
        <v>16354.433700000001</v>
      </c>
      <c r="R146" s="79">
        <f t="shared" si="108"/>
        <v>56662.333700000003</v>
      </c>
      <c r="S146" s="78">
        <f t="shared" si="109"/>
        <v>4129.91</v>
      </c>
      <c r="T146" s="78">
        <v>0.99</v>
      </c>
      <c r="U146" s="78">
        <f t="shared" si="110"/>
        <v>60792.243700000006</v>
      </c>
      <c r="V146" s="79">
        <f t="shared" si="67"/>
        <v>49296.230319000002</v>
      </c>
      <c r="W146" s="78">
        <f t="shared" si="68"/>
        <v>52889.252019000007</v>
      </c>
      <c r="X146" s="80">
        <v>3</v>
      </c>
      <c r="Y146" s="78">
        <v>3</v>
      </c>
      <c r="Z146" s="80">
        <f t="shared" si="69"/>
        <v>0</v>
      </c>
      <c r="AA146" s="80">
        <f t="shared" si="70"/>
        <v>0</v>
      </c>
      <c r="AB146" s="80">
        <f t="shared" si="71"/>
        <v>49558.89</v>
      </c>
      <c r="AC146" s="80"/>
      <c r="AD146">
        <v>0.1</v>
      </c>
      <c r="AE146" s="78">
        <f t="shared" si="72"/>
        <v>1651.9630000000002</v>
      </c>
      <c r="AF146">
        <v>0.1</v>
      </c>
      <c r="AG146" s="78">
        <f t="shared" si="111"/>
        <v>1651.9630000000002</v>
      </c>
    </row>
    <row r="147" spans="1:33" ht="26.25" customHeight="1" x14ac:dyDescent="0.2">
      <c r="A147" s="102"/>
      <c r="B147" s="107"/>
      <c r="C147" s="131" t="s">
        <v>136</v>
      </c>
      <c r="D147" s="109">
        <v>1</v>
      </c>
      <c r="E147" s="73">
        <v>5000</v>
      </c>
      <c r="F147" s="74">
        <f t="shared" si="115"/>
        <v>5500</v>
      </c>
      <c r="G147" s="74">
        <f>F147*1.1*1.1</f>
        <v>6655.0000000000018</v>
      </c>
      <c r="H147" s="74">
        <v>8225.31</v>
      </c>
      <c r="I147" s="74">
        <f t="shared" si="116"/>
        <v>9047.8410000000003</v>
      </c>
      <c r="J147" s="74">
        <v>9590.7114600000004</v>
      </c>
      <c r="K147" s="74">
        <f>ROUND('26.08.22'!K147*1.04,2)</f>
        <v>16519.63</v>
      </c>
      <c r="L147" s="75" t="s">
        <v>144</v>
      </c>
      <c r="M147" s="83">
        <v>30</v>
      </c>
      <c r="N147" s="76"/>
      <c r="O147" s="78">
        <f t="shared" si="105"/>
        <v>4955.8900000000003</v>
      </c>
      <c r="P147" s="78">
        <f t="shared" si="106"/>
        <v>18832.38</v>
      </c>
      <c r="Q147" s="78">
        <f t="shared" si="107"/>
        <v>16354.433700000001</v>
      </c>
      <c r="R147" s="79">
        <f t="shared" si="108"/>
        <v>56662.333700000003</v>
      </c>
      <c r="S147" s="78">
        <f t="shared" si="109"/>
        <v>4129.91</v>
      </c>
      <c r="T147" s="78">
        <v>0.99</v>
      </c>
      <c r="U147" s="78">
        <f t="shared" si="110"/>
        <v>60792.243700000006</v>
      </c>
      <c r="V147" s="79">
        <f t="shared" si="67"/>
        <v>49296.230319000002</v>
      </c>
      <c r="W147" s="78">
        <f t="shared" si="68"/>
        <v>52889.252019000007</v>
      </c>
      <c r="X147" s="80">
        <v>3</v>
      </c>
      <c r="Y147" s="78"/>
      <c r="Z147" s="80">
        <f t="shared" si="69"/>
        <v>3</v>
      </c>
      <c r="AA147" s="80">
        <f t="shared" si="70"/>
        <v>49558.89</v>
      </c>
      <c r="AB147" s="80">
        <f t="shared" si="71"/>
        <v>0</v>
      </c>
      <c r="AC147" s="80"/>
      <c r="AD147">
        <v>0.1</v>
      </c>
      <c r="AE147" s="78">
        <f t="shared" si="72"/>
        <v>1651.9630000000002</v>
      </c>
      <c r="AF147">
        <v>0.1</v>
      </c>
      <c r="AG147" s="78">
        <f t="shared" si="111"/>
        <v>1651.9630000000002</v>
      </c>
    </row>
    <row r="148" spans="1:33" ht="14.25" customHeight="1" x14ac:dyDescent="0.2">
      <c r="A148" s="102"/>
      <c r="B148" s="107"/>
      <c r="C148" s="122" t="s">
        <v>90</v>
      </c>
      <c r="D148" s="109">
        <v>1</v>
      </c>
      <c r="E148" s="73">
        <v>5000</v>
      </c>
      <c r="F148" s="74">
        <f t="shared" si="115"/>
        <v>5500</v>
      </c>
      <c r="G148" s="74">
        <f>F148*1.1*1.1</f>
        <v>6655.0000000000018</v>
      </c>
      <c r="H148" s="74">
        <v>8225.31</v>
      </c>
      <c r="I148" s="74">
        <f t="shared" si="116"/>
        <v>9047.8410000000003</v>
      </c>
      <c r="J148" s="74">
        <v>9590.7114600000004</v>
      </c>
      <c r="K148" s="74">
        <f>ROUND('26.08.22'!K148*1.04,2)</f>
        <v>16519.63</v>
      </c>
      <c r="L148" s="75" t="s">
        <v>145</v>
      </c>
      <c r="M148" s="76">
        <v>30</v>
      </c>
      <c r="N148" s="76"/>
      <c r="O148" s="78">
        <f t="shared" si="105"/>
        <v>4955.8900000000003</v>
      </c>
      <c r="P148" s="78">
        <f t="shared" si="106"/>
        <v>18832.38</v>
      </c>
      <c r="Q148" s="78">
        <f t="shared" si="107"/>
        <v>16354.433700000001</v>
      </c>
      <c r="R148" s="79">
        <f t="shared" si="108"/>
        <v>56662.333700000003</v>
      </c>
      <c r="S148" s="78">
        <f t="shared" si="109"/>
        <v>4129.91</v>
      </c>
      <c r="T148" s="78">
        <v>0.99</v>
      </c>
      <c r="U148" s="78">
        <f t="shared" si="110"/>
        <v>60792.243700000006</v>
      </c>
      <c r="V148" s="79">
        <f t="shared" si="67"/>
        <v>49296.230319000002</v>
      </c>
      <c r="W148" s="78">
        <f t="shared" si="68"/>
        <v>52889.252019000007</v>
      </c>
      <c r="X148" s="80">
        <v>3</v>
      </c>
      <c r="Y148" s="78"/>
      <c r="Z148" s="80">
        <f t="shared" si="69"/>
        <v>3</v>
      </c>
      <c r="AA148" s="80">
        <f t="shared" si="70"/>
        <v>49558.89</v>
      </c>
      <c r="AB148" s="80">
        <f t="shared" si="71"/>
        <v>0</v>
      </c>
      <c r="AC148" s="80"/>
      <c r="AD148">
        <v>0.1</v>
      </c>
      <c r="AE148" s="78">
        <f t="shared" si="72"/>
        <v>1651.9630000000002</v>
      </c>
      <c r="AF148">
        <v>0.1</v>
      </c>
      <c r="AG148" s="78">
        <f t="shared" si="111"/>
        <v>1651.9630000000002</v>
      </c>
    </row>
    <row r="149" spans="1:33" ht="14.25" customHeight="1" x14ac:dyDescent="0.2">
      <c r="A149" s="102"/>
      <c r="B149" s="107"/>
      <c r="C149" s="107" t="s">
        <v>48</v>
      </c>
      <c r="D149" s="109">
        <v>1</v>
      </c>
      <c r="E149" s="73">
        <v>5000</v>
      </c>
      <c r="F149" s="74">
        <f t="shared" si="115"/>
        <v>5500</v>
      </c>
      <c r="G149" s="74">
        <f>F149*1.1*1.1</f>
        <v>6655.0000000000018</v>
      </c>
      <c r="H149" s="74">
        <v>8225.31</v>
      </c>
      <c r="I149" s="74">
        <f t="shared" si="116"/>
        <v>9047.8410000000003</v>
      </c>
      <c r="J149" s="74">
        <v>9590.7114600000004</v>
      </c>
      <c r="K149" s="74">
        <f>ROUND('26.08.22'!K149*1.04,2)</f>
        <v>13766.34</v>
      </c>
      <c r="L149" s="75" t="s">
        <v>146</v>
      </c>
      <c r="M149" s="76">
        <v>20</v>
      </c>
      <c r="N149" s="76"/>
      <c r="O149" s="78">
        <f t="shared" si="105"/>
        <v>2753.27</v>
      </c>
      <c r="P149" s="78">
        <f t="shared" si="106"/>
        <v>15693.63</v>
      </c>
      <c r="Q149" s="78">
        <f t="shared" si="107"/>
        <v>12252.042600000001</v>
      </c>
      <c r="R149" s="79">
        <f t="shared" si="108"/>
        <v>44465.282599999999</v>
      </c>
      <c r="S149" s="78">
        <f t="shared" si="109"/>
        <v>3441.59</v>
      </c>
      <c r="T149" s="78">
        <v>0.89</v>
      </c>
      <c r="U149" s="78">
        <f t="shared" si="110"/>
        <v>47906.872600000002</v>
      </c>
      <c r="V149" s="79">
        <f t="shared" si="67"/>
        <v>38684.795861999999</v>
      </c>
      <c r="W149" s="78">
        <f t="shared" si="68"/>
        <v>41678.979162000003</v>
      </c>
      <c r="X149" s="80">
        <v>3</v>
      </c>
      <c r="Y149" s="78">
        <v>3</v>
      </c>
      <c r="Z149" s="80">
        <f t="shared" si="69"/>
        <v>0</v>
      </c>
      <c r="AA149" s="80">
        <f t="shared" si="70"/>
        <v>0</v>
      </c>
      <c r="AB149" s="80">
        <f t="shared" si="71"/>
        <v>41299.020000000004</v>
      </c>
      <c r="AC149" s="80"/>
      <c r="AD149">
        <v>0.1</v>
      </c>
      <c r="AE149" s="78">
        <f t="shared" si="72"/>
        <v>1376.634</v>
      </c>
      <c r="AF149">
        <v>0.1</v>
      </c>
      <c r="AG149" s="78">
        <f t="shared" si="111"/>
        <v>1376.634</v>
      </c>
    </row>
    <row r="150" spans="1:33" x14ac:dyDescent="0.2">
      <c r="A150" s="102"/>
      <c r="B150" s="107"/>
      <c r="C150" s="107" t="s">
        <v>138</v>
      </c>
      <c r="D150" s="109">
        <v>1</v>
      </c>
      <c r="E150" s="73">
        <v>4500</v>
      </c>
      <c r="F150" s="74">
        <f t="shared" si="115"/>
        <v>4950</v>
      </c>
      <c r="G150" s="74">
        <f>F150*1.1*1.1+0.5</f>
        <v>5990.0000000000009</v>
      </c>
      <c r="H150" s="74">
        <v>7402.79</v>
      </c>
      <c r="I150" s="74">
        <f t="shared" si="116"/>
        <v>8143.0690000000004</v>
      </c>
      <c r="J150" s="74">
        <v>8631.6531400000003</v>
      </c>
      <c r="K150" s="74">
        <f>ROUND('26.08.22'!K150*1.04,2)</f>
        <v>12389.73</v>
      </c>
      <c r="L150" s="75" t="s">
        <v>147</v>
      </c>
      <c r="M150" s="76">
        <v>0</v>
      </c>
      <c r="N150" s="76"/>
      <c r="O150" s="78">
        <f t="shared" si="105"/>
        <v>0</v>
      </c>
      <c r="P150" s="78">
        <f t="shared" si="106"/>
        <v>14124.29</v>
      </c>
      <c r="Q150" s="78">
        <f t="shared" si="107"/>
        <v>6690.4542000000001</v>
      </c>
      <c r="R150" s="79">
        <f t="shared" si="108"/>
        <v>33204.474199999997</v>
      </c>
      <c r="S150" s="78">
        <f t="shared" si="109"/>
        <v>3097.43</v>
      </c>
      <c r="T150" s="78">
        <v>0.54</v>
      </c>
      <c r="U150" s="78">
        <f t="shared" si="110"/>
        <v>36301.904199999997</v>
      </c>
      <c r="V150" s="79">
        <f t="shared" si="67"/>
        <v>28887.892553999998</v>
      </c>
      <c r="W150" s="78">
        <f t="shared" si="68"/>
        <v>31582.656653999999</v>
      </c>
      <c r="X150" s="80">
        <v>3</v>
      </c>
      <c r="Y150" s="78">
        <v>3</v>
      </c>
      <c r="Z150" s="80">
        <f t="shared" si="69"/>
        <v>0</v>
      </c>
      <c r="AA150" s="80">
        <f t="shared" si="70"/>
        <v>0</v>
      </c>
      <c r="AB150" s="80">
        <f t="shared" si="71"/>
        <v>37169.19</v>
      </c>
      <c r="AC150" s="80"/>
      <c r="AD150">
        <v>0.1</v>
      </c>
      <c r="AE150" s="78">
        <f t="shared" si="72"/>
        <v>1238.973</v>
      </c>
      <c r="AF150">
        <v>0.1</v>
      </c>
      <c r="AG150" s="78">
        <f t="shared" si="111"/>
        <v>1238.973</v>
      </c>
    </row>
    <row r="151" spans="1:33" x14ac:dyDescent="0.2">
      <c r="A151" s="107"/>
      <c r="B151" s="181"/>
      <c r="C151" s="181" t="s">
        <v>140</v>
      </c>
      <c r="D151" s="88">
        <f t="shared" ref="D151:I151" si="117">SUM(D145:D150)</f>
        <v>6</v>
      </c>
      <c r="E151" s="95">
        <f t="shared" si="117"/>
        <v>31000</v>
      </c>
      <c r="F151" s="95">
        <f t="shared" si="117"/>
        <v>34100</v>
      </c>
      <c r="G151" s="95">
        <f t="shared" si="117"/>
        <v>41262.000000000007</v>
      </c>
      <c r="H151" s="95">
        <f t="shared" si="117"/>
        <v>50996.939999999995</v>
      </c>
      <c r="I151" s="95">
        <f t="shared" si="117"/>
        <v>56096.634000000005</v>
      </c>
      <c r="J151" s="95">
        <v>40281.00912000001</v>
      </c>
      <c r="K151" s="90">
        <f>SUM(K145:K150)</f>
        <v>96364.5</v>
      </c>
      <c r="L151" s="90"/>
      <c r="M151" s="90"/>
      <c r="N151" s="90">
        <f t="shared" ref="N151" si="118">SUM(N145:N150)</f>
        <v>0</v>
      </c>
      <c r="O151" s="90">
        <f>SUM(O145:O150)</f>
        <v>23815.8</v>
      </c>
      <c r="P151" s="90">
        <f t="shared" ref="P151:W151" si="119">SUM(P145:P150)</f>
        <v>109855.54000000001</v>
      </c>
      <c r="Q151" s="90">
        <f t="shared" si="119"/>
        <v>97741.135500000004</v>
      </c>
      <c r="R151" s="90">
        <f t="shared" si="119"/>
        <v>327776.9755</v>
      </c>
      <c r="S151" s="90">
        <f t="shared" si="119"/>
        <v>24091.14</v>
      </c>
      <c r="T151" s="90">
        <f t="shared" si="119"/>
        <v>5.84</v>
      </c>
      <c r="U151" s="90">
        <f t="shared" si="119"/>
        <v>351868.11550000001</v>
      </c>
      <c r="V151" s="90">
        <f t="shared" si="119"/>
        <v>285165.96868499997</v>
      </c>
      <c r="W151" s="90">
        <f t="shared" si="119"/>
        <v>306125.26048500004</v>
      </c>
      <c r="X151" s="80"/>
      <c r="Y151" s="90"/>
      <c r="Z151" s="80"/>
      <c r="AA151" s="80">
        <f t="shared" si="70"/>
        <v>0</v>
      </c>
      <c r="AB151" s="80">
        <f t="shared" si="71"/>
        <v>0</v>
      </c>
      <c r="AC151" s="91"/>
      <c r="AD151">
        <v>0.1</v>
      </c>
      <c r="AE151" s="90">
        <f t="shared" si="72"/>
        <v>9636.4500000000007</v>
      </c>
      <c r="AF151">
        <v>0.1</v>
      </c>
      <c r="AG151" s="90">
        <f t="shared" si="111"/>
        <v>9636.4500000000007</v>
      </c>
    </row>
    <row r="152" spans="1:33" ht="32.25" customHeight="1" x14ac:dyDescent="0.2">
      <c r="A152" s="71" t="s">
        <v>148</v>
      </c>
      <c r="B152" s="129"/>
      <c r="C152" s="129"/>
      <c r="D152" s="92"/>
      <c r="E152" s="182"/>
      <c r="F152" s="182"/>
      <c r="G152" s="182"/>
      <c r="H152" s="182"/>
      <c r="I152" s="182"/>
      <c r="J152" s="182"/>
      <c r="K152" s="90"/>
      <c r="L152" s="90"/>
      <c r="M152" s="90"/>
      <c r="N152" s="90"/>
      <c r="O152" s="90"/>
      <c r="P152" s="130">
        <v>1.1399999999999999</v>
      </c>
      <c r="Q152" s="90"/>
      <c r="R152" s="79"/>
      <c r="S152" s="90"/>
      <c r="T152" s="130"/>
      <c r="U152" s="90"/>
      <c r="V152" s="79"/>
      <c r="W152" s="90"/>
      <c r="X152" s="80"/>
      <c r="Y152" s="90"/>
      <c r="Z152" s="80"/>
      <c r="AA152" s="80">
        <f t="shared" si="70"/>
        <v>0</v>
      </c>
      <c r="AB152" s="80">
        <f t="shared" si="71"/>
        <v>0</v>
      </c>
      <c r="AC152" s="91"/>
      <c r="AD152">
        <v>0.1</v>
      </c>
      <c r="AE152" s="90"/>
      <c r="AG152" s="90"/>
    </row>
    <row r="153" spans="1:33" x14ac:dyDescent="0.2">
      <c r="A153" s="183"/>
      <c r="B153" s="87"/>
      <c r="C153" s="87" t="s">
        <v>133</v>
      </c>
      <c r="D153" s="72">
        <v>1</v>
      </c>
      <c r="E153" s="73">
        <v>7500</v>
      </c>
      <c r="F153" s="74">
        <f t="shared" ref="F153:F159" si="120">ROUND(E153*F$12,2)</f>
        <v>8250</v>
      </c>
      <c r="G153" s="74">
        <f>F153*1.1*1.1+0.5</f>
        <v>9983</v>
      </c>
      <c r="H153" s="74">
        <v>12337.98</v>
      </c>
      <c r="I153" s="74">
        <f t="shared" ref="I153:I159" si="121">H153*$I$12</f>
        <v>13571.778</v>
      </c>
      <c r="J153" s="74">
        <v>14386.084680000002</v>
      </c>
      <c r="K153" s="74">
        <f>ROUND('26.08.22'!K153*1.04,2)</f>
        <v>20649.54</v>
      </c>
      <c r="L153" s="75" t="s">
        <v>149</v>
      </c>
      <c r="M153" s="69">
        <v>30</v>
      </c>
      <c r="N153" s="76"/>
      <c r="O153" s="78">
        <f t="shared" si="105"/>
        <v>6194.86</v>
      </c>
      <c r="P153" s="78">
        <f t="shared" si="106"/>
        <v>23540.48</v>
      </c>
      <c r="Q153" s="78">
        <f t="shared" si="107"/>
        <v>29735.337599999999</v>
      </c>
      <c r="R153" s="79">
        <f t="shared" si="108"/>
        <v>80120.217600000004</v>
      </c>
      <c r="S153" s="78">
        <f t="shared" si="109"/>
        <v>5162.3900000000003</v>
      </c>
      <c r="T153" s="78">
        <v>1.44</v>
      </c>
      <c r="U153" s="78">
        <f t="shared" si="110"/>
        <v>85282.607600000003</v>
      </c>
      <c r="V153" s="79">
        <f t="shared" si="67"/>
        <v>69704.589311999996</v>
      </c>
      <c r="W153" s="78">
        <f t="shared" si="68"/>
        <v>74195.868612000006</v>
      </c>
      <c r="X153" s="80">
        <v>3</v>
      </c>
      <c r="Y153" s="78">
        <v>3</v>
      </c>
      <c r="Z153" s="80">
        <f t="shared" si="69"/>
        <v>0</v>
      </c>
      <c r="AA153" s="80">
        <f t="shared" si="70"/>
        <v>0</v>
      </c>
      <c r="AB153" s="80">
        <f t="shared" si="71"/>
        <v>61948.62</v>
      </c>
      <c r="AC153" s="80"/>
      <c r="AD153">
        <v>0.1</v>
      </c>
      <c r="AE153" s="78">
        <f t="shared" si="72"/>
        <v>2064.9540000000002</v>
      </c>
      <c r="AF153">
        <v>0.1</v>
      </c>
      <c r="AG153" s="78">
        <f t="shared" si="111"/>
        <v>2064.9540000000002</v>
      </c>
    </row>
    <row r="154" spans="1:33" x14ac:dyDescent="0.2">
      <c r="A154" s="102"/>
      <c r="B154" s="107"/>
      <c r="C154" s="107" t="s">
        <v>150</v>
      </c>
      <c r="D154" s="109">
        <v>1</v>
      </c>
      <c r="E154" s="73">
        <v>5000</v>
      </c>
      <c r="F154" s="74">
        <f t="shared" si="120"/>
        <v>5500</v>
      </c>
      <c r="G154" s="74">
        <f>F154*1.1*1.1</f>
        <v>6655.0000000000018</v>
      </c>
      <c r="H154" s="74">
        <v>8225.31</v>
      </c>
      <c r="I154" s="74">
        <f t="shared" si="121"/>
        <v>9047.8410000000003</v>
      </c>
      <c r="J154" s="74">
        <v>9590.7114600000004</v>
      </c>
      <c r="K154" s="74">
        <f>ROUND('26.08.22'!K154*1.04,2)</f>
        <v>16519.63</v>
      </c>
      <c r="L154" s="110" t="s">
        <v>151</v>
      </c>
      <c r="M154" s="76">
        <v>20</v>
      </c>
      <c r="N154" s="76"/>
      <c r="O154" s="78">
        <f t="shared" si="105"/>
        <v>3303.93</v>
      </c>
      <c r="P154" s="78">
        <f t="shared" si="106"/>
        <v>18832.38</v>
      </c>
      <c r="Q154" s="78">
        <f t="shared" si="107"/>
        <v>16354.433700000001</v>
      </c>
      <c r="R154" s="79">
        <f t="shared" si="108"/>
        <v>55010.373700000004</v>
      </c>
      <c r="S154" s="78">
        <f t="shared" si="109"/>
        <v>4129.91</v>
      </c>
      <c r="T154" s="78">
        <v>0.99</v>
      </c>
      <c r="U154" s="78">
        <f t="shared" si="110"/>
        <v>59140.2837</v>
      </c>
      <c r="V154" s="79">
        <f t="shared" si="67"/>
        <v>47859.025119000005</v>
      </c>
      <c r="W154" s="78">
        <f t="shared" si="68"/>
        <v>51452.046819000003</v>
      </c>
      <c r="X154" s="80">
        <v>3</v>
      </c>
      <c r="Y154" s="78">
        <v>3</v>
      </c>
      <c r="Z154" s="80">
        <f t="shared" si="69"/>
        <v>0</v>
      </c>
      <c r="AA154" s="80">
        <f t="shared" si="70"/>
        <v>0</v>
      </c>
      <c r="AB154" s="80">
        <f t="shared" si="71"/>
        <v>49558.89</v>
      </c>
      <c r="AC154" s="80"/>
      <c r="AD154">
        <v>0.1</v>
      </c>
      <c r="AE154" s="78">
        <f t="shared" si="72"/>
        <v>1651.9630000000002</v>
      </c>
      <c r="AF154">
        <v>0.1</v>
      </c>
      <c r="AG154" s="78">
        <f t="shared" si="111"/>
        <v>1651.9630000000002</v>
      </c>
    </row>
    <row r="155" spans="1:33" x14ac:dyDescent="0.2">
      <c r="A155" s="102"/>
      <c r="B155" s="107"/>
      <c r="C155" s="107" t="s">
        <v>48</v>
      </c>
      <c r="D155" s="109">
        <v>1</v>
      </c>
      <c r="E155" s="73">
        <v>5000</v>
      </c>
      <c r="F155" s="74">
        <f t="shared" si="120"/>
        <v>5500</v>
      </c>
      <c r="G155" s="74">
        <f>F155*1.1*1.1</f>
        <v>6655.0000000000018</v>
      </c>
      <c r="H155" s="74">
        <v>8225.31</v>
      </c>
      <c r="I155" s="74">
        <f t="shared" si="121"/>
        <v>9047.8410000000003</v>
      </c>
      <c r="J155" s="74">
        <v>9590.7114600000004</v>
      </c>
      <c r="K155" s="74">
        <f>ROUND('26.08.22'!K155*1.04,2)</f>
        <v>13766.34</v>
      </c>
      <c r="L155" s="75" t="s">
        <v>152</v>
      </c>
      <c r="M155" s="83">
        <v>20</v>
      </c>
      <c r="N155" s="76"/>
      <c r="O155" s="78">
        <f t="shared" si="105"/>
        <v>2753.27</v>
      </c>
      <c r="P155" s="78">
        <f t="shared" si="106"/>
        <v>15693.63</v>
      </c>
      <c r="Q155" s="78">
        <f t="shared" si="107"/>
        <v>12252.042600000001</v>
      </c>
      <c r="R155" s="79">
        <f t="shared" si="108"/>
        <v>44465.282599999999</v>
      </c>
      <c r="S155" s="78">
        <f t="shared" si="109"/>
        <v>3441.59</v>
      </c>
      <c r="T155" s="78">
        <v>0.89</v>
      </c>
      <c r="U155" s="78">
        <f t="shared" si="110"/>
        <v>47906.872600000002</v>
      </c>
      <c r="V155" s="79">
        <f t="shared" ref="V155:V184" si="122">R155*0.87</f>
        <v>38684.795861999999</v>
      </c>
      <c r="W155" s="78">
        <f t="shared" ref="W155:W184" si="123">U155*0.87</f>
        <v>41678.979162000003</v>
      </c>
      <c r="X155" s="80">
        <v>3</v>
      </c>
      <c r="Y155" s="78">
        <v>3</v>
      </c>
      <c r="Z155" s="80">
        <f t="shared" si="69"/>
        <v>0</v>
      </c>
      <c r="AA155" s="80">
        <f t="shared" si="70"/>
        <v>0</v>
      </c>
      <c r="AB155" s="80">
        <f t="shared" si="71"/>
        <v>41299.020000000004</v>
      </c>
      <c r="AC155" s="80"/>
      <c r="AD155">
        <v>0.1</v>
      </c>
      <c r="AE155" s="78">
        <f t="shared" si="72"/>
        <v>1376.634</v>
      </c>
      <c r="AF155">
        <v>0.1</v>
      </c>
      <c r="AG155" s="78">
        <f t="shared" si="111"/>
        <v>1376.634</v>
      </c>
    </row>
    <row r="156" spans="1:33" x14ac:dyDescent="0.2">
      <c r="A156" s="102"/>
      <c r="B156" s="107"/>
      <c r="C156" s="107" t="s">
        <v>48</v>
      </c>
      <c r="D156" s="109">
        <v>1</v>
      </c>
      <c r="E156" s="73">
        <v>5000</v>
      </c>
      <c r="F156" s="74">
        <f t="shared" si="120"/>
        <v>5500</v>
      </c>
      <c r="G156" s="74">
        <f>F156*1.1*1.1</f>
        <v>6655.0000000000018</v>
      </c>
      <c r="H156" s="74">
        <v>8225.31</v>
      </c>
      <c r="I156" s="74">
        <f t="shared" si="121"/>
        <v>9047.8410000000003</v>
      </c>
      <c r="J156" s="74">
        <v>9590.7114600000004</v>
      </c>
      <c r="K156" s="74">
        <f>ROUND('26.08.22'!K156*1.04,2)</f>
        <v>13766.34</v>
      </c>
      <c r="L156" s="75" t="s">
        <v>153</v>
      </c>
      <c r="M156" s="83">
        <v>30</v>
      </c>
      <c r="N156" s="76"/>
      <c r="O156" s="78">
        <f t="shared" si="105"/>
        <v>4129.8999999999996</v>
      </c>
      <c r="P156" s="78">
        <f t="shared" si="106"/>
        <v>15693.63</v>
      </c>
      <c r="Q156" s="78">
        <f t="shared" si="107"/>
        <v>12252.042600000001</v>
      </c>
      <c r="R156" s="79">
        <f t="shared" si="108"/>
        <v>45841.912599999996</v>
      </c>
      <c r="S156" s="78">
        <f t="shared" si="109"/>
        <v>3441.59</v>
      </c>
      <c r="T156" s="78">
        <v>0.89</v>
      </c>
      <c r="U156" s="78">
        <f t="shared" si="110"/>
        <v>49283.502599999993</v>
      </c>
      <c r="V156" s="79">
        <f t="shared" si="122"/>
        <v>39882.463961999994</v>
      </c>
      <c r="W156" s="78">
        <f t="shared" si="123"/>
        <v>42876.647261999991</v>
      </c>
      <c r="X156" s="80">
        <v>3</v>
      </c>
      <c r="Y156" s="78"/>
      <c r="Z156" s="80">
        <f t="shared" ref="Z156:Z184" si="124">X156-Y156</f>
        <v>3</v>
      </c>
      <c r="AA156" s="80">
        <f t="shared" ref="AA156:AA184" si="125">K156*Z156</f>
        <v>41299.020000000004</v>
      </c>
      <c r="AB156" s="80">
        <f t="shared" ref="AB156:AB184" si="126">K156*Y156</f>
        <v>0</v>
      </c>
      <c r="AC156" s="80"/>
      <c r="AD156">
        <v>0.1</v>
      </c>
      <c r="AE156" s="78">
        <f t="shared" ref="AE156:AE184" si="127">K156*AD156</f>
        <v>1376.634</v>
      </c>
      <c r="AF156">
        <v>0.1</v>
      </c>
      <c r="AG156" s="78">
        <f t="shared" si="111"/>
        <v>1376.634</v>
      </c>
    </row>
    <row r="157" spans="1:33" x14ac:dyDescent="0.2">
      <c r="A157" s="102"/>
      <c r="B157" s="107"/>
      <c r="C157" s="107" t="s">
        <v>150</v>
      </c>
      <c r="D157" s="109">
        <v>1</v>
      </c>
      <c r="E157" s="73">
        <v>5000</v>
      </c>
      <c r="F157" s="74">
        <f t="shared" si="120"/>
        <v>5500</v>
      </c>
      <c r="G157" s="74">
        <f>F157*1.1*1.1</f>
        <v>6655.0000000000018</v>
      </c>
      <c r="H157" s="74">
        <v>8225.31</v>
      </c>
      <c r="I157" s="74">
        <f t="shared" si="121"/>
        <v>9047.8410000000003</v>
      </c>
      <c r="J157" s="74">
        <v>9590.7114600000004</v>
      </c>
      <c r="K157" s="74">
        <f>ROUND('26.08.22'!K157*1.04,2)</f>
        <v>16519.63</v>
      </c>
      <c r="L157" s="75" t="s">
        <v>154</v>
      </c>
      <c r="M157" s="83">
        <v>30</v>
      </c>
      <c r="N157" s="76"/>
      <c r="O157" s="78">
        <f t="shared" si="105"/>
        <v>4955.8900000000003</v>
      </c>
      <c r="P157" s="78">
        <f t="shared" si="106"/>
        <v>18832.38</v>
      </c>
      <c r="Q157" s="78">
        <f t="shared" si="107"/>
        <v>16354.433700000001</v>
      </c>
      <c r="R157" s="79">
        <f t="shared" si="108"/>
        <v>56662.333700000003</v>
      </c>
      <c r="S157" s="78">
        <f t="shared" si="109"/>
        <v>4129.91</v>
      </c>
      <c r="T157" s="78">
        <v>0.99</v>
      </c>
      <c r="U157" s="78">
        <f t="shared" si="110"/>
        <v>60792.243700000006</v>
      </c>
      <c r="V157" s="79">
        <f t="shared" si="122"/>
        <v>49296.230319000002</v>
      </c>
      <c r="W157" s="78">
        <f t="shared" si="123"/>
        <v>52889.252019000007</v>
      </c>
      <c r="X157" s="80">
        <v>3</v>
      </c>
      <c r="Y157" s="78">
        <v>3</v>
      </c>
      <c r="Z157" s="80">
        <f t="shared" si="124"/>
        <v>0</v>
      </c>
      <c r="AA157" s="80">
        <f t="shared" si="125"/>
        <v>0</v>
      </c>
      <c r="AB157" s="80">
        <f t="shared" si="126"/>
        <v>49558.89</v>
      </c>
      <c r="AC157" s="80"/>
      <c r="AD157">
        <v>0.1</v>
      </c>
      <c r="AE157" s="78">
        <f t="shared" si="127"/>
        <v>1651.9630000000002</v>
      </c>
      <c r="AF157">
        <v>0.1</v>
      </c>
      <c r="AG157" s="78">
        <f t="shared" si="111"/>
        <v>1651.9630000000002</v>
      </c>
    </row>
    <row r="158" spans="1:33" x14ac:dyDescent="0.2">
      <c r="A158" s="102"/>
      <c r="B158" s="107"/>
      <c r="C158" s="107" t="s">
        <v>150</v>
      </c>
      <c r="D158" s="109">
        <v>0</v>
      </c>
      <c r="E158" s="73">
        <v>5000</v>
      </c>
      <c r="F158" s="74">
        <f t="shared" si="120"/>
        <v>5500</v>
      </c>
      <c r="G158" s="74">
        <f>F158*1.1*1.1</f>
        <v>6655.0000000000018</v>
      </c>
      <c r="H158" s="74">
        <v>8225.31</v>
      </c>
      <c r="I158" s="74">
        <f t="shared" si="121"/>
        <v>9047.8410000000003</v>
      </c>
      <c r="J158" s="74">
        <v>9590.7114600000004</v>
      </c>
      <c r="K158" s="74">
        <f>ROUND('26.08.22'!K158*1.04,2)</f>
        <v>0</v>
      </c>
      <c r="L158" s="75"/>
      <c r="M158" s="83">
        <v>0</v>
      </c>
      <c r="N158" s="76"/>
      <c r="O158" s="78">
        <f t="shared" si="105"/>
        <v>0</v>
      </c>
      <c r="P158" s="78">
        <f t="shared" si="106"/>
        <v>0</v>
      </c>
      <c r="Q158" s="78">
        <f t="shared" si="107"/>
        <v>0</v>
      </c>
      <c r="R158" s="79">
        <f t="shared" si="108"/>
        <v>0</v>
      </c>
      <c r="S158" s="78">
        <f t="shared" si="109"/>
        <v>0</v>
      </c>
      <c r="T158" s="78">
        <v>0.99</v>
      </c>
      <c r="U158" s="78">
        <f t="shared" si="110"/>
        <v>0</v>
      </c>
      <c r="V158" s="79">
        <f t="shared" si="122"/>
        <v>0</v>
      </c>
      <c r="W158" s="78">
        <f t="shared" si="123"/>
        <v>0</v>
      </c>
      <c r="X158" s="80">
        <v>3</v>
      </c>
      <c r="Y158" s="78">
        <v>3</v>
      </c>
      <c r="Z158" s="80">
        <f t="shared" si="124"/>
        <v>0</v>
      </c>
      <c r="AA158" s="80">
        <f t="shared" si="125"/>
        <v>0</v>
      </c>
      <c r="AB158" s="80">
        <f t="shared" si="126"/>
        <v>0</v>
      </c>
      <c r="AC158" s="80"/>
      <c r="AD158">
        <v>0.1</v>
      </c>
      <c r="AE158" s="78">
        <f t="shared" si="127"/>
        <v>0</v>
      </c>
      <c r="AF158">
        <v>0.1</v>
      </c>
      <c r="AG158" s="78">
        <f t="shared" si="111"/>
        <v>0</v>
      </c>
    </row>
    <row r="159" spans="1:33" x14ac:dyDescent="0.2">
      <c r="A159" s="102"/>
      <c r="B159" s="107"/>
      <c r="C159" s="107" t="s">
        <v>138</v>
      </c>
      <c r="D159" s="109">
        <v>1</v>
      </c>
      <c r="E159" s="73">
        <v>4500</v>
      </c>
      <c r="F159" s="74">
        <f t="shared" si="120"/>
        <v>4950</v>
      </c>
      <c r="G159" s="74">
        <f>F159*1.1*1.1+0.5</f>
        <v>5990.0000000000009</v>
      </c>
      <c r="H159" s="74">
        <v>7402.79</v>
      </c>
      <c r="I159" s="74">
        <f t="shared" si="121"/>
        <v>8143.0690000000004</v>
      </c>
      <c r="J159" s="74">
        <v>8631.6531400000003</v>
      </c>
      <c r="K159" s="74">
        <f>ROUND('26.08.22'!K159*1.04,2)</f>
        <v>12389.73</v>
      </c>
      <c r="L159" s="75" t="s">
        <v>155</v>
      </c>
      <c r="M159" s="76">
        <v>0</v>
      </c>
      <c r="N159" s="76"/>
      <c r="O159" s="78">
        <f t="shared" si="105"/>
        <v>0</v>
      </c>
      <c r="P159" s="78">
        <f t="shared" si="106"/>
        <v>14124.29</v>
      </c>
      <c r="Q159" s="78">
        <f t="shared" si="107"/>
        <v>6690.4542000000001</v>
      </c>
      <c r="R159" s="79">
        <f t="shared" si="108"/>
        <v>33204.474199999997</v>
      </c>
      <c r="S159" s="78">
        <f t="shared" si="109"/>
        <v>3097.43</v>
      </c>
      <c r="T159" s="78">
        <v>0.54</v>
      </c>
      <c r="U159" s="78">
        <f t="shared" si="110"/>
        <v>36301.904199999997</v>
      </c>
      <c r="V159" s="79">
        <f t="shared" si="122"/>
        <v>28887.892553999998</v>
      </c>
      <c r="W159" s="78">
        <f t="shared" si="123"/>
        <v>31582.656653999999</v>
      </c>
      <c r="X159" s="80">
        <v>3</v>
      </c>
      <c r="Y159" s="78">
        <v>3</v>
      </c>
      <c r="Z159" s="80">
        <f t="shared" si="124"/>
        <v>0</v>
      </c>
      <c r="AA159" s="80">
        <f t="shared" si="125"/>
        <v>0</v>
      </c>
      <c r="AB159" s="80">
        <f t="shared" si="126"/>
        <v>37169.19</v>
      </c>
      <c r="AC159" s="80"/>
      <c r="AD159">
        <v>0.1</v>
      </c>
      <c r="AE159" s="78">
        <f t="shared" si="127"/>
        <v>1238.973</v>
      </c>
      <c r="AF159">
        <v>0.1</v>
      </c>
      <c r="AG159" s="78">
        <f t="shared" si="111"/>
        <v>1238.973</v>
      </c>
    </row>
    <row r="160" spans="1:33" x14ac:dyDescent="0.2">
      <c r="A160" s="107"/>
      <c r="B160" s="181"/>
      <c r="C160" s="181" t="s">
        <v>140</v>
      </c>
      <c r="D160" s="111">
        <f t="shared" ref="D160:I160" si="128">SUM(D153:D159)</f>
        <v>6</v>
      </c>
      <c r="E160" s="89">
        <f t="shared" si="128"/>
        <v>37000</v>
      </c>
      <c r="F160" s="89">
        <f t="shared" si="128"/>
        <v>40700</v>
      </c>
      <c r="G160" s="89">
        <f t="shared" si="128"/>
        <v>49248</v>
      </c>
      <c r="H160" s="89">
        <f t="shared" si="128"/>
        <v>60867.319999999992</v>
      </c>
      <c r="I160" s="89">
        <f t="shared" si="128"/>
        <v>66954.051999999996</v>
      </c>
      <c r="J160" s="89">
        <v>42199.160740000007</v>
      </c>
      <c r="K160" s="90">
        <f>SUM(K153:K159)</f>
        <v>93611.209999999992</v>
      </c>
      <c r="L160" s="90"/>
      <c r="M160" s="90"/>
      <c r="N160" s="90">
        <f t="shared" ref="N160" si="129">SUM(N153:N159)</f>
        <v>0</v>
      </c>
      <c r="O160" s="90">
        <f>SUM(O153:O159)</f>
        <v>21337.85</v>
      </c>
      <c r="P160" s="90">
        <f t="shared" ref="P160:W160" si="130">SUM(P153:P159)</f>
        <v>106716.79000000001</v>
      </c>
      <c r="Q160" s="90">
        <f t="shared" si="130"/>
        <v>93638.744399999996</v>
      </c>
      <c r="R160" s="90">
        <f t="shared" si="130"/>
        <v>315304.5944</v>
      </c>
      <c r="S160" s="90">
        <f t="shared" si="130"/>
        <v>23402.82</v>
      </c>
      <c r="T160" s="90">
        <f t="shared" si="130"/>
        <v>6.73</v>
      </c>
      <c r="U160" s="90">
        <f t="shared" si="130"/>
        <v>338707.41440000001</v>
      </c>
      <c r="V160" s="90">
        <f t="shared" si="130"/>
        <v>274314.99712799996</v>
      </c>
      <c r="W160" s="90">
        <f t="shared" si="130"/>
        <v>294675.45052799996</v>
      </c>
      <c r="X160" s="80"/>
      <c r="Y160" s="90"/>
      <c r="Z160" s="80"/>
      <c r="AA160" s="80">
        <f t="shared" si="125"/>
        <v>0</v>
      </c>
      <c r="AB160" s="80">
        <f t="shared" si="126"/>
        <v>0</v>
      </c>
      <c r="AC160" s="91"/>
      <c r="AD160">
        <v>0.1</v>
      </c>
      <c r="AE160" s="90">
        <f t="shared" si="127"/>
        <v>9361.1209999999992</v>
      </c>
      <c r="AF160">
        <v>0.1</v>
      </c>
      <c r="AG160" s="90">
        <f t="shared" si="111"/>
        <v>9361.1209999999992</v>
      </c>
    </row>
    <row r="161" spans="1:33" ht="30" customHeight="1" x14ac:dyDescent="0.2">
      <c r="A161" s="71" t="s">
        <v>156</v>
      </c>
      <c r="B161" s="97"/>
      <c r="C161" s="97"/>
      <c r="D161" s="94"/>
      <c r="E161" s="95"/>
      <c r="F161" s="95"/>
      <c r="G161" s="95"/>
      <c r="H161" s="95"/>
      <c r="I161" s="95"/>
      <c r="J161" s="95"/>
      <c r="K161" s="90"/>
      <c r="L161" s="90"/>
      <c r="M161" s="90"/>
      <c r="N161" s="90"/>
      <c r="O161" s="90"/>
      <c r="P161" s="130">
        <v>1.1399999999999999</v>
      </c>
      <c r="Q161" s="90"/>
      <c r="R161" s="79"/>
      <c r="S161" s="90"/>
      <c r="T161" s="130"/>
      <c r="U161" s="90"/>
      <c r="V161" s="79"/>
      <c r="W161" s="90"/>
      <c r="X161" s="80"/>
      <c r="Y161" s="90"/>
      <c r="Z161" s="80"/>
      <c r="AA161" s="80">
        <f t="shared" si="125"/>
        <v>0</v>
      </c>
      <c r="AB161" s="80">
        <f t="shared" si="126"/>
        <v>0</v>
      </c>
      <c r="AC161" s="91"/>
      <c r="AD161">
        <v>0.1</v>
      </c>
      <c r="AE161" s="90"/>
      <c r="AG161" s="90"/>
    </row>
    <row r="162" spans="1:33" x14ac:dyDescent="0.2">
      <c r="A162" s="133"/>
      <c r="B162" s="87"/>
      <c r="C162" s="87" t="s">
        <v>133</v>
      </c>
      <c r="D162" s="72">
        <v>1</v>
      </c>
      <c r="E162" s="73">
        <v>7500</v>
      </c>
      <c r="F162" s="74">
        <f t="shared" ref="F162:F168" si="131">ROUND(E162*F$12,2)</f>
        <v>8250</v>
      </c>
      <c r="G162" s="74">
        <f>F162*1.1*1.1+0.5</f>
        <v>9983</v>
      </c>
      <c r="H162" s="74">
        <v>12337.98</v>
      </c>
      <c r="I162" s="74">
        <f t="shared" ref="I162:I168" si="132">H162*$I$12</f>
        <v>13571.778</v>
      </c>
      <c r="J162" s="74">
        <v>14386.084680000002</v>
      </c>
      <c r="K162" s="74">
        <f>ROUND('26.08.22'!K162*1.04,2)</f>
        <v>20649.54</v>
      </c>
      <c r="L162" s="75" t="s">
        <v>157</v>
      </c>
      <c r="M162" s="69">
        <v>30</v>
      </c>
      <c r="N162" s="69"/>
      <c r="O162" s="78">
        <f t="shared" si="105"/>
        <v>6194.86</v>
      </c>
      <c r="P162" s="78">
        <f t="shared" si="106"/>
        <v>23540.48</v>
      </c>
      <c r="Q162" s="78">
        <f t="shared" si="107"/>
        <v>29735.337599999999</v>
      </c>
      <c r="R162" s="79">
        <f t="shared" si="108"/>
        <v>80120.217600000004</v>
      </c>
      <c r="S162" s="78">
        <f t="shared" si="109"/>
        <v>5162.3900000000003</v>
      </c>
      <c r="T162" s="78">
        <v>1.44</v>
      </c>
      <c r="U162" s="78">
        <f t="shared" si="110"/>
        <v>85282.607600000003</v>
      </c>
      <c r="V162" s="79">
        <f t="shared" si="122"/>
        <v>69704.589311999996</v>
      </c>
      <c r="W162" s="78">
        <f t="shared" si="123"/>
        <v>74195.868612000006</v>
      </c>
      <c r="X162" s="80">
        <v>3</v>
      </c>
      <c r="Y162" s="78">
        <v>2</v>
      </c>
      <c r="Z162" s="80">
        <f t="shared" si="124"/>
        <v>1</v>
      </c>
      <c r="AA162" s="80">
        <f t="shared" si="125"/>
        <v>20649.54</v>
      </c>
      <c r="AB162" s="80">
        <f t="shared" si="126"/>
        <v>41299.08</v>
      </c>
      <c r="AC162" s="80"/>
      <c r="AD162">
        <v>0.1</v>
      </c>
      <c r="AE162" s="78">
        <f t="shared" si="127"/>
        <v>2064.9540000000002</v>
      </c>
      <c r="AF162">
        <v>0.1</v>
      </c>
      <c r="AG162" s="78">
        <f t="shared" si="111"/>
        <v>2064.9540000000002</v>
      </c>
    </row>
    <row r="163" spans="1:33" ht="16.5" customHeight="1" x14ac:dyDescent="0.2">
      <c r="A163" s="102"/>
      <c r="B163" s="122"/>
      <c r="C163" s="122" t="s">
        <v>90</v>
      </c>
      <c r="D163" s="72">
        <v>1</v>
      </c>
      <c r="E163" s="73">
        <v>6000</v>
      </c>
      <c r="F163" s="74">
        <f t="shared" si="131"/>
        <v>6600</v>
      </c>
      <c r="G163" s="74">
        <f>F163*1.1*1.1</f>
        <v>7986.0000000000018</v>
      </c>
      <c r="H163" s="74">
        <v>9870.3799999999992</v>
      </c>
      <c r="I163" s="74">
        <f t="shared" si="132"/>
        <v>10857.418</v>
      </c>
      <c r="J163" s="74">
        <v>11508.863080000001</v>
      </c>
      <c r="K163" s="74">
        <f>ROUND('26.08.22'!K163*1.04,2)</f>
        <v>16519.63</v>
      </c>
      <c r="L163" s="75" t="s">
        <v>158</v>
      </c>
      <c r="M163" s="69">
        <v>30</v>
      </c>
      <c r="N163" s="76"/>
      <c r="O163" s="78">
        <f t="shared" si="105"/>
        <v>4955.8900000000003</v>
      </c>
      <c r="P163" s="78">
        <f t="shared" si="106"/>
        <v>18832.38</v>
      </c>
      <c r="Q163" s="78">
        <f t="shared" si="107"/>
        <v>16354.433700000001</v>
      </c>
      <c r="R163" s="79">
        <f t="shared" si="108"/>
        <v>56662.333700000003</v>
      </c>
      <c r="S163" s="78">
        <f t="shared" si="109"/>
        <v>4129.91</v>
      </c>
      <c r="T163" s="78">
        <v>0.99</v>
      </c>
      <c r="U163" s="78">
        <f t="shared" si="110"/>
        <v>60792.243700000006</v>
      </c>
      <c r="V163" s="79">
        <f t="shared" si="122"/>
        <v>49296.230319000002</v>
      </c>
      <c r="W163" s="78">
        <f t="shared" si="123"/>
        <v>52889.252019000007</v>
      </c>
      <c r="X163" s="80">
        <v>3</v>
      </c>
      <c r="Y163" s="78">
        <v>3</v>
      </c>
      <c r="Z163" s="80">
        <f t="shared" si="124"/>
        <v>0</v>
      </c>
      <c r="AA163" s="80">
        <f t="shared" si="125"/>
        <v>0</v>
      </c>
      <c r="AB163" s="80">
        <f t="shared" si="126"/>
        <v>49558.89</v>
      </c>
      <c r="AC163" s="80"/>
      <c r="AD163">
        <v>0.1</v>
      </c>
      <c r="AE163" s="78">
        <f t="shared" si="127"/>
        <v>1651.9630000000002</v>
      </c>
      <c r="AF163">
        <v>0.1</v>
      </c>
      <c r="AG163" s="78">
        <f t="shared" si="111"/>
        <v>1651.9630000000002</v>
      </c>
    </row>
    <row r="164" spans="1:33" x14ac:dyDescent="0.2">
      <c r="A164" s="102"/>
      <c r="B164" s="107"/>
      <c r="C164" s="107" t="s">
        <v>48</v>
      </c>
      <c r="D164" s="109">
        <v>1</v>
      </c>
      <c r="E164" s="73">
        <v>5000</v>
      </c>
      <c r="F164" s="74">
        <f t="shared" si="131"/>
        <v>5500</v>
      </c>
      <c r="G164" s="74">
        <f>F164*1.1*1.1</f>
        <v>6655.0000000000018</v>
      </c>
      <c r="H164" s="74">
        <v>8225.31</v>
      </c>
      <c r="I164" s="74">
        <f t="shared" si="132"/>
        <v>9047.8410000000003</v>
      </c>
      <c r="J164" s="74">
        <v>9590.7114600000004</v>
      </c>
      <c r="K164" s="74">
        <f>ROUND('26.08.22'!K164*1.04,2)</f>
        <v>13766.34</v>
      </c>
      <c r="L164" s="75" t="s">
        <v>159</v>
      </c>
      <c r="M164" s="83">
        <v>30</v>
      </c>
      <c r="N164" s="75"/>
      <c r="O164" s="78">
        <f t="shared" si="105"/>
        <v>4129.8999999999996</v>
      </c>
      <c r="P164" s="78">
        <f t="shared" si="106"/>
        <v>15693.63</v>
      </c>
      <c r="Q164" s="78">
        <f t="shared" si="107"/>
        <v>12252.042600000001</v>
      </c>
      <c r="R164" s="79">
        <f t="shared" si="108"/>
        <v>45841.912599999996</v>
      </c>
      <c r="S164" s="78">
        <f t="shared" si="109"/>
        <v>3441.59</v>
      </c>
      <c r="T164" s="78">
        <v>0.89</v>
      </c>
      <c r="U164" s="78">
        <f t="shared" si="110"/>
        <v>49283.502599999993</v>
      </c>
      <c r="V164" s="79">
        <f t="shared" si="122"/>
        <v>39882.463961999994</v>
      </c>
      <c r="W164" s="78">
        <f t="shared" si="123"/>
        <v>42876.647261999991</v>
      </c>
      <c r="X164" s="80">
        <v>3</v>
      </c>
      <c r="Y164" s="78">
        <v>3</v>
      </c>
      <c r="Z164" s="80">
        <f t="shared" si="124"/>
        <v>0</v>
      </c>
      <c r="AA164" s="80">
        <f t="shared" si="125"/>
        <v>0</v>
      </c>
      <c r="AB164" s="80">
        <f t="shared" si="126"/>
        <v>41299.020000000004</v>
      </c>
      <c r="AC164" s="80"/>
      <c r="AD164">
        <v>0.1</v>
      </c>
      <c r="AE164" s="78">
        <f t="shared" si="127"/>
        <v>1376.634</v>
      </c>
      <c r="AF164">
        <v>0.1</v>
      </c>
      <c r="AG164" s="78">
        <f t="shared" si="111"/>
        <v>1376.634</v>
      </c>
    </row>
    <row r="165" spans="1:33" x14ac:dyDescent="0.2">
      <c r="A165" s="102"/>
      <c r="B165" s="107"/>
      <c r="C165" s="107" t="s">
        <v>48</v>
      </c>
      <c r="D165" s="109">
        <v>1</v>
      </c>
      <c r="E165" s="73">
        <v>5000</v>
      </c>
      <c r="F165" s="74">
        <f>ROUND(E165*F$12,2)</f>
        <v>5500</v>
      </c>
      <c r="G165" s="74">
        <f>F165*1.1*1.1</f>
        <v>6655.0000000000018</v>
      </c>
      <c r="H165" s="74">
        <v>8225.31</v>
      </c>
      <c r="I165" s="74">
        <f>H165*$I$12</f>
        <v>9047.8410000000003</v>
      </c>
      <c r="J165" s="74">
        <v>9590.7114600000004</v>
      </c>
      <c r="K165" s="74">
        <f>ROUND('26.08.22'!K165*1.04,2)</f>
        <v>13766.34</v>
      </c>
      <c r="L165" s="75" t="s">
        <v>160</v>
      </c>
      <c r="M165" s="83">
        <v>20</v>
      </c>
      <c r="N165" s="75"/>
      <c r="O165" s="78">
        <f t="shared" si="105"/>
        <v>2753.27</v>
      </c>
      <c r="P165" s="78">
        <f t="shared" si="106"/>
        <v>15693.63</v>
      </c>
      <c r="Q165" s="78">
        <f t="shared" si="107"/>
        <v>12252.042600000001</v>
      </c>
      <c r="R165" s="79">
        <f t="shared" si="108"/>
        <v>44465.282599999999</v>
      </c>
      <c r="S165" s="78">
        <f t="shared" si="109"/>
        <v>3441.59</v>
      </c>
      <c r="T165" s="78">
        <v>0.89</v>
      </c>
      <c r="U165" s="78">
        <f t="shared" si="110"/>
        <v>47906.872600000002</v>
      </c>
      <c r="V165" s="79">
        <f t="shared" si="122"/>
        <v>38684.795861999999</v>
      </c>
      <c r="W165" s="78">
        <f t="shared" si="123"/>
        <v>41678.979162000003</v>
      </c>
      <c r="X165" s="80">
        <v>3</v>
      </c>
      <c r="Y165" s="78"/>
      <c r="Z165" s="80">
        <f t="shared" si="124"/>
        <v>3</v>
      </c>
      <c r="AA165" s="80">
        <f t="shared" si="125"/>
        <v>41299.020000000004</v>
      </c>
      <c r="AB165" s="80">
        <f t="shared" si="126"/>
        <v>0</v>
      </c>
      <c r="AC165" s="80"/>
      <c r="AD165">
        <v>0.1</v>
      </c>
      <c r="AE165" s="78">
        <f t="shared" si="127"/>
        <v>1376.634</v>
      </c>
      <c r="AF165">
        <v>0.1</v>
      </c>
      <c r="AG165" s="78">
        <f t="shared" si="111"/>
        <v>1376.634</v>
      </c>
    </row>
    <row r="166" spans="1:33" x14ac:dyDescent="0.2">
      <c r="A166" s="102"/>
      <c r="B166" s="107"/>
      <c r="C166" s="122" t="s">
        <v>90</v>
      </c>
      <c r="D166" s="109">
        <v>1</v>
      </c>
      <c r="E166" s="73">
        <v>5000</v>
      </c>
      <c r="F166" s="74">
        <f>ROUND(E166*F$12,2)</f>
        <v>5500</v>
      </c>
      <c r="G166" s="74">
        <f>F166*1.1*1.1</f>
        <v>6655.0000000000018</v>
      </c>
      <c r="H166" s="74">
        <v>8225.31</v>
      </c>
      <c r="I166" s="74">
        <f>H166*$I$12</f>
        <v>9047.8410000000003</v>
      </c>
      <c r="J166" s="74">
        <v>9590.7114600000004</v>
      </c>
      <c r="K166" s="74">
        <f>ROUND('26.08.22'!K166*1.04,2)</f>
        <v>16519.63</v>
      </c>
      <c r="L166" s="75" t="s">
        <v>161</v>
      </c>
      <c r="M166" s="83">
        <v>30</v>
      </c>
      <c r="N166" s="76"/>
      <c r="O166" s="78">
        <f t="shared" si="105"/>
        <v>4955.8900000000003</v>
      </c>
      <c r="P166" s="78">
        <f t="shared" si="106"/>
        <v>18832.38</v>
      </c>
      <c r="Q166" s="78">
        <f t="shared" si="107"/>
        <v>16354.433700000001</v>
      </c>
      <c r="R166" s="79">
        <f t="shared" si="108"/>
        <v>56662.333700000003</v>
      </c>
      <c r="S166" s="78">
        <f t="shared" si="109"/>
        <v>4129.91</v>
      </c>
      <c r="T166" s="78">
        <v>0.99</v>
      </c>
      <c r="U166" s="78">
        <f t="shared" si="110"/>
        <v>60792.243700000006</v>
      </c>
      <c r="V166" s="79">
        <f t="shared" si="122"/>
        <v>49296.230319000002</v>
      </c>
      <c r="W166" s="78">
        <f t="shared" si="123"/>
        <v>52889.252019000007</v>
      </c>
      <c r="X166" s="80">
        <v>3</v>
      </c>
      <c r="Y166" s="78">
        <v>3</v>
      </c>
      <c r="Z166" s="80">
        <f t="shared" si="124"/>
        <v>0</v>
      </c>
      <c r="AA166" s="80">
        <f t="shared" si="125"/>
        <v>0</v>
      </c>
      <c r="AB166" s="80">
        <f t="shared" si="126"/>
        <v>49558.89</v>
      </c>
      <c r="AC166" s="80"/>
      <c r="AD166">
        <v>0.1</v>
      </c>
      <c r="AE166" s="78">
        <f t="shared" si="127"/>
        <v>1651.9630000000002</v>
      </c>
      <c r="AF166">
        <v>0.1</v>
      </c>
      <c r="AG166" s="78">
        <f t="shared" si="111"/>
        <v>1651.9630000000002</v>
      </c>
    </row>
    <row r="167" spans="1:33" ht="23.25" customHeight="1" x14ac:dyDescent="0.2">
      <c r="A167" s="102"/>
      <c r="B167" s="107"/>
      <c r="C167" s="131" t="s">
        <v>136</v>
      </c>
      <c r="D167" s="109">
        <v>1</v>
      </c>
      <c r="E167" s="73">
        <v>4500</v>
      </c>
      <c r="F167" s="74">
        <f t="shared" si="131"/>
        <v>4950</v>
      </c>
      <c r="G167" s="74">
        <f>F167*1.1*1.1+0.5</f>
        <v>5990.0000000000009</v>
      </c>
      <c r="H167" s="74">
        <v>8225.31</v>
      </c>
      <c r="I167" s="74">
        <f t="shared" si="132"/>
        <v>9047.8410000000003</v>
      </c>
      <c r="J167" s="74">
        <v>9590.7114600000004</v>
      </c>
      <c r="K167" s="74">
        <f>ROUND('26.08.22'!K167*1.04,2)</f>
        <v>16519.63</v>
      </c>
      <c r="L167" s="75" t="s">
        <v>162</v>
      </c>
      <c r="M167" s="83">
        <v>30</v>
      </c>
      <c r="N167" s="76"/>
      <c r="O167" s="78">
        <f t="shared" si="105"/>
        <v>4955.8900000000003</v>
      </c>
      <c r="P167" s="78">
        <f t="shared" si="106"/>
        <v>18832.38</v>
      </c>
      <c r="Q167" s="78">
        <f t="shared" si="107"/>
        <v>16354.433700000001</v>
      </c>
      <c r="R167" s="79">
        <f t="shared" si="108"/>
        <v>56662.333700000003</v>
      </c>
      <c r="S167" s="78">
        <f t="shared" si="109"/>
        <v>4129.91</v>
      </c>
      <c r="T167" s="78">
        <v>0.99</v>
      </c>
      <c r="U167" s="78">
        <f t="shared" si="110"/>
        <v>60792.243700000006</v>
      </c>
      <c r="V167" s="79">
        <f t="shared" si="122"/>
        <v>49296.230319000002</v>
      </c>
      <c r="W167" s="78">
        <f t="shared" si="123"/>
        <v>52889.252019000007</v>
      </c>
      <c r="X167" s="80">
        <v>3</v>
      </c>
      <c r="Y167" s="78">
        <v>3</v>
      </c>
      <c r="Z167" s="80">
        <f t="shared" si="124"/>
        <v>0</v>
      </c>
      <c r="AA167" s="80">
        <f t="shared" si="125"/>
        <v>0</v>
      </c>
      <c r="AB167" s="80">
        <f t="shared" si="126"/>
        <v>49558.89</v>
      </c>
      <c r="AC167" s="80"/>
      <c r="AD167">
        <v>0.1</v>
      </c>
      <c r="AE167" s="78">
        <f t="shared" si="127"/>
        <v>1651.9630000000002</v>
      </c>
      <c r="AF167">
        <v>0.1</v>
      </c>
      <c r="AG167" s="78">
        <f t="shared" si="111"/>
        <v>1651.9630000000002</v>
      </c>
    </row>
    <row r="168" spans="1:33" x14ac:dyDescent="0.2">
      <c r="A168" s="102"/>
      <c r="B168" s="107"/>
      <c r="C168" s="107" t="s">
        <v>138</v>
      </c>
      <c r="D168" s="109">
        <v>1</v>
      </c>
      <c r="E168" s="73">
        <v>4500</v>
      </c>
      <c r="F168" s="74">
        <f t="shared" si="131"/>
        <v>4950</v>
      </c>
      <c r="G168" s="74">
        <f>F168*1.1*1.1+0.5</f>
        <v>5990.0000000000009</v>
      </c>
      <c r="H168" s="74">
        <v>7402.79</v>
      </c>
      <c r="I168" s="74">
        <f t="shared" si="132"/>
        <v>8143.0690000000004</v>
      </c>
      <c r="J168" s="74">
        <v>8631.6531400000003</v>
      </c>
      <c r="K168" s="74">
        <f>ROUND('26.08.22'!K168*1.04,2)</f>
        <v>12389.73</v>
      </c>
      <c r="L168" s="75" t="s">
        <v>163</v>
      </c>
      <c r="M168" s="76">
        <v>0</v>
      </c>
      <c r="N168" s="76"/>
      <c r="O168" s="78">
        <f t="shared" si="105"/>
        <v>0</v>
      </c>
      <c r="P168" s="78">
        <f t="shared" si="106"/>
        <v>14124.29</v>
      </c>
      <c r="Q168" s="78">
        <f t="shared" si="107"/>
        <v>6690.4542000000001</v>
      </c>
      <c r="R168" s="79">
        <f t="shared" si="108"/>
        <v>33204.474199999997</v>
      </c>
      <c r="S168" s="78">
        <f t="shared" si="109"/>
        <v>3097.43</v>
      </c>
      <c r="T168" s="78">
        <v>0.54</v>
      </c>
      <c r="U168" s="78">
        <f t="shared" si="110"/>
        <v>36301.904199999997</v>
      </c>
      <c r="V168" s="79">
        <f t="shared" si="122"/>
        <v>28887.892553999998</v>
      </c>
      <c r="W168" s="78">
        <f t="shared" si="123"/>
        <v>31582.656653999999</v>
      </c>
      <c r="X168" s="80">
        <v>3</v>
      </c>
      <c r="Y168" s="78">
        <v>3</v>
      </c>
      <c r="Z168" s="80">
        <f t="shared" si="124"/>
        <v>0</v>
      </c>
      <c r="AA168" s="80">
        <f t="shared" si="125"/>
        <v>0</v>
      </c>
      <c r="AB168" s="80">
        <f t="shared" si="126"/>
        <v>37169.19</v>
      </c>
      <c r="AC168" s="80"/>
      <c r="AD168">
        <v>0.1</v>
      </c>
      <c r="AE168" s="78">
        <f t="shared" si="127"/>
        <v>1238.973</v>
      </c>
      <c r="AF168">
        <v>0.1</v>
      </c>
      <c r="AG168" s="78">
        <f t="shared" si="111"/>
        <v>1238.973</v>
      </c>
    </row>
    <row r="169" spans="1:33" x14ac:dyDescent="0.2">
      <c r="A169" s="107"/>
      <c r="B169" s="181"/>
      <c r="C169" s="181" t="s">
        <v>140</v>
      </c>
      <c r="D169" s="111">
        <f t="shared" ref="D169:I169" si="133">SUM(D162:D168)</f>
        <v>7</v>
      </c>
      <c r="E169" s="95">
        <f t="shared" si="133"/>
        <v>37500</v>
      </c>
      <c r="F169" s="95">
        <f t="shared" si="133"/>
        <v>41250</v>
      </c>
      <c r="G169" s="95">
        <f t="shared" si="133"/>
        <v>49914</v>
      </c>
      <c r="H169" s="95">
        <f t="shared" si="133"/>
        <v>62512.389999999992</v>
      </c>
      <c r="I169" s="95">
        <f t="shared" si="133"/>
        <v>68763.629000000001</v>
      </c>
      <c r="J169" s="95">
        <v>63298.735280000001</v>
      </c>
      <c r="K169" s="90">
        <f>SUM(K162:K168)</f>
        <v>110130.84</v>
      </c>
      <c r="L169" s="90"/>
      <c r="M169" s="90"/>
      <c r="N169" s="90">
        <f t="shared" ref="N169" si="134">SUM(N162:N168)</f>
        <v>0</v>
      </c>
      <c r="O169" s="90">
        <f>SUM(O162:O168)</f>
        <v>27945.699999999997</v>
      </c>
      <c r="P169" s="90">
        <f t="shared" ref="P169:W169" si="135">SUM(P162:P168)</f>
        <v>125549.17000000001</v>
      </c>
      <c r="Q169" s="90">
        <f t="shared" si="135"/>
        <v>109993.17809999999</v>
      </c>
      <c r="R169" s="90">
        <f t="shared" si="135"/>
        <v>373618.88809999998</v>
      </c>
      <c r="S169" s="90">
        <f t="shared" si="135"/>
        <v>27532.73</v>
      </c>
      <c r="T169" s="90">
        <f t="shared" si="135"/>
        <v>6.73</v>
      </c>
      <c r="U169" s="90">
        <f t="shared" si="135"/>
        <v>401151.61809999996</v>
      </c>
      <c r="V169" s="90">
        <f t="shared" si="135"/>
        <v>325048.43264700001</v>
      </c>
      <c r="W169" s="90">
        <f t="shared" si="135"/>
        <v>349001.90774700005</v>
      </c>
      <c r="X169" s="80"/>
      <c r="Y169" s="90"/>
      <c r="Z169" s="80"/>
      <c r="AA169" s="80">
        <f t="shared" si="125"/>
        <v>0</v>
      </c>
      <c r="AB169" s="80">
        <f t="shared" si="126"/>
        <v>0</v>
      </c>
      <c r="AC169" s="91"/>
      <c r="AD169">
        <v>0.1</v>
      </c>
      <c r="AE169" s="90">
        <f t="shared" si="127"/>
        <v>11013.084000000001</v>
      </c>
      <c r="AF169">
        <v>0.1</v>
      </c>
      <c r="AG169" s="90">
        <f t="shared" si="111"/>
        <v>11013.084000000001</v>
      </c>
    </row>
    <row r="170" spans="1:33" ht="22.5" customHeight="1" x14ac:dyDescent="0.2">
      <c r="A170" s="71" t="s">
        <v>164</v>
      </c>
      <c r="B170" s="93"/>
      <c r="C170" s="93"/>
      <c r="D170" s="93"/>
      <c r="E170" s="93"/>
      <c r="F170" s="93"/>
      <c r="G170" s="93"/>
      <c r="H170" s="93"/>
      <c r="I170" s="93"/>
      <c r="J170" s="93"/>
      <c r="K170" s="232"/>
      <c r="L170" s="93"/>
      <c r="M170" s="93"/>
      <c r="N170" s="93"/>
      <c r="O170" s="93"/>
      <c r="P170" s="130">
        <v>1.1399999999999999</v>
      </c>
      <c r="Q170" s="93"/>
      <c r="R170" s="184"/>
      <c r="S170" s="93"/>
      <c r="T170" s="130"/>
      <c r="U170" s="93"/>
      <c r="V170" s="184"/>
      <c r="W170" s="93"/>
      <c r="X170" s="80"/>
      <c r="Y170" s="93"/>
      <c r="Z170" s="80"/>
      <c r="AA170" s="80">
        <f t="shared" si="125"/>
        <v>0</v>
      </c>
      <c r="AB170" s="80">
        <f t="shared" si="126"/>
        <v>0</v>
      </c>
      <c r="AC170" s="185"/>
      <c r="AD170">
        <v>0.1</v>
      </c>
      <c r="AE170" s="93"/>
      <c r="AG170" s="93"/>
    </row>
    <row r="171" spans="1:33" x14ac:dyDescent="0.2">
      <c r="A171" s="102"/>
      <c r="B171" s="87"/>
      <c r="C171" s="87" t="s">
        <v>133</v>
      </c>
      <c r="D171" s="72">
        <v>1</v>
      </c>
      <c r="E171" s="73">
        <v>7500</v>
      </c>
      <c r="F171" s="74">
        <f>ROUND(E171*F$12,2)</f>
        <v>8250</v>
      </c>
      <c r="G171" s="74">
        <f>F171*1.1*1.1+0.5</f>
        <v>9983</v>
      </c>
      <c r="H171" s="74">
        <v>12337.98</v>
      </c>
      <c r="I171" s="74">
        <f>H171*$I$12</f>
        <v>13571.778</v>
      </c>
      <c r="J171" s="74">
        <v>14386.084680000002</v>
      </c>
      <c r="K171" s="74">
        <f>ROUND('26.08.22'!K171*1.04,2)</f>
        <v>20649.54</v>
      </c>
      <c r="L171" s="75" t="s">
        <v>165</v>
      </c>
      <c r="M171" s="83">
        <v>30</v>
      </c>
      <c r="N171" s="83"/>
      <c r="O171" s="78">
        <f t="shared" si="105"/>
        <v>6194.86</v>
      </c>
      <c r="P171" s="78">
        <f t="shared" si="106"/>
        <v>23540.48</v>
      </c>
      <c r="Q171" s="78">
        <f t="shared" si="107"/>
        <v>29735.337599999999</v>
      </c>
      <c r="R171" s="79">
        <f t="shared" si="108"/>
        <v>80120.217600000004</v>
      </c>
      <c r="S171" s="78">
        <f t="shared" si="109"/>
        <v>5162.3900000000003</v>
      </c>
      <c r="T171" s="78">
        <v>1.44</v>
      </c>
      <c r="U171" s="78">
        <f t="shared" si="110"/>
        <v>85282.607600000003</v>
      </c>
      <c r="V171" s="79">
        <f t="shared" si="122"/>
        <v>69704.589311999996</v>
      </c>
      <c r="W171" s="78">
        <f t="shared" si="123"/>
        <v>74195.868612000006</v>
      </c>
      <c r="X171" s="80">
        <v>3</v>
      </c>
      <c r="Y171" s="78"/>
      <c r="Z171" s="80">
        <f t="shared" si="124"/>
        <v>3</v>
      </c>
      <c r="AA171" s="80">
        <f t="shared" si="125"/>
        <v>61948.62</v>
      </c>
      <c r="AB171" s="80">
        <f t="shared" si="126"/>
        <v>0</v>
      </c>
      <c r="AC171" s="80"/>
      <c r="AD171">
        <v>0.1</v>
      </c>
      <c r="AE171" s="78">
        <f t="shared" si="127"/>
        <v>2064.9540000000002</v>
      </c>
      <c r="AF171">
        <v>0.1</v>
      </c>
      <c r="AG171" s="78">
        <f t="shared" si="111"/>
        <v>2064.9540000000002</v>
      </c>
    </row>
    <row r="172" spans="1:33" ht="19.5" customHeight="1" x14ac:dyDescent="0.2">
      <c r="A172" s="102"/>
      <c r="B172" s="87"/>
      <c r="C172" s="131" t="s">
        <v>90</v>
      </c>
      <c r="D172" s="72">
        <v>1</v>
      </c>
      <c r="E172" s="73">
        <v>6000</v>
      </c>
      <c r="F172" s="74">
        <f>ROUND(E172*F$12,2)</f>
        <v>6600</v>
      </c>
      <c r="G172" s="74">
        <f>F172*1.1*1.1</f>
        <v>7986.0000000000018</v>
      </c>
      <c r="H172" s="74">
        <v>9870.3799999999992</v>
      </c>
      <c r="I172" s="74">
        <f>H172*$I$12</f>
        <v>10857.418</v>
      </c>
      <c r="J172" s="74">
        <v>11508.863080000001</v>
      </c>
      <c r="K172" s="74">
        <f>ROUND('26.08.22'!K172*1.04,2)</f>
        <v>16519.63</v>
      </c>
      <c r="L172" s="105" t="s">
        <v>166</v>
      </c>
      <c r="M172" s="83">
        <v>30</v>
      </c>
      <c r="N172" s="83"/>
      <c r="O172" s="78">
        <f t="shared" si="105"/>
        <v>4955.8900000000003</v>
      </c>
      <c r="P172" s="78">
        <f t="shared" si="106"/>
        <v>18832.38</v>
      </c>
      <c r="Q172" s="78">
        <f t="shared" si="107"/>
        <v>16354.433700000001</v>
      </c>
      <c r="R172" s="79">
        <f t="shared" si="108"/>
        <v>56662.333700000003</v>
      </c>
      <c r="S172" s="78">
        <f t="shared" si="109"/>
        <v>4129.91</v>
      </c>
      <c r="T172" s="78">
        <v>0.99</v>
      </c>
      <c r="U172" s="78">
        <f t="shared" si="110"/>
        <v>60792.243700000006</v>
      </c>
      <c r="V172" s="79">
        <f t="shared" si="122"/>
        <v>49296.230319000002</v>
      </c>
      <c r="W172" s="78">
        <f t="shared" si="123"/>
        <v>52889.252019000007</v>
      </c>
      <c r="X172" s="80">
        <v>3</v>
      </c>
      <c r="Y172" s="78">
        <v>3</v>
      </c>
      <c r="Z172" s="80">
        <f t="shared" si="124"/>
        <v>0</v>
      </c>
      <c r="AA172" s="80">
        <f t="shared" si="125"/>
        <v>0</v>
      </c>
      <c r="AB172" s="80">
        <f t="shared" si="126"/>
        <v>49558.89</v>
      </c>
      <c r="AC172" s="80"/>
      <c r="AD172">
        <v>0.1</v>
      </c>
      <c r="AE172" s="78">
        <f t="shared" si="127"/>
        <v>1651.9630000000002</v>
      </c>
      <c r="AF172">
        <v>0.1</v>
      </c>
      <c r="AG172" s="78">
        <f t="shared" si="111"/>
        <v>1651.9630000000002</v>
      </c>
    </row>
    <row r="173" spans="1:33" ht="12" customHeight="1" x14ac:dyDescent="0.2">
      <c r="A173" s="102"/>
      <c r="B173" s="87"/>
      <c r="C173" s="107" t="s">
        <v>48</v>
      </c>
      <c r="D173" s="109">
        <v>1</v>
      </c>
      <c r="E173" s="73">
        <v>5000</v>
      </c>
      <c r="F173" s="74">
        <f>ROUND(E173*F$12,2)</f>
        <v>5500</v>
      </c>
      <c r="G173" s="74">
        <f>F173*1.1*1.1</f>
        <v>6655.0000000000018</v>
      </c>
      <c r="H173" s="74">
        <v>8225.31</v>
      </c>
      <c r="I173" s="74">
        <f>H173*$I$12</f>
        <v>9047.8410000000003</v>
      </c>
      <c r="J173" s="74">
        <v>9590.7114600000004</v>
      </c>
      <c r="K173" s="74">
        <f>ROUND('26.08.22'!K173*1.04,2)</f>
        <v>13766.34</v>
      </c>
      <c r="L173" s="105" t="s">
        <v>167</v>
      </c>
      <c r="M173" s="83">
        <v>30</v>
      </c>
      <c r="N173" s="83"/>
      <c r="O173" s="78">
        <f t="shared" si="105"/>
        <v>4129.8999999999996</v>
      </c>
      <c r="P173" s="78">
        <f t="shared" si="106"/>
        <v>15693.63</v>
      </c>
      <c r="Q173" s="78">
        <f t="shared" si="107"/>
        <v>12252.042600000001</v>
      </c>
      <c r="R173" s="79">
        <f t="shared" si="108"/>
        <v>45841.912599999996</v>
      </c>
      <c r="S173" s="78">
        <f t="shared" si="109"/>
        <v>3441.59</v>
      </c>
      <c r="T173" s="78">
        <v>0.89</v>
      </c>
      <c r="U173" s="78">
        <f t="shared" si="110"/>
        <v>49283.502599999993</v>
      </c>
      <c r="V173" s="79">
        <f t="shared" si="122"/>
        <v>39882.463961999994</v>
      </c>
      <c r="W173" s="78">
        <f t="shared" si="123"/>
        <v>42876.647261999991</v>
      </c>
      <c r="X173" s="80">
        <v>3</v>
      </c>
      <c r="Y173" s="78"/>
      <c r="Z173" s="80">
        <f t="shared" si="124"/>
        <v>3</v>
      </c>
      <c r="AA173" s="80">
        <f t="shared" si="125"/>
        <v>41299.020000000004</v>
      </c>
      <c r="AB173" s="80">
        <f t="shared" si="126"/>
        <v>0</v>
      </c>
      <c r="AC173" s="80"/>
      <c r="AD173">
        <v>0.1</v>
      </c>
      <c r="AE173" s="78">
        <f t="shared" si="127"/>
        <v>1376.634</v>
      </c>
      <c r="AF173">
        <v>0.1</v>
      </c>
      <c r="AG173" s="78">
        <f t="shared" si="111"/>
        <v>1376.634</v>
      </c>
    </row>
    <row r="174" spans="1:33" ht="30" customHeight="1" x14ac:dyDescent="0.2">
      <c r="A174" s="102"/>
      <c r="B174" s="107"/>
      <c r="C174" s="131" t="s">
        <v>136</v>
      </c>
      <c r="D174" s="109">
        <v>1</v>
      </c>
      <c r="E174" s="73">
        <v>5000</v>
      </c>
      <c r="F174" s="74">
        <f>ROUND(E174*F$12,2)</f>
        <v>5500</v>
      </c>
      <c r="G174" s="74">
        <f>F174*1.1*1.1</f>
        <v>6655.0000000000018</v>
      </c>
      <c r="H174" s="74">
        <v>8225.31</v>
      </c>
      <c r="I174" s="74">
        <f>H174*$I$12</f>
        <v>9047.8410000000003</v>
      </c>
      <c r="J174" s="74">
        <v>9590.7114600000004</v>
      </c>
      <c r="K174" s="74">
        <f>ROUND('26.08.22'!K174*1.04,2)</f>
        <v>16519.63</v>
      </c>
      <c r="L174" s="105" t="s">
        <v>168</v>
      </c>
      <c r="M174" s="83">
        <v>20</v>
      </c>
      <c r="N174" s="83"/>
      <c r="O174" s="78">
        <f t="shared" si="105"/>
        <v>3303.93</v>
      </c>
      <c r="P174" s="78">
        <f t="shared" si="106"/>
        <v>18832.38</v>
      </c>
      <c r="Q174" s="78">
        <f t="shared" si="107"/>
        <v>16354.433700000001</v>
      </c>
      <c r="R174" s="79">
        <f t="shared" si="108"/>
        <v>55010.373700000004</v>
      </c>
      <c r="S174" s="78">
        <f t="shared" si="109"/>
        <v>4129.91</v>
      </c>
      <c r="T174" s="78">
        <v>0.99</v>
      </c>
      <c r="U174" s="78">
        <f t="shared" si="110"/>
        <v>59140.2837</v>
      </c>
      <c r="V174" s="79">
        <f t="shared" si="122"/>
        <v>47859.025119000005</v>
      </c>
      <c r="W174" s="78">
        <f t="shared" si="123"/>
        <v>51452.046819000003</v>
      </c>
      <c r="X174" s="80">
        <v>3</v>
      </c>
      <c r="Y174" s="78">
        <v>3</v>
      </c>
      <c r="Z174" s="80">
        <f t="shared" si="124"/>
        <v>0</v>
      </c>
      <c r="AA174" s="80">
        <f t="shared" si="125"/>
        <v>0</v>
      </c>
      <c r="AB174" s="80">
        <f t="shared" si="126"/>
        <v>49558.89</v>
      </c>
      <c r="AC174" s="80"/>
      <c r="AD174">
        <v>0.1</v>
      </c>
      <c r="AE174" s="78">
        <f t="shared" si="127"/>
        <v>1651.9630000000002</v>
      </c>
      <c r="AF174">
        <v>0.1</v>
      </c>
      <c r="AG174" s="78">
        <f t="shared" si="111"/>
        <v>1651.9630000000002</v>
      </c>
    </row>
    <row r="175" spans="1:33" x14ac:dyDescent="0.2">
      <c r="A175" s="102"/>
      <c r="B175" s="107"/>
      <c r="C175" s="107" t="s">
        <v>138</v>
      </c>
      <c r="D175" s="109">
        <v>1</v>
      </c>
      <c r="E175" s="73">
        <v>4500</v>
      </c>
      <c r="F175" s="74">
        <f>ROUND(E175*F$12,2)</f>
        <v>4950</v>
      </c>
      <c r="G175" s="74">
        <f>F175*1.1*1.1+0.5</f>
        <v>5990.0000000000009</v>
      </c>
      <c r="H175" s="74">
        <v>7402.79</v>
      </c>
      <c r="I175" s="74">
        <f>H175*$I$12</f>
        <v>8143.0690000000004</v>
      </c>
      <c r="J175" s="74">
        <v>8631.6531400000003</v>
      </c>
      <c r="K175" s="74">
        <f>ROUND('26.08.22'!K175*1.04,2)</f>
        <v>12389.73</v>
      </c>
      <c r="L175" s="105" t="s">
        <v>169</v>
      </c>
      <c r="M175" s="76">
        <v>0</v>
      </c>
      <c r="N175" s="76"/>
      <c r="O175" s="78">
        <f t="shared" si="105"/>
        <v>0</v>
      </c>
      <c r="P175" s="78">
        <f t="shared" si="106"/>
        <v>14124.29</v>
      </c>
      <c r="Q175" s="78">
        <f t="shared" si="107"/>
        <v>6690.4542000000001</v>
      </c>
      <c r="R175" s="79">
        <f t="shared" si="108"/>
        <v>33204.474199999997</v>
      </c>
      <c r="S175" s="78">
        <f t="shared" si="109"/>
        <v>3097.43</v>
      </c>
      <c r="T175" s="78">
        <v>0.54</v>
      </c>
      <c r="U175" s="78">
        <f t="shared" si="110"/>
        <v>36301.904199999997</v>
      </c>
      <c r="V175" s="79">
        <f t="shared" si="122"/>
        <v>28887.892553999998</v>
      </c>
      <c r="W175" s="78">
        <f t="shared" si="123"/>
        <v>31582.656653999999</v>
      </c>
      <c r="X175" s="80">
        <v>3</v>
      </c>
      <c r="Y175" s="78"/>
      <c r="Z175" s="80">
        <f t="shared" si="124"/>
        <v>3</v>
      </c>
      <c r="AA175" s="80">
        <f t="shared" si="125"/>
        <v>37169.19</v>
      </c>
      <c r="AB175" s="80">
        <f t="shared" si="126"/>
        <v>0</v>
      </c>
      <c r="AC175" s="80"/>
      <c r="AD175">
        <v>0.1</v>
      </c>
      <c r="AE175" s="78">
        <f t="shared" si="127"/>
        <v>1238.973</v>
      </c>
      <c r="AF175">
        <v>0.1</v>
      </c>
      <c r="AG175" s="78">
        <f t="shared" si="111"/>
        <v>1238.973</v>
      </c>
    </row>
    <row r="176" spans="1:33" x14ac:dyDescent="0.2">
      <c r="A176" s="107"/>
      <c r="B176" s="181"/>
      <c r="C176" s="181" t="s">
        <v>140</v>
      </c>
      <c r="D176" s="111">
        <f t="shared" ref="D176:I176" si="136">SUM(D171:D175)</f>
        <v>5</v>
      </c>
      <c r="E176" s="95">
        <f t="shared" si="136"/>
        <v>28000</v>
      </c>
      <c r="F176" s="95">
        <f t="shared" si="136"/>
        <v>30800</v>
      </c>
      <c r="G176" s="95">
        <f t="shared" si="136"/>
        <v>37269</v>
      </c>
      <c r="H176" s="95">
        <f t="shared" si="136"/>
        <v>46061.77</v>
      </c>
      <c r="I176" s="95">
        <f t="shared" si="136"/>
        <v>50667.947</v>
      </c>
      <c r="J176" s="95">
        <v>53708.023820000002</v>
      </c>
      <c r="K176" s="90">
        <f>SUM(K171:K175)</f>
        <v>79844.87</v>
      </c>
      <c r="L176" s="90"/>
      <c r="M176" s="90"/>
      <c r="N176" s="90">
        <f t="shared" ref="N176" si="137">SUM(N171:N175)</f>
        <v>0</v>
      </c>
      <c r="O176" s="90">
        <f>SUM(O171:O175)</f>
        <v>18584.579999999998</v>
      </c>
      <c r="P176" s="90">
        <f t="shared" ref="P176:W176" si="138">SUM(P171:P175)</f>
        <v>91023.16</v>
      </c>
      <c r="Q176" s="90">
        <f t="shared" si="138"/>
        <v>81386.70180000001</v>
      </c>
      <c r="R176" s="90">
        <f t="shared" si="138"/>
        <v>270839.31179999997</v>
      </c>
      <c r="S176" s="90">
        <f t="shared" si="138"/>
        <v>19961.23</v>
      </c>
      <c r="T176" s="90">
        <f t="shared" si="138"/>
        <v>4.8499999999999996</v>
      </c>
      <c r="U176" s="90">
        <f t="shared" si="138"/>
        <v>290800.54180000001</v>
      </c>
      <c r="V176" s="90">
        <f t="shared" si="138"/>
        <v>235630.20126599996</v>
      </c>
      <c r="W176" s="90">
        <f t="shared" si="138"/>
        <v>252996.47136600001</v>
      </c>
      <c r="X176" s="80"/>
      <c r="Y176" s="90"/>
      <c r="Z176" s="80"/>
      <c r="AA176" s="80">
        <f t="shared" si="125"/>
        <v>0</v>
      </c>
      <c r="AB176" s="80">
        <f t="shared" si="126"/>
        <v>0</v>
      </c>
      <c r="AC176" s="91"/>
      <c r="AD176">
        <v>0.1</v>
      </c>
      <c r="AE176" s="90">
        <f t="shared" si="127"/>
        <v>7984.4870000000001</v>
      </c>
      <c r="AF176">
        <v>0.1</v>
      </c>
      <c r="AG176" s="90">
        <f t="shared" si="111"/>
        <v>7984.4870000000001</v>
      </c>
    </row>
    <row r="177" spans="1:33" ht="31.5" customHeight="1" x14ac:dyDescent="0.2">
      <c r="A177" s="71" t="s">
        <v>170</v>
      </c>
      <c r="B177" s="97"/>
      <c r="C177" s="97"/>
      <c r="D177" s="94"/>
      <c r="E177" s="95"/>
      <c r="F177" s="95"/>
      <c r="G177" s="95"/>
      <c r="H177" s="95"/>
      <c r="I177" s="95"/>
      <c r="J177" s="95"/>
      <c r="K177" s="90"/>
      <c r="L177" s="96"/>
      <c r="M177" s="96"/>
      <c r="N177" s="96"/>
      <c r="O177" s="96"/>
      <c r="P177" s="130">
        <v>1.1399999999999999</v>
      </c>
      <c r="Q177" s="96"/>
      <c r="R177" s="186"/>
      <c r="S177" s="96"/>
      <c r="T177" s="130"/>
      <c r="U177" s="96"/>
      <c r="V177" s="186"/>
      <c r="W177" s="96"/>
      <c r="X177" s="80"/>
      <c r="Y177" s="96"/>
      <c r="Z177" s="80"/>
      <c r="AA177" s="80">
        <f t="shared" si="125"/>
        <v>0</v>
      </c>
      <c r="AB177" s="80">
        <f t="shared" si="126"/>
        <v>0</v>
      </c>
      <c r="AC177" s="144"/>
      <c r="AD177">
        <v>0.1</v>
      </c>
      <c r="AE177" s="96"/>
      <c r="AG177" s="96"/>
    </row>
    <row r="178" spans="1:33" x14ac:dyDescent="0.2">
      <c r="A178" s="102"/>
      <c r="B178" s="87"/>
      <c r="C178" s="87" t="s">
        <v>133</v>
      </c>
      <c r="D178" s="72">
        <v>1</v>
      </c>
      <c r="E178" s="73">
        <v>7000</v>
      </c>
      <c r="F178" s="74">
        <f t="shared" ref="F178:F184" si="139">ROUND(E178*F$12,2)</f>
        <v>7700</v>
      </c>
      <c r="G178" s="74">
        <f>F178*1.1*1.1</f>
        <v>9317</v>
      </c>
      <c r="H178" s="74">
        <v>11515.44</v>
      </c>
      <c r="I178" s="74">
        <f t="shared" ref="I178:I184" si="140">H178*$I$12</f>
        <v>12666.984000000002</v>
      </c>
      <c r="J178" s="74">
        <v>13427.003040000003</v>
      </c>
      <c r="K178" s="74">
        <f>ROUND('26.08.22'!K178*1.04,2)</f>
        <v>20649.54</v>
      </c>
      <c r="L178" s="75" t="s">
        <v>171</v>
      </c>
      <c r="M178" s="76">
        <v>30</v>
      </c>
      <c r="N178" s="76"/>
      <c r="O178" s="78">
        <f t="shared" si="105"/>
        <v>6194.86</v>
      </c>
      <c r="P178" s="78">
        <f t="shared" si="106"/>
        <v>23540.48</v>
      </c>
      <c r="Q178" s="78">
        <f t="shared" si="107"/>
        <v>29735.337599999999</v>
      </c>
      <c r="R178" s="79">
        <f t="shared" si="108"/>
        <v>80120.217600000004</v>
      </c>
      <c r="S178" s="78">
        <f t="shared" si="109"/>
        <v>5162.3900000000003</v>
      </c>
      <c r="T178" s="78">
        <v>1.44</v>
      </c>
      <c r="U178" s="78">
        <f t="shared" si="110"/>
        <v>85282.607600000003</v>
      </c>
      <c r="V178" s="79">
        <f t="shared" si="122"/>
        <v>69704.589311999996</v>
      </c>
      <c r="W178" s="78">
        <f t="shared" si="123"/>
        <v>74195.868612000006</v>
      </c>
      <c r="X178" s="80">
        <v>3</v>
      </c>
      <c r="Y178" s="78">
        <v>3</v>
      </c>
      <c r="Z178" s="80">
        <f t="shared" si="124"/>
        <v>0</v>
      </c>
      <c r="AA178" s="80">
        <f t="shared" si="125"/>
        <v>0</v>
      </c>
      <c r="AB178" s="80">
        <f t="shared" si="126"/>
        <v>61948.62</v>
      </c>
      <c r="AC178" s="80"/>
      <c r="AD178">
        <v>0.1</v>
      </c>
      <c r="AE178" s="78">
        <f t="shared" si="127"/>
        <v>2064.9540000000002</v>
      </c>
      <c r="AF178">
        <v>0.1</v>
      </c>
      <c r="AG178" s="78">
        <f t="shared" si="111"/>
        <v>2064.9540000000002</v>
      </c>
    </row>
    <row r="179" spans="1:33" ht="20.25" customHeight="1" x14ac:dyDescent="0.2">
      <c r="A179" s="102"/>
      <c r="B179" s="122"/>
      <c r="C179" s="122"/>
      <c r="D179" s="72">
        <v>0</v>
      </c>
      <c r="E179" s="73">
        <v>5700</v>
      </c>
      <c r="F179" s="74">
        <f t="shared" si="139"/>
        <v>6270</v>
      </c>
      <c r="G179" s="74">
        <f>F179*1.1*1.1+0.3</f>
        <v>7587.0000000000018</v>
      </c>
      <c r="H179" s="74">
        <v>9376.86</v>
      </c>
      <c r="I179" s="74">
        <f t="shared" si="140"/>
        <v>10314.546000000002</v>
      </c>
      <c r="J179" s="74">
        <v>10933.418760000002</v>
      </c>
      <c r="K179" s="74">
        <f>ROUND('26.08.22'!K179*1.04,2)</f>
        <v>0</v>
      </c>
      <c r="L179" s="110"/>
      <c r="M179" s="76">
        <v>30</v>
      </c>
      <c r="N179" s="76"/>
      <c r="O179" s="78">
        <f t="shared" si="105"/>
        <v>0</v>
      </c>
      <c r="P179" s="78">
        <f t="shared" si="106"/>
        <v>0</v>
      </c>
      <c r="Q179" s="78">
        <f t="shared" si="107"/>
        <v>0</v>
      </c>
      <c r="R179" s="79">
        <f t="shared" si="108"/>
        <v>0</v>
      </c>
      <c r="S179" s="78">
        <f t="shared" si="109"/>
        <v>0</v>
      </c>
      <c r="T179" s="78">
        <v>0.99</v>
      </c>
      <c r="U179" s="78">
        <f t="shared" si="110"/>
        <v>0</v>
      </c>
      <c r="V179" s="79">
        <f t="shared" si="122"/>
        <v>0</v>
      </c>
      <c r="W179" s="78">
        <f t="shared" si="123"/>
        <v>0</v>
      </c>
      <c r="X179" s="80">
        <v>3</v>
      </c>
      <c r="Y179" s="78">
        <v>3</v>
      </c>
      <c r="Z179" s="80">
        <f t="shared" si="124"/>
        <v>0</v>
      </c>
      <c r="AA179" s="80">
        <f t="shared" si="125"/>
        <v>0</v>
      </c>
      <c r="AB179" s="80">
        <f t="shared" si="126"/>
        <v>0</v>
      </c>
      <c r="AC179" s="80"/>
      <c r="AD179">
        <v>0.1</v>
      </c>
      <c r="AE179" s="78">
        <f t="shared" si="127"/>
        <v>0</v>
      </c>
      <c r="AF179">
        <v>0.1</v>
      </c>
      <c r="AG179" s="78">
        <f t="shared" si="111"/>
        <v>0</v>
      </c>
    </row>
    <row r="180" spans="1:33" x14ac:dyDescent="0.2">
      <c r="A180" s="102"/>
      <c r="B180" s="107"/>
      <c r="C180" s="107" t="s">
        <v>48</v>
      </c>
      <c r="D180" s="109">
        <v>1</v>
      </c>
      <c r="E180" s="73">
        <v>5000</v>
      </c>
      <c r="F180" s="74">
        <f t="shared" si="139"/>
        <v>5500</v>
      </c>
      <c r="G180" s="74">
        <f>F180*1.1*1.1</f>
        <v>6655.0000000000018</v>
      </c>
      <c r="H180" s="74">
        <v>8225.31</v>
      </c>
      <c r="I180" s="74">
        <f t="shared" si="140"/>
        <v>9047.8410000000003</v>
      </c>
      <c r="J180" s="74">
        <v>9590.7114600000004</v>
      </c>
      <c r="K180" s="74">
        <f>ROUND('26.08.22'!K180*1.04,2)</f>
        <v>13766.34</v>
      </c>
      <c r="L180" s="75" t="s">
        <v>172</v>
      </c>
      <c r="M180" s="145">
        <v>30</v>
      </c>
      <c r="N180" s="145"/>
      <c r="O180" s="78">
        <f t="shared" si="105"/>
        <v>4129.8999999999996</v>
      </c>
      <c r="P180" s="78">
        <f t="shared" si="106"/>
        <v>15693.63</v>
      </c>
      <c r="Q180" s="78">
        <f t="shared" si="107"/>
        <v>12252.042600000001</v>
      </c>
      <c r="R180" s="79">
        <f t="shared" si="108"/>
        <v>45841.912599999996</v>
      </c>
      <c r="S180" s="78">
        <f t="shared" si="109"/>
        <v>3441.59</v>
      </c>
      <c r="T180" s="78">
        <v>0.89</v>
      </c>
      <c r="U180" s="78">
        <f t="shared" si="110"/>
        <v>49283.502599999993</v>
      </c>
      <c r="V180" s="79">
        <f t="shared" si="122"/>
        <v>39882.463961999994</v>
      </c>
      <c r="W180" s="78">
        <f t="shared" si="123"/>
        <v>42876.647261999991</v>
      </c>
      <c r="X180" s="80">
        <v>3</v>
      </c>
      <c r="Y180" s="78">
        <v>3</v>
      </c>
      <c r="Z180" s="80">
        <f t="shared" si="124"/>
        <v>0</v>
      </c>
      <c r="AA180" s="80">
        <f t="shared" si="125"/>
        <v>0</v>
      </c>
      <c r="AB180" s="80">
        <f t="shared" si="126"/>
        <v>41299.020000000004</v>
      </c>
      <c r="AC180" s="80"/>
      <c r="AD180">
        <v>0.1</v>
      </c>
      <c r="AE180" s="78">
        <f t="shared" si="127"/>
        <v>1376.634</v>
      </c>
      <c r="AF180">
        <v>0.1</v>
      </c>
      <c r="AG180" s="78">
        <f t="shared" si="111"/>
        <v>1376.634</v>
      </c>
    </row>
    <row r="181" spans="1:33" x14ac:dyDescent="0.2">
      <c r="A181" s="102"/>
      <c r="B181" s="107"/>
      <c r="C181" s="107" t="s">
        <v>48</v>
      </c>
      <c r="D181" s="109">
        <v>1</v>
      </c>
      <c r="E181" s="73">
        <v>5000</v>
      </c>
      <c r="F181" s="74">
        <f t="shared" si="139"/>
        <v>5500</v>
      </c>
      <c r="G181" s="74">
        <f>F181*1.1*1.1</f>
        <v>6655.0000000000018</v>
      </c>
      <c r="H181" s="74">
        <v>8225.31</v>
      </c>
      <c r="I181" s="74">
        <f t="shared" si="140"/>
        <v>9047.8410000000003</v>
      </c>
      <c r="J181" s="74">
        <v>9590.7114600000004</v>
      </c>
      <c r="K181" s="74">
        <f>ROUND('26.08.22'!K181*1.04,2)</f>
        <v>13766.34</v>
      </c>
      <c r="L181" s="187" t="s">
        <v>173</v>
      </c>
      <c r="M181" s="83">
        <v>10</v>
      </c>
      <c r="N181" s="76"/>
      <c r="O181" s="78">
        <f t="shared" si="105"/>
        <v>1376.63</v>
      </c>
      <c r="P181" s="78">
        <f t="shared" si="106"/>
        <v>15693.63</v>
      </c>
      <c r="Q181" s="78">
        <f t="shared" si="107"/>
        <v>12252.042600000001</v>
      </c>
      <c r="R181" s="79">
        <f t="shared" si="108"/>
        <v>43088.642599999999</v>
      </c>
      <c r="S181" s="78">
        <f t="shared" si="109"/>
        <v>3441.59</v>
      </c>
      <c r="T181" s="78">
        <v>0.89</v>
      </c>
      <c r="U181" s="78">
        <f t="shared" si="110"/>
        <v>46530.232600000003</v>
      </c>
      <c r="V181" s="79">
        <f t="shared" si="122"/>
        <v>37487.119061999998</v>
      </c>
      <c r="W181" s="78">
        <f t="shared" si="123"/>
        <v>40481.302362000002</v>
      </c>
      <c r="X181" s="80">
        <v>3</v>
      </c>
      <c r="Y181" s="78">
        <v>3</v>
      </c>
      <c r="Z181" s="80">
        <f t="shared" si="124"/>
        <v>0</v>
      </c>
      <c r="AA181" s="80">
        <f t="shared" si="125"/>
        <v>0</v>
      </c>
      <c r="AB181" s="80">
        <f t="shared" si="126"/>
        <v>41299.020000000004</v>
      </c>
      <c r="AC181" s="80"/>
      <c r="AD181">
        <v>0.1</v>
      </c>
      <c r="AE181" s="78">
        <f t="shared" si="127"/>
        <v>1376.634</v>
      </c>
      <c r="AF181">
        <v>0.1</v>
      </c>
      <c r="AG181" s="78">
        <f t="shared" si="111"/>
        <v>1376.634</v>
      </c>
    </row>
    <row r="182" spans="1:33" ht="26.25" customHeight="1" x14ac:dyDescent="0.2">
      <c r="A182" s="102"/>
      <c r="B182" s="107"/>
      <c r="C182" s="131" t="s">
        <v>136</v>
      </c>
      <c r="D182" s="109">
        <v>1</v>
      </c>
      <c r="E182" s="73">
        <v>5000</v>
      </c>
      <c r="F182" s="74">
        <f t="shared" si="139"/>
        <v>5500</v>
      </c>
      <c r="G182" s="74">
        <f>F182*1.1*1.1</f>
        <v>6655.0000000000018</v>
      </c>
      <c r="H182" s="74">
        <v>8225.31</v>
      </c>
      <c r="I182" s="74">
        <f t="shared" si="140"/>
        <v>9047.8410000000003</v>
      </c>
      <c r="J182" s="74">
        <v>9590.7114600000004</v>
      </c>
      <c r="K182" s="74">
        <f>ROUND('26.08.22'!K182*1.04,2)</f>
        <v>16519.63</v>
      </c>
      <c r="L182" s="105" t="s">
        <v>225</v>
      </c>
      <c r="M182" s="83">
        <v>30</v>
      </c>
      <c r="N182" s="83"/>
      <c r="O182" s="78">
        <f t="shared" si="105"/>
        <v>4955.8900000000003</v>
      </c>
      <c r="P182" s="78">
        <f t="shared" si="106"/>
        <v>18832.38</v>
      </c>
      <c r="Q182" s="78">
        <f t="shared" si="107"/>
        <v>16354.433700000001</v>
      </c>
      <c r="R182" s="79">
        <f t="shared" si="108"/>
        <v>56662.333700000003</v>
      </c>
      <c r="S182" s="78">
        <f>ROUND(K182*S$12,2)</f>
        <v>4129.91</v>
      </c>
      <c r="T182" s="78">
        <v>0.99</v>
      </c>
      <c r="U182" s="78">
        <f>K182+O182+P182+Q182+S182</f>
        <v>60792.243700000006</v>
      </c>
      <c r="V182" s="79">
        <f t="shared" si="122"/>
        <v>49296.230319000002</v>
      </c>
      <c r="W182" s="78">
        <f t="shared" si="123"/>
        <v>52889.252019000007</v>
      </c>
      <c r="X182" s="80">
        <v>3</v>
      </c>
      <c r="Y182" s="78">
        <v>3</v>
      </c>
      <c r="Z182" s="80">
        <f t="shared" si="124"/>
        <v>0</v>
      </c>
      <c r="AA182" s="80">
        <f t="shared" si="125"/>
        <v>0</v>
      </c>
      <c r="AB182" s="80">
        <f t="shared" si="126"/>
        <v>49558.89</v>
      </c>
      <c r="AC182" s="80"/>
      <c r="AD182">
        <v>0.1</v>
      </c>
      <c r="AE182" s="78">
        <f t="shared" si="127"/>
        <v>1651.9630000000002</v>
      </c>
      <c r="AF182">
        <v>0.1</v>
      </c>
      <c r="AG182" s="78">
        <f t="shared" si="111"/>
        <v>1651.9630000000002</v>
      </c>
    </row>
    <row r="183" spans="1:33" ht="24" customHeight="1" x14ac:dyDescent="0.2">
      <c r="A183" s="102"/>
      <c r="B183" s="107"/>
      <c r="C183" s="131" t="s">
        <v>136</v>
      </c>
      <c r="D183" s="109">
        <v>1</v>
      </c>
      <c r="E183" s="73">
        <v>5000</v>
      </c>
      <c r="F183" s="74">
        <f>ROUND(E183*F$12,2)</f>
        <v>5500</v>
      </c>
      <c r="G183" s="74">
        <f>F183*1.1*1.1</f>
        <v>6655.0000000000018</v>
      </c>
      <c r="H183" s="74">
        <v>8225.31</v>
      </c>
      <c r="I183" s="74">
        <f>H183*$I$12</f>
        <v>9047.8410000000003</v>
      </c>
      <c r="J183" s="74">
        <v>9590.7114600000004</v>
      </c>
      <c r="K183" s="74">
        <f>ROUND('26.08.22'!K183*1.04,2)</f>
        <v>16519.63</v>
      </c>
      <c r="L183" s="75" t="s">
        <v>174</v>
      </c>
      <c r="M183" s="83">
        <v>30</v>
      </c>
      <c r="N183" s="76"/>
      <c r="O183" s="78">
        <f t="shared" si="105"/>
        <v>4955.8900000000003</v>
      </c>
      <c r="P183" s="78">
        <f t="shared" si="106"/>
        <v>18832.38</v>
      </c>
      <c r="Q183" s="78">
        <f t="shared" si="107"/>
        <v>16354.433700000001</v>
      </c>
      <c r="R183" s="79">
        <f t="shared" si="108"/>
        <v>56662.333700000003</v>
      </c>
      <c r="S183" s="78">
        <f t="shared" si="109"/>
        <v>4129.91</v>
      </c>
      <c r="T183" s="78">
        <v>0.99</v>
      </c>
      <c r="U183" s="78">
        <f t="shared" si="110"/>
        <v>60792.243700000006</v>
      </c>
      <c r="V183" s="79">
        <f t="shared" si="122"/>
        <v>49296.230319000002</v>
      </c>
      <c r="W183" s="78">
        <f t="shared" si="123"/>
        <v>52889.252019000007</v>
      </c>
      <c r="X183" s="80">
        <v>3</v>
      </c>
      <c r="Y183" s="78"/>
      <c r="Z183" s="80">
        <f t="shared" si="124"/>
        <v>3</v>
      </c>
      <c r="AA183" s="80">
        <f t="shared" si="125"/>
        <v>49558.89</v>
      </c>
      <c r="AB183" s="80">
        <f t="shared" si="126"/>
        <v>0</v>
      </c>
      <c r="AC183" s="80"/>
      <c r="AD183">
        <v>0.1</v>
      </c>
      <c r="AE183" s="78">
        <f t="shared" si="127"/>
        <v>1651.9630000000002</v>
      </c>
      <c r="AF183">
        <v>0.1</v>
      </c>
      <c r="AG183" s="78">
        <f t="shared" si="111"/>
        <v>1651.9630000000002</v>
      </c>
    </row>
    <row r="184" spans="1:33" x14ac:dyDescent="0.2">
      <c r="A184" s="102"/>
      <c r="B184" s="107"/>
      <c r="C184" s="107" t="s">
        <v>138</v>
      </c>
      <c r="D184" s="109">
        <v>1</v>
      </c>
      <c r="E184" s="73">
        <v>4500</v>
      </c>
      <c r="F184" s="74">
        <f t="shared" si="139"/>
        <v>4950</v>
      </c>
      <c r="G184" s="74">
        <f>F184*1.1*1.1+0.5</f>
        <v>5990.0000000000009</v>
      </c>
      <c r="H184" s="74">
        <v>7402.79</v>
      </c>
      <c r="I184" s="74">
        <f t="shared" si="140"/>
        <v>8143.0690000000004</v>
      </c>
      <c r="J184" s="74">
        <v>8631.6531400000003</v>
      </c>
      <c r="K184" s="74">
        <f>ROUND('26.08.22'!K184*1.04,2)</f>
        <v>12389.73</v>
      </c>
      <c r="L184" s="105" t="s">
        <v>206</v>
      </c>
      <c r="M184" s="76">
        <v>0</v>
      </c>
      <c r="N184" s="76"/>
      <c r="O184" s="78">
        <f t="shared" si="105"/>
        <v>0</v>
      </c>
      <c r="P184" s="78">
        <f t="shared" si="106"/>
        <v>14124.29</v>
      </c>
      <c r="Q184" s="78">
        <f t="shared" si="107"/>
        <v>6690.4542000000001</v>
      </c>
      <c r="R184" s="79">
        <f t="shared" si="108"/>
        <v>33204.474199999997</v>
      </c>
      <c r="S184" s="78">
        <f t="shared" si="109"/>
        <v>3097.43</v>
      </c>
      <c r="T184" s="78">
        <v>0.54</v>
      </c>
      <c r="U184" s="78">
        <f t="shared" si="110"/>
        <v>36301.904199999997</v>
      </c>
      <c r="V184" s="79">
        <f t="shared" si="122"/>
        <v>28887.892553999998</v>
      </c>
      <c r="W184" s="78">
        <f t="shared" si="123"/>
        <v>31582.656653999999</v>
      </c>
      <c r="X184" s="80">
        <v>3</v>
      </c>
      <c r="Y184" s="78">
        <v>3</v>
      </c>
      <c r="Z184" s="80">
        <f t="shared" si="124"/>
        <v>0</v>
      </c>
      <c r="AA184" s="80">
        <f t="shared" si="125"/>
        <v>0</v>
      </c>
      <c r="AB184" s="80">
        <f t="shared" si="126"/>
        <v>37169.19</v>
      </c>
      <c r="AC184" s="80"/>
      <c r="AD184">
        <v>0.1</v>
      </c>
      <c r="AE184" s="78">
        <f t="shared" si="127"/>
        <v>1238.973</v>
      </c>
      <c r="AF184">
        <v>0.1</v>
      </c>
      <c r="AG184" s="78">
        <f t="shared" si="111"/>
        <v>1238.973</v>
      </c>
    </row>
    <row r="185" spans="1:33" x14ac:dyDescent="0.2">
      <c r="A185" s="107"/>
      <c r="B185" s="181"/>
      <c r="C185" s="181" t="s">
        <v>140</v>
      </c>
      <c r="D185" s="111">
        <f t="shared" ref="D185:I185" si="141">SUM(D178:D184)</f>
        <v>6</v>
      </c>
      <c r="E185" s="95">
        <f t="shared" si="141"/>
        <v>37200</v>
      </c>
      <c r="F185" s="95">
        <f t="shared" si="141"/>
        <v>40920</v>
      </c>
      <c r="G185" s="95">
        <f t="shared" si="141"/>
        <v>49514</v>
      </c>
      <c r="H185" s="95">
        <f t="shared" si="141"/>
        <v>61196.329999999994</v>
      </c>
      <c r="I185" s="95">
        <f t="shared" si="141"/>
        <v>67315.963000000003</v>
      </c>
      <c r="J185" s="95">
        <v>61764.209320000016</v>
      </c>
      <c r="K185" s="90">
        <f>SUM(K178:K184)</f>
        <v>93611.21</v>
      </c>
      <c r="L185" s="90"/>
      <c r="M185" s="90"/>
      <c r="N185" s="90">
        <f t="shared" ref="N185" si="142">SUM(N178:N184)</f>
        <v>0</v>
      </c>
      <c r="O185" s="90">
        <f>SUM(O178:O184)</f>
        <v>21613.17</v>
      </c>
      <c r="P185" s="90">
        <f t="shared" ref="P185:W185" si="143">SUM(P178:P184)</f>
        <v>106716.79000000001</v>
      </c>
      <c r="Q185" s="90">
        <f t="shared" si="143"/>
        <v>93638.744399999996</v>
      </c>
      <c r="R185" s="90">
        <f t="shared" si="143"/>
        <v>315579.91440000001</v>
      </c>
      <c r="S185" s="90">
        <f t="shared" si="143"/>
        <v>23402.82</v>
      </c>
      <c r="T185" s="90">
        <f t="shared" si="143"/>
        <v>6.73</v>
      </c>
      <c r="U185" s="90">
        <f t="shared" si="143"/>
        <v>338982.73439999996</v>
      </c>
      <c r="V185" s="90">
        <f t="shared" si="143"/>
        <v>274554.52552799997</v>
      </c>
      <c r="W185" s="90">
        <f t="shared" si="143"/>
        <v>294914.97892800003</v>
      </c>
      <c r="X185" s="80"/>
      <c r="Y185" s="90"/>
      <c r="Z185" s="80"/>
      <c r="AA185" s="90">
        <f>SUM(AA13:AA184)</f>
        <v>1788662.2</v>
      </c>
      <c r="AB185" s="90">
        <f>SUM(AB13:AB184)</f>
        <v>5348778.1999999955</v>
      </c>
      <c r="AC185" s="90"/>
      <c r="AD185" s="90"/>
      <c r="AE185" s="90">
        <f>SUM(AE178:AE184)</f>
        <v>9361.1209999999992</v>
      </c>
      <c r="AF185" s="90"/>
      <c r="AG185" s="90">
        <f>SUM(AG178:AG184)</f>
        <v>9361.1209999999992</v>
      </c>
    </row>
    <row r="186" spans="1:33" x14ac:dyDescent="0.2">
      <c r="A186" s="188"/>
      <c r="B186" s="188"/>
      <c r="C186" s="188" t="s">
        <v>175</v>
      </c>
      <c r="D186" s="189">
        <f>D143+D151+D160+D169+D176+D185</f>
        <v>36</v>
      </c>
      <c r="E186" s="189">
        <f t="shared" ref="E186:K186" si="144">E143+E151+E160+E169+E176+E185</f>
        <v>203700</v>
      </c>
      <c r="F186" s="189">
        <f t="shared" si="144"/>
        <v>224070</v>
      </c>
      <c r="G186" s="189">
        <f t="shared" si="144"/>
        <v>271131</v>
      </c>
      <c r="H186" s="189">
        <f t="shared" si="144"/>
        <v>335921.82999999996</v>
      </c>
      <c r="I186" s="189">
        <f t="shared" si="144"/>
        <v>369514.01299999998</v>
      </c>
      <c r="J186" s="189">
        <f t="shared" si="144"/>
        <v>314959.16210000002</v>
      </c>
      <c r="K186" s="90">
        <f t="shared" si="144"/>
        <v>569927.12999999989</v>
      </c>
      <c r="L186" s="90"/>
      <c r="M186" s="90"/>
      <c r="N186" s="90">
        <f t="shared" ref="N186" si="145">N143+N151+N160+N169+N176+N185</f>
        <v>0</v>
      </c>
      <c r="O186" s="90">
        <f>O143+O151+O160+O169+O176+O185</f>
        <v>133533.63999999998</v>
      </c>
      <c r="P186" s="90">
        <f t="shared" ref="P186:W186" si="146">P143+P151+P160+P169+P176+P185</f>
        <v>649716.99000000011</v>
      </c>
      <c r="Q186" s="90">
        <f t="shared" si="146"/>
        <v>574139.63970000006</v>
      </c>
      <c r="R186" s="90">
        <f t="shared" si="146"/>
        <v>1927317.3997</v>
      </c>
      <c r="S186" s="90">
        <f t="shared" si="146"/>
        <v>142481.88</v>
      </c>
      <c r="T186" s="90">
        <f t="shared" si="146"/>
        <v>36.72</v>
      </c>
      <c r="U186" s="90">
        <f t="shared" si="146"/>
        <v>2069799.2797000001</v>
      </c>
      <c r="V186" s="90">
        <f t="shared" si="146"/>
        <v>1676766.1377389999</v>
      </c>
      <c r="W186" s="90">
        <f t="shared" si="146"/>
        <v>1800725.3733389999</v>
      </c>
      <c r="X186" s="80"/>
      <c r="Y186" s="90"/>
      <c r="Z186" s="80"/>
      <c r="AA186" s="90"/>
      <c r="AB186" s="90"/>
      <c r="AC186" s="90"/>
      <c r="AD186" s="90"/>
      <c r="AE186" s="90">
        <f>AE143+AE151+AE160+AE169+AE176+AE185</f>
        <v>56992.713000000003</v>
      </c>
      <c r="AF186" s="90"/>
      <c r="AG186" s="90">
        <f>AG143+AG151+AG160+AG169+AG176+AG185</f>
        <v>56992.713000000003</v>
      </c>
    </row>
    <row r="187" spans="1:33" ht="13.5" x14ac:dyDescent="0.25">
      <c r="A187" s="190"/>
      <c r="B187" s="190"/>
      <c r="C187" s="191" t="s">
        <v>176</v>
      </c>
      <c r="D187" s="192">
        <f>D186+D132</f>
        <v>122</v>
      </c>
      <c r="E187" s="193">
        <f t="shared" ref="E187:I187" si="147">E186+E132</f>
        <v>525900</v>
      </c>
      <c r="F187" s="193">
        <f t="shared" si="147"/>
        <v>579370</v>
      </c>
      <c r="G187" s="193">
        <f t="shared" si="147"/>
        <v>834571</v>
      </c>
      <c r="H187" s="193">
        <f t="shared" si="147"/>
        <v>1101205.1000000001</v>
      </c>
      <c r="I187" s="193">
        <f t="shared" si="147"/>
        <v>1211325.6100000001</v>
      </c>
      <c r="J187" s="193">
        <v>1355360.1140200002</v>
      </c>
      <c r="K187" s="194">
        <f>K186+K132</f>
        <v>2203029.33</v>
      </c>
      <c r="L187" s="194"/>
      <c r="M187" s="194"/>
      <c r="N187" s="194">
        <f t="shared" ref="N187" si="148">N186+N132</f>
        <v>0</v>
      </c>
      <c r="O187" s="194">
        <f>O186+O132</f>
        <v>524167.64</v>
      </c>
      <c r="P187" s="194">
        <f t="shared" ref="P187:W187" si="149">P186+P132</f>
        <v>2553496.0699999998</v>
      </c>
      <c r="Q187" s="194">
        <f t="shared" si="149"/>
        <v>3031986.6393000004</v>
      </c>
      <c r="R187" s="194">
        <f t="shared" si="149"/>
        <v>8269012.7992999982</v>
      </c>
      <c r="S187" s="194">
        <f t="shared" si="149"/>
        <v>550757.6100000001</v>
      </c>
      <c r="T187" s="194">
        <f t="shared" si="149"/>
        <v>170.36</v>
      </c>
      <c r="U187" s="194">
        <f t="shared" si="149"/>
        <v>8815296.339300001</v>
      </c>
      <c r="V187" s="194">
        <f t="shared" si="149"/>
        <v>7194041.1353910007</v>
      </c>
      <c r="W187" s="194">
        <f t="shared" si="149"/>
        <v>7669307.8151909988</v>
      </c>
      <c r="X187" s="80"/>
      <c r="Y187" s="194"/>
      <c r="Z187" s="80"/>
      <c r="AA187" s="194"/>
      <c r="AB187" s="194"/>
      <c r="AC187" s="194"/>
      <c r="AD187" s="194"/>
      <c r="AE187" s="194">
        <f>AE186+AE132</f>
        <v>238199.19299999997</v>
      </c>
      <c r="AF187" s="194"/>
      <c r="AG187" s="194">
        <f>AG186+AG132</f>
        <v>401509.41299999994</v>
      </c>
    </row>
    <row r="188" spans="1:33" ht="13.5" x14ac:dyDescent="0.25">
      <c r="A188" s="190"/>
      <c r="B188" s="190"/>
      <c r="C188" s="195"/>
      <c r="D188" s="192"/>
      <c r="E188" s="196" t="e">
        <f>E186+#REF!</f>
        <v>#REF!</v>
      </c>
      <c r="F188" s="196"/>
      <c r="G188" s="196"/>
      <c r="H188" s="196"/>
      <c r="I188" s="196"/>
      <c r="J188" s="196"/>
      <c r="K188" s="196"/>
      <c r="L188" s="197"/>
      <c r="M188" s="198"/>
      <c r="N188" s="198" t="e">
        <f>N186+#REF!</f>
        <v>#REF!</v>
      </c>
      <c r="O188" s="196">
        <f>O187*12</f>
        <v>6290011.6799999997</v>
      </c>
      <c r="P188" s="196"/>
      <c r="Q188" s="196"/>
      <c r="R188" s="199"/>
      <c r="S188" s="196">
        <f>R187+S187</f>
        <v>8819770.4092999976</v>
      </c>
      <c r="T188" s="196"/>
      <c r="U188" s="196"/>
      <c r="V188" s="199"/>
      <c r="W188" s="196"/>
      <c r="X188" s="80"/>
      <c r="Y188" s="196"/>
      <c r="Z188" s="80"/>
      <c r="AA188" s="200"/>
      <c r="AB188" s="200"/>
      <c r="AC188" s="200"/>
      <c r="AE188" s="196"/>
      <c r="AG188" s="196"/>
    </row>
    <row r="189" spans="1:33" ht="13.5" x14ac:dyDescent="0.25">
      <c r="A189" s="201"/>
      <c r="B189" s="201"/>
      <c r="C189" s="202"/>
      <c r="D189" s="203"/>
      <c r="E189" s="204"/>
      <c r="F189" s="204"/>
      <c r="G189" s="204"/>
      <c r="H189" s="204"/>
      <c r="I189" s="204"/>
      <c r="J189" s="204"/>
      <c r="K189" s="204"/>
      <c r="L189" s="206"/>
      <c r="M189" s="205"/>
      <c r="N189" s="205"/>
      <c r="O189" s="204"/>
      <c r="P189" s="204"/>
      <c r="Q189" s="204"/>
      <c r="R189" s="204"/>
      <c r="S189" s="204"/>
      <c r="T189" s="204"/>
      <c r="U189" s="204"/>
      <c r="W189" s="204"/>
      <c r="X189" s="204"/>
      <c r="Y189" s="204"/>
      <c r="Z189" s="204"/>
      <c r="AA189" s="204"/>
      <c r="AB189" s="204"/>
      <c r="AC189" s="204"/>
      <c r="AE189" s="204"/>
      <c r="AG189" s="204"/>
    </row>
    <row r="190" spans="1:33" ht="13.5" x14ac:dyDescent="0.25">
      <c r="A190" s="201"/>
      <c r="B190" s="201"/>
      <c r="C190" s="202" t="s">
        <v>177</v>
      </c>
      <c r="D190" s="206"/>
      <c r="E190" s="206"/>
      <c r="F190" s="206"/>
      <c r="G190" s="206"/>
      <c r="H190" s="206"/>
      <c r="I190" s="206"/>
      <c r="J190" s="206"/>
      <c r="K190" s="206">
        <f>K113+K114+K115+K116+K142+K150+K159+K168+K175+K184</f>
        <v>111507.56999999998</v>
      </c>
      <c r="L190" s="206"/>
      <c r="M190" s="206"/>
      <c r="N190" s="206">
        <f t="shared" ref="N190:W190" si="150">N113+N114+N115+N116+N142+N150+N159+N168+N175+N184</f>
        <v>0</v>
      </c>
      <c r="O190" s="206">
        <f t="shared" si="150"/>
        <v>0</v>
      </c>
      <c r="P190" s="206">
        <f t="shared" si="150"/>
        <v>137030.40000000005</v>
      </c>
      <c r="Q190" s="206">
        <f t="shared" si="150"/>
        <v>93666.358800000016</v>
      </c>
      <c r="R190" s="206">
        <f t="shared" si="150"/>
        <v>342204.32879999996</v>
      </c>
      <c r="S190" s="206">
        <f t="shared" si="150"/>
        <v>27876.87</v>
      </c>
      <c r="T190" s="206"/>
      <c r="U190" s="206">
        <f>U113+U114+U115+U116+U142+U150+U159+U168+U175+U184</f>
        <v>370081.19879999995</v>
      </c>
      <c r="V190" s="206">
        <f t="shared" si="150"/>
        <v>297717.76605599996</v>
      </c>
      <c r="W190" s="206">
        <f t="shared" si="150"/>
        <v>321970.64295599994</v>
      </c>
      <c r="X190" s="206"/>
      <c r="Y190" s="206"/>
      <c r="Z190" s="206"/>
      <c r="AA190" s="206"/>
      <c r="AB190" s="206"/>
      <c r="AC190" s="206"/>
      <c r="AE190" s="206"/>
      <c r="AG190" s="206"/>
    </row>
    <row r="191" spans="1:33" ht="13.5" x14ac:dyDescent="0.25">
      <c r="A191" s="201"/>
      <c r="B191" s="207"/>
      <c r="C191" s="202" t="s">
        <v>178</v>
      </c>
      <c r="D191" s="205"/>
      <c r="E191" s="206"/>
      <c r="F191" s="206"/>
      <c r="G191" s="206"/>
      <c r="H191" s="206"/>
      <c r="I191" s="206"/>
      <c r="J191" s="206"/>
      <c r="K191" s="206">
        <f>K187-K190</f>
        <v>2091521.76</v>
      </c>
      <c r="L191" s="206"/>
      <c r="M191" s="206"/>
      <c r="N191" s="206">
        <f t="shared" ref="N191:W191" si="151">N187-N190</f>
        <v>0</v>
      </c>
      <c r="O191" s="206">
        <f t="shared" si="151"/>
        <v>524167.64</v>
      </c>
      <c r="P191" s="206">
        <f t="shared" si="151"/>
        <v>2416465.67</v>
      </c>
      <c r="Q191" s="206">
        <f t="shared" si="151"/>
        <v>2938320.2805000003</v>
      </c>
      <c r="R191" s="206">
        <f t="shared" si="151"/>
        <v>7926808.470499998</v>
      </c>
      <c r="S191" s="206">
        <f t="shared" si="151"/>
        <v>522880.74000000011</v>
      </c>
      <c r="T191" s="206"/>
      <c r="U191" s="206">
        <f t="shared" si="151"/>
        <v>8445215.1405000016</v>
      </c>
      <c r="V191" s="206">
        <f t="shared" si="151"/>
        <v>6896323.3693350004</v>
      </c>
      <c r="W191" s="206">
        <f t="shared" si="151"/>
        <v>7347337.172234999</v>
      </c>
      <c r="X191" s="206"/>
      <c r="Y191" s="206"/>
      <c r="Z191" s="206"/>
      <c r="AA191" s="206"/>
      <c r="AB191" s="206"/>
      <c r="AC191" s="206"/>
      <c r="AE191" s="206"/>
      <c r="AF191" s="85"/>
      <c r="AG191" s="206"/>
    </row>
    <row r="192" spans="1:33" ht="13.5" x14ac:dyDescent="0.25">
      <c r="A192" s="201"/>
      <c r="B192" s="207"/>
      <c r="C192" s="202" t="s">
        <v>214</v>
      </c>
      <c r="D192" s="205"/>
      <c r="E192" s="206"/>
      <c r="F192" s="206"/>
      <c r="G192" s="206"/>
      <c r="H192" s="206"/>
      <c r="I192" s="206"/>
      <c r="J192" s="206"/>
      <c r="K192" s="206">
        <f>SUM(K190:K191)</f>
        <v>2203029.33</v>
      </c>
      <c r="L192" s="206">
        <f t="shared" ref="L192:W192" si="152">SUM(L190:L191)</f>
        <v>0</v>
      </c>
      <c r="M192" s="206">
        <f t="shared" si="152"/>
        <v>0</v>
      </c>
      <c r="N192" s="206">
        <f t="shared" si="152"/>
        <v>0</v>
      </c>
      <c r="O192" s="206">
        <f t="shared" si="152"/>
        <v>524167.64</v>
      </c>
      <c r="P192" s="206">
        <f t="shared" si="152"/>
        <v>2553496.0699999998</v>
      </c>
      <c r="Q192" s="206">
        <f t="shared" si="152"/>
        <v>3031986.6393000004</v>
      </c>
      <c r="R192" s="206">
        <f t="shared" si="152"/>
        <v>8269012.7992999982</v>
      </c>
      <c r="S192" s="206">
        <f t="shared" si="152"/>
        <v>550757.6100000001</v>
      </c>
      <c r="T192" s="206">
        <f t="shared" si="152"/>
        <v>0</v>
      </c>
      <c r="U192" s="206">
        <f t="shared" si="152"/>
        <v>8815296.339300001</v>
      </c>
      <c r="V192" s="206">
        <f t="shared" si="152"/>
        <v>7194041.1353910007</v>
      </c>
      <c r="W192" s="206">
        <f t="shared" si="152"/>
        <v>7669307.8151909988</v>
      </c>
      <c r="X192" s="208"/>
      <c r="Y192" s="208"/>
      <c r="Z192" s="208"/>
      <c r="AA192" s="208"/>
      <c r="AB192" s="208"/>
      <c r="AC192" s="208"/>
      <c r="AE192" s="208"/>
      <c r="AF192" s="209"/>
      <c r="AG192" s="208"/>
    </row>
    <row r="193" spans="3:33" ht="13.5" x14ac:dyDescent="0.25">
      <c r="C193" s="202"/>
      <c r="D193" s="206"/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G193" s="206"/>
    </row>
    <row r="194" spans="3:33" ht="13.5" x14ac:dyDescent="0.25">
      <c r="C194" s="202" t="s">
        <v>215</v>
      </c>
      <c r="D194" s="206"/>
      <c r="K194" s="206"/>
      <c r="L194" s="206"/>
      <c r="M194" s="206"/>
      <c r="N194" s="206"/>
      <c r="O194" s="206"/>
      <c r="P194" s="206"/>
      <c r="Q194" s="206"/>
      <c r="R194" s="206"/>
      <c r="S194" s="206"/>
      <c r="T194" s="206"/>
      <c r="U194" s="206"/>
      <c r="W194" s="206"/>
      <c r="X194" s="206"/>
      <c r="Y194" s="206"/>
      <c r="Z194" s="206"/>
      <c r="AA194" s="206"/>
      <c r="AB194" s="206"/>
      <c r="AC194" s="206"/>
      <c r="AE194" s="206"/>
      <c r="AG194" s="206"/>
    </row>
    <row r="195" spans="3:33" ht="13.5" x14ac:dyDescent="0.25">
      <c r="C195" s="202" t="s">
        <v>177</v>
      </c>
      <c r="D195" s="206"/>
      <c r="K195" s="206">
        <f>K190*3</f>
        <v>334522.70999999996</v>
      </c>
      <c r="L195" s="206">
        <f t="shared" ref="L195:W196" si="153">L190*3</f>
        <v>0</v>
      </c>
      <c r="M195" s="206">
        <f t="shared" si="153"/>
        <v>0</v>
      </c>
      <c r="N195" s="206">
        <f t="shared" si="153"/>
        <v>0</v>
      </c>
      <c r="O195" s="206">
        <f t="shared" si="153"/>
        <v>0</v>
      </c>
      <c r="P195" s="206">
        <f t="shared" si="153"/>
        <v>411091.20000000019</v>
      </c>
      <c r="Q195" s="206">
        <f t="shared" si="153"/>
        <v>280999.07640000002</v>
      </c>
      <c r="R195" s="206">
        <f t="shared" si="153"/>
        <v>1026612.9863999998</v>
      </c>
      <c r="S195" s="206">
        <f t="shared" si="153"/>
        <v>83630.61</v>
      </c>
      <c r="T195" s="206">
        <f t="shared" si="153"/>
        <v>0</v>
      </c>
      <c r="U195" s="206">
        <f>U190*3</f>
        <v>1110243.5963999999</v>
      </c>
      <c r="V195" s="206">
        <f t="shared" si="153"/>
        <v>893153.29816799983</v>
      </c>
      <c r="W195" s="206">
        <f t="shared" si="153"/>
        <v>965911.92886799981</v>
      </c>
      <c r="X195" s="206"/>
      <c r="Y195" s="206"/>
      <c r="Z195" s="206"/>
      <c r="AA195" s="206"/>
      <c r="AB195" s="206"/>
      <c r="AC195" s="206"/>
      <c r="AE195" s="206"/>
      <c r="AG195" s="206"/>
    </row>
    <row r="196" spans="3:33" ht="13.5" x14ac:dyDescent="0.25">
      <c r="C196" s="202" t="s">
        <v>178</v>
      </c>
      <c r="K196" s="206">
        <f>K191*3</f>
        <v>6274565.2800000003</v>
      </c>
      <c r="L196" s="206">
        <f t="shared" si="153"/>
        <v>0</v>
      </c>
      <c r="M196" s="206">
        <f t="shared" si="153"/>
        <v>0</v>
      </c>
      <c r="N196" s="206">
        <f t="shared" si="153"/>
        <v>0</v>
      </c>
      <c r="O196" s="206">
        <f t="shared" si="153"/>
        <v>1572502.92</v>
      </c>
      <c r="P196" s="206">
        <f t="shared" si="153"/>
        <v>7249397.0099999998</v>
      </c>
      <c r="Q196" s="206">
        <f t="shared" si="153"/>
        <v>8814960.841500001</v>
      </c>
      <c r="R196" s="206">
        <f t="shared" si="153"/>
        <v>23780425.411499992</v>
      </c>
      <c r="S196" s="206">
        <f t="shared" si="153"/>
        <v>1568642.2200000002</v>
      </c>
      <c r="T196" s="206">
        <f t="shared" si="153"/>
        <v>0</v>
      </c>
      <c r="U196" s="206">
        <f t="shared" si="153"/>
        <v>25335645.421500005</v>
      </c>
      <c r="V196" s="206">
        <f t="shared" si="153"/>
        <v>20688970.108005002</v>
      </c>
      <c r="W196" s="206">
        <f t="shared" si="153"/>
        <v>22042011.516704999</v>
      </c>
      <c r="X196" s="206"/>
      <c r="Y196" s="206"/>
      <c r="Z196" s="206"/>
      <c r="AA196" s="206"/>
      <c r="AB196" s="206"/>
      <c r="AC196" s="206"/>
      <c r="AE196" s="206"/>
      <c r="AG196" s="206"/>
    </row>
    <row r="197" spans="3:33" ht="13.5" x14ac:dyDescent="0.25">
      <c r="C197" s="219" t="s">
        <v>216</v>
      </c>
      <c r="D197" s="220"/>
      <c r="E197" s="220"/>
      <c r="F197" s="220"/>
      <c r="G197" s="220"/>
      <c r="H197" s="220"/>
      <c r="I197" s="220"/>
      <c r="J197" s="220"/>
      <c r="K197" s="221">
        <f>SUM(K195:K196)</f>
        <v>6609087.9900000002</v>
      </c>
      <c r="L197" s="221">
        <f t="shared" ref="L197:W197" si="154">SUM(L195:L196)</f>
        <v>0</v>
      </c>
      <c r="M197" s="221">
        <f t="shared" si="154"/>
        <v>0</v>
      </c>
      <c r="N197" s="221">
        <f t="shared" si="154"/>
        <v>0</v>
      </c>
      <c r="O197" s="221">
        <f t="shared" si="154"/>
        <v>1572502.92</v>
      </c>
      <c r="P197" s="221">
        <f t="shared" si="154"/>
        <v>7660488.21</v>
      </c>
      <c r="Q197" s="221">
        <f t="shared" si="154"/>
        <v>9095959.9179000016</v>
      </c>
      <c r="R197" s="221">
        <f t="shared" si="154"/>
        <v>24807038.397899993</v>
      </c>
      <c r="S197" s="221">
        <f t="shared" si="154"/>
        <v>1652272.8300000003</v>
      </c>
      <c r="T197" s="221">
        <f t="shared" si="154"/>
        <v>0</v>
      </c>
      <c r="U197" s="221">
        <f t="shared" si="154"/>
        <v>26445889.017900005</v>
      </c>
      <c r="V197" s="221">
        <f t="shared" si="154"/>
        <v>21582123.406173002</v>
      </c>
      <c r="W197" s="221">
        <f t="shared" si="154"/>
        <v>23007923.445572998</v>
      </c>
      <c r="Y197" s="206"/>
    </row>
    <row r="198" spans="3:33" x14ac:dyDescent="0.2">
      <c r="Y198" s="206"/>
    </row>
    <row r="199" spans="3:33" x14ac:dyDescent="0.2">
      <c r="K199" s="206">
        <f>K187*3</f>
        <v>6609087.9900000002</v>
      </c>
      <c r="L199" s="206">
        <f t="shared" ref="L199:W199" si="155">L187*3</f>
        <v>0</v>
      </c>
      <c r="M199" s="206">
        <f t="shared" si="155"/>
        <v>0</v>
      </c>
      <c r="N199" s="206">
        <f t="shared" si="155"/>
        <v>0</v>
      </c>
      <c r="O199" s="206">
        <f t="shared" si="155"/>
        <v>1572502.92</v>
      </c>
      <c r="P199" s="206">
        <f t="shared" si="155"/>
        <v>7660488.209999999</v>
      </c>
      <c r="Q199" s="206">
        <f t="shared" si="155"/>
        <v>9095959.9179000016</v>
      </c>
      <c r="R199" s="206">
        <f t="shared" si="155"/>
        <v>24807038.397899993</v>
      </c>
      <c r="S199" s="206">
        <f t="shared" si="155"/>
        <v>1652272.8300000003</v>
      </c>
      <c r="T199" s="206">
        <f t="shared" si="155"/>
        <v>511.08000000000004</v>
      </c>
      <c r="U199" s="206">
        <f t="shared" si="155"/>
        <v>26445889.017900005</v>
      </c>
      <c r="V199" s="206">
        <f t="shared" si="155"/>
        <v>21582123.406173002</v>
      </c>
      <c r="W199" s="206">
        <f t="shared" si="155"/>
        <v>23007923.445572995</v>
      </c>
      <c r="X199" s="206"/>
      <c r="Y199" s="206"/>
      <c r="Z199" s="206"/>
      <c r="AA199" s="206"/>
      <c r="AB199" s="206"/>
      <c r="AC199" s="206"/>
      <c r="AE199" s="206"/>
      <c r="AG199" s="206"/>
    </row>
    <row r="200" spans="3:33" x14ac:dyDescent="0.2">
      <c r="K200" s="206">
        <f>K199-K197</f>
        <v>0</v>
      </c>
      <c r="L200" s="206">
        <f t="shared" ref="L200:W200" si="156">L199-L197</f>
        <v>0</v>
      </c>
      <c r="M200" s="206">
        <f t="shared" si="156"/>
        <v>0</v>
      </c>
      <c r="N200" s="206">
        <f t="shared" si="156"/>
        <v>0</v>
      </c>
      <c r="O200" s="206">
        <f t="shared" si="156"/>
        <v>0</v>
      </c>
      <c r="P200" s="206">
        <f t="shared" si="156"/>
        <v>0</v>
      </c>
      <c r="Q200" s="206">
        <f t="shared" si="156"/>
        <v>0</v>
      </c>
      <c r="R200" s="206">
        <f t="shared" si="156"/>
        <v>0</v>
      </c>
      <c r="S200" s="206">
        <f t="shared" si="156"/>
        <v>0</v>
      </c>
      <c r="T200" s="206">
        <f t="shared" si="156"/>
        <v>511.08000000000004</v>
      </c>
      <c r="U200" s="206">
        <f t="shared" si="156"/>
        <v>0</v>
      </c>
      <c r="V200" s="206">
        <f t="shared" si="156"/>
        <v>0</v>
      </c>
      <c r="W200" s="206">
        <f t="shared" si="156"/>
        <v>0</v>
      </c>
    </row>
    <row r="202" spans="3:33" x14ac:dyDescent="0.2">
      <c r="K202" s="206">
        <f>ROUND(K187*2/12,2)</f>
        <v>367171.56</v>
      </c>
      <c r="Q202" s="210"/>
    </row>
    <row r="203" spans="3:33" x14ac:dyDescent="0.2">
      <c r="K203" s="206">
        <f>K202*3</f>
        <v>1101514.68</v>
      </c>
      <c r="Q203" s="210"/>
    </row>
    <row r="204" spans="3:33" x14ac:dyDescent="0.2">
      <c r="L204" s="85"/>
    </row>
    <row r="205" spans="3:33" x14ac:dyDescent="0.2">
      <c r="O205" s="211"/>
      <c r="P205" s="211"/>
      <c r="Q205" s="211"/>
      <c r="R205" s="212"/>
      <c r="S205" s="211"/>
      <c r="T205" s="211"/>
      <c r="U205" s="211"/>
      <c r="W205" s="211"/>
      <c r="X205" s="211"/>
      <c r="Y205" s="211"/>
      <c r="Z205" s="211"/>
      <c r="AA205" s="211"/>
      <c r="AB205" s="211"/>
      <c r="AC205" s="211"/>
      <c r="AE205" s="211"/>
      <c r="AG205" s="211"/>
    </row>
    <row r="209" spans="11:20" x14ac:dyDescent="0.2">
      <c r="K209" s="85">
        <f>K187/'26.08.22'!K187</f>
        <v>1.0473299652607224</v>
      </c>
    </row>
    <row r="212" spans="11:20" x14ac:dyDescent="0.2">
      <c r="P212" s="85"/>
      <c r="T212" s="85"/>
    </row>
  </sheetData>
  <mergeCells count="5">
    <mergeCell ref="A3:C3"/>
    <mergeCell ref="E5:L5"/>
    <mergeCell ref="L6:M6"/>
    <mergeCell ref="O7:R7"/>
    <mergeCell ref="O8:R8"/>
  </mergeCells>
  <pageMargins left="0.31496062992125984" right="0.31496062992125984" top="0.35433070866141736" bottom="0.35433070866141736" header="0.31496062992125984" footer="0.31496062992125984"/>
  <pageSetup paperSize="9" scale="38" fitToHeight="4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212"/>
  <sheetViews>
    <sheetView topLeftCell="A176" workbookViewId="0">
      <selection activeCell="P212" sqref="P212"/>
    </sheetView>
  </sheetViews>
  <sheetFormatPr defaultRowHeight="12.75" x14ac:dyDescent="0.2"/>
  <cols>
    <col min="1" max="1" width="26.28515625" customWidth="1"/>
    <col min="2" max="2" width="4.140625" customWidth="1"/>
    <col min="3" max="3" width="28.7109375" customWidth="1"/>
    <col min="4" max="4" width="11.28515625" bestFit="1" customWidth="1"/>
    <col min="5" max="5" width="0.140625" hidden="1" customWidth="1"/>
    <col min="6" max="6" width="13.7109375" hidden="1" customWidth="1"/>
    <col min="7" max="7" width="10.140625" hidden="1" customWidth="1"/>
    <col min="8" max="8" width="10.5703125" hidden="1" customWidth="1"/>
    <col min="9" max="9" width="12" hidden="1" customWidth="1"/>
    <col min="10" max="10" width="0.140625" customWidth="1"/>
    <col min="11" max="11" width="12.5703125" style="85" customWidth="1"/>
    <col min="12" max="12" width="17.7109375" customWidth="1"/>
    <col min="13" max="13" width="6" customWidth="1"/>
    <col min="14" max="14" width="8.42578125" hidden="1" customWidth="1"/>
    <col min="15" max="15" width="12.28515625" bestFit="1" customWidth="1"/>
    <col min="16" max="16" width="16.28515625" customWidth="1"/>
    <col min="17" max="17" width="13.5703125" customWidth="1"/>
    <col min="18" max="18" width="13" style="38" customWidth="1"/>
    <col min="19" max="19" width="12.28515625" bestFit="1" customWidth="1"/>
    <col min="20" max="20" width="14" customWidth="1"/>
    <col min="21" max="21" width="14.85546875" customWidth="1"/>
    <col min="22" max="22" width="13" customWidth="1"/>
    <col min="23" max="23" width="12.28515625" bestFit="1" customWidth="1"/>
    <col min="24" max="24" width="12.28515625" customWidth="1"/>
    <col min="25" max="25" width="15.85546875" bestFit="1" customWidth="1"/>
    <col min="26" max="26" width="12.28515625" customWidth="1"/>
    <col min="27" max="27" width="14.28515625" customWidth="1"/>
    <col min="28" max="29" width="12.28515625" customWidth="1"/>
    <col min="30" max="30" width="14.140625" customWidth="1"/>
    <col min="31" max="31" width="12.28515625" bestFit="1" customWidth="1"/>
    <col min="32" max="32" width="14.140625" customWidth="1"/>
    <col min="33" max="33" width="13.42578125" bestFit="1" customWidth="1"/>
    <col min="34" max="34" width="10.140625" bestFit="1" customWidth="1"/>
  </cols>
  <sheetData>
    <row r="1" spans="1:34" ht="15.75" x14ac:dyDescent="0.25">
      <c r="A1" s="1" t="s">
        <v>0</v>
      </c>
      <c r="B1" s="2"/>
      <c r="C1" s="1"/>
      <c r="D1" s="1"/>
      <c r="E1" s="3"/>
      <c r="F1" s="4"/>
      <c r="G1" s="5"/>
      <c r="H1" s="5"/>
      <c r="I1" s="5"/>
      <c r="J1" s="5"/>
      <c r="K1" s="223"/>
      <c r="L1" s="6"/>
      <c r="M1" s="7"/>
      <c r="N1" s="1"/>
      <c r="O1" s="1"/>
      <c r="P1" s="7" t="s">
        <v>1</v>
      </c>
      <c r="Q1" s="8"/>
      <c r="R1" s="9"/>
      <c r="S1" s="1"/>
      <c r="T1" s="7"/>
      <c r="U1" s="1"/>
      <c r="W1" s="1"/>
      <c r="X1" s="1"/>
      <c r="Y1" s="1"/>
      <c r="Z1" s="1"/>
      <c r="AA1" s="1"/>
      <c r="AB1" s="1"/>
      <c r="AC1" s="1"/>
      <c r="AE1" s="1"/>
      <c r="AG1" s="1"/>
    </row>
    <row r="2" spans="1:34" x14ac:dyDescent="0.2">
      <c r="A2" s="7" t="s">
        <v>2</v>
      </c>
      <c r="B2" s="2"/>
      <c r="C2" s="7"/>
      <c r="D2" s="1"/>
      <c r="E2" s="3"/>
      <c r="F2" s="4"/>
      <c r="G2" s="4"/>
      <c r="H2" s="4"/>
      <c r="I2" s="4"/>
      <c r="J2" s="4"/>
      <c r="K2" s="224"/>
      <c r="L2" s="10"/>
      <c r="M2" s="1"/>
      <c r="N2" s="1"/>
      <c r="O2" s="1"/>
      <c r="P2" s="11" t="s">
        <v>3</v>
      </c>
      <c r="Q2" s="12"/>
      <c r="R2" s="13"/>
      <c r="S2" s="1"/>
      <c r="T2" s="11"/>
      <c r="U2" s="1"/>
      <c r="W2" s="1"/>
      <c r="X2" s="1"/>
      <c r="Y2" s="1"/>
      <c r="Z2" s="1"/>
      <c r="AA2" s="1"/>
      <c r="AB2" s="1"/>
      <c r="AC2" s="1"/>
      <c r="AE2" s="1"/>
      <c r="AG2" s="1"/>
    </row>
    <row r="3" spans="1:34" ht="15.75" x14ac:dyDescent="0.2">
      <c r="A3" s="463" t="s">
        <v>4</v>
      </c>
      <c r="B3" s="464"/>
      <c r="C3" s="464"/>
      <c r="D3" s="14"/>
      <c r="E3" s="15"/>
      <c r="F3" s="16"/>
      <c r="G3" s="16"/>
      <c r="H3" s="16"/>
      <c r="I3" s="16"/>
      <c r="J3" s="16"/>
      <c r="K3" s="225"/>
      <c r="L3" s="17"/>
      <c r="M3" s="18"/>
      <c r="N3" s="19"/>
      <c r="O3" s="20"/>
      <c r="P3" s="21" t="s">
        <v>5</v>
      </c>
      <c r="Q3" s="22"/>
      <c r="R3" s="23"/>
      <c r="S3" s="20"/>
      <c r="T3" s="21"/>
      <c r="U3" s="20"/>
      <c r="W3" s="20"/>
      <c r="X3" s="20"/>
      <c r="Y3" s="20"/>
      <c r="Z3" s="20"/>
      <c r="AA3" s="20"/>
      <c r="AB3" s="20"/>
      <c r="AC3" s="20"/>
      <c r="AE3" s="20"/>
      <c r="AG3" s="20"/>
    </row>
    <row r="4" spans="1:34" ht="9.75" customHeight="1" x14ac:dyDescent="0.2">
      <c r="A4" s="24"/>
      <c r="B4" s="25"/>
      <c r="C4" s="233"/>
      <c r="D4" s="14"/>
      <c r="E4" s="15"/>
      <c r="F4" s="16"/>
      <c r="G4" s="16"/>
      <c r="H4" s="16"/>
      <c r="I4" s="16"/>
      <c r="J4" s="16"/>
      <c r="K4" s="225"/>
      <c r="L4" s="17"/>
      <c r="M4" s="18"/>
      <c r="N4" s="19"/>
      <c r="O4" s="20"/>
      <c r="P4" s="21"/>
      <c r="Q4" s="22"/>
      <c r="R4" s="23"/>
      <c r="S4" s="20"/>
      <c r="T4" s="21"/>
      <c r="U4" s="20"/>
      <c r="W4" s="20"/>
      <c r="X4" s="20"/>
      <c r="Y4" s="20"/>
      <c r="Z4" s="20"/>
      <c r="AA4" s="20"/>
      <c r="AB4" s="20"/>
      <c r="AC4" s="20"/>
      <c r="AE4" s="20"/>
      <c r="AG4" s="20"/>
    </row>
    <row r="5" spans="1:34" ht="19.5" hidden="1" x14ac:dyDescent="0.2">
      <c r="A5" s="19"/>
      <c r="B5" s="25"/>
      <c r="C5" s="27"/>
      <c r="D5" s="28"/>
      <c r="E5" s="465"/>
      <c r="F5" s="465"/>
      <c r="G5" s="465"/>
      <c r="H5" s="465"/>
      <c r="I5" s="465"/>
      <c r="J5" s="465"/>
      <c r="K5" s="465"/>
      <c r="L5" s="466"/>
      <c r="M5" s="19"/>
      <c r="N5" s="19"/>
      <c r="P5" s="29"/>
      <c r="Q5" s="30"/>
      <c r="R5" s="31"/>
      <c r="T5" s="29"/>
    </row>
    <row r="6" spans="1:34" ht="19.5" x14ac:dyDescent="0.2">
      <c r="A6" s="19"/>
      <c r="B6" s="25"/>
      <c r="C6" s="32"/>
      <c r="D6" s="28"/>
      <c r="E6" s="15"/>
      <c r="F6" s="16"/>
      <c r="G6" s="16"/>
      <c r="H6" s="16"/>
      <c r="I6" s="16"/>
      <c r="J6" s="16"/>
      <c r="K6" s="225"/>
      <c r="L6" s="465"/>
      <c r="M6" s="466"/>
      <c r="N6" s="19"/>
      <c r="O6" s="33"/>
      <c r="P6" s="33" t="s">
        <v>6</v>
      </c>
      <c r="Q6" s="33"/>
      <c r="R6" s="31"/>
      <c r="S6" s="33"/>
      <c r="T6" s="33"/>
      <c r="U6" s="33"/>
      <c r="W6" s="33"/>
      <c r="X6" s="33"/>
      <c r="Y6" s="33"/>
      <c r="Z6" s="33"/>
      <c r="AA6" s="33"/>
      <c r="AB6" s="33"/>
      <c r="AC6" s="33"/>
      <c r="AE6" s="33"/>
      <c r="AG6" s="33"/>
    </row>
    <row r="7" spans="1:34" ht="15.75" customHeight="1" x14ac:dyDescent="0.25">
      <c r="A7" s="34" t="s">
        <v>232</v>
      </c>
      <c r="B7" s="35"/>
      <c r="C7" s="34"/>
      <c r="D7" s="35"/>
      <c r="E7" s="36"/>
      <c r="F7" s="36"/>
      <c r="G7" s="36"/>
      <c r="H7" s="36"/>
      <c r="I7" s="36"/>
      <c r="J7" s="36"/>
      <c r="K7" s="226"/>
      <c r="L7" s="37"/>
      <c r="M7" s="19"/>
      <c r="N7" s="19"/>
      <c r="O7" s="467" t="s">
        <v>188</v>
      </c>
      <c r="P7" s="468"/>
      <c r="Q7" s="468"/>
      <c r="R7" s="468"/>
      <c r="T7" s="38"/>
    </row>
    <row r="8" spans="1:34" ht="19.5" customHeight="1" x14ac:dyDescent="0.2">
      <c r="A8" s="19"/>
      <c r="B8" s="25"/>
      <c r="C8" s="27"/>
      <c r="D8" s="39"/>
      <c r="E8" s="40"/>
      <c r="F8" s="41"/>
      <c r="G8" s="41"/>
      <c r="H8" s="41"/>
      <c r="I8" s="41"/>
      <c r="J8" s="41"/>
      <c r="K8" s="227"/>
      <c r="L8" s="42"/>
      <c r="M8" s="19"/>
      <c r="N8" s="19"/>
      <c r="O8" s="467"/>
      <c r="P8" s="468"/>
      <c r="Q8" s="468"/>
      <c r="R8" s="468"/>
      <c r="T8" s="214"/>
    </row>
    <row r="9" spans="1:34" ht="13.5" x14ac:dyDescent="0.25">
      <c r="A9" s="43"/>
      <c r="B9" s="44"/>
      <c r="C9" s="45"/>
      <c r="D9" s="43"/>
      <c r="E9" s="46"/>
      <c r="F9" s="47"/>
      <c r="G9" s="47"/>
      <c r="H9" s="47"/>
      <c r="I9" s="47"/>
      <c r="J9" s="47"/>
      <c r="K9" s="47"/>
      <c r="L9" s="48"/>
      <c r="M9" s="43"/>
      <c r="N9" s="43"/>
      <c r="O9" s="43"/>
      <c r="P9" s="43"/>
      <c r="Q9" s="44"/>
      <c r="R9" s="213" t="s">
        <v>179</v>
      </c>
      <c r="S9" s="43"/>
      <c r="T9" s="43"/>
      <c r="U9" s="43"/>
      <c r="W9" s="43"/>
      <c r="X9" s="49"/>
      <c r="Y9" s="43"/>
      <c r="Z9" s="49"/>
      <c r="AA9" s="49"/>
      <c r="AB9" s="49"/>
      <c r="AC9" s="49"/>
      <c r="AE9" s="43"/>
      <c r="AG9" s="43"/>
    </row>
    <row r="10" spans="1:34" ht="102" customHeight="1" x14ac:dyDescent="0.2">
      <c r="A10" s="50" t="s">
        <v>7</v>
      </c>
      <c r="B10" s="50" t="s">
        <v>8</v>
      </c>
      <c r="C10" s="50" t="s">
        <v>9</v>
      </c>
      <c r="D10" s="50" t="s">
        <v>10</v>
      </c>
      <c r="E10" s="50" t="s">
        <v>11</v>
      </c>
      <c r="F10" s="50" t="s">
        <v>11</v>
      </c>
      <c r="G10" s="50" t="s">
        <v>11</v>
      </c>
      <c r="H10" s="51" t="s">
        <v>12</v>
      </c>
      <c r="I10" s="50" t="s">
        <v>13</v>
      </c>
      <c r="J10" s="50"/>
      <c r="K10" s="228" t="s">
        <v>11</v>
      </c>
      <c r="L10" s="52" t="s">
        <v>14</v>
      </c>
      <c r="M10" s="53" t="s">
        <v>15</v>
      </c>
      <c r="N10" s="54" t="s">
        <v>16</v>
      </c>
      <c r="O10" s="55" t="s">
        <v>17</v>
      </c>
      <c r="P10" s="53" t="s">
        <v>18</v>
      </c>
      <c r="Q10" s="53" t="s">
        <v>19</v>
      </c>
      <c r="R10" s="56" t="s">
        <v>20</v>
      </c>
      <c r="S10" s="55" t="s">
        <v>21</v>
      </c>
      <c r="T10" s="53" t="s">
        <v>22</v>
      </c>
      <c r="U10" s="55" t="s">
        <v>20</v>
      </c>
      <c r="V10" s="56" t="s">
        <v>23</v>
      </c>
      <c r="W10" s="55" t="s">
        <v>24</v>
      </c>
      <c r="X10" s="57" t="s">
        <v>25</v>
      </c>
      <c r="Y10" s="55" t="s">
        <v>26</v>
      </c>
      <c r="Z10" s="57"/>
      <c r="AA10" s="57"/>
      <c r="AB10" s="57"/>
      <c r="AC10" s="57"/>
      <c r="AE10" s="55"/>
      <c r="AG10" s="55"/>
    </row>
    <row r="11" spans="1:34" ht="13.5" x14ac:dyDescent="0.2">
      <c r="A11" s="50" t="s">
        <v>27</v>
      </c>
      <c r="B11" s="50" t="s">
        <v>28</v>
      </c>
      <c r="C11" s="50" t="s">
        <v>29</v>
      </c>
      <c r="D11" s="50" t="s">
        <v>30</v>
      </c>
      <c r="E11" s="50"/>
      <c r="F11" s="50"/>
      <c r="G11" s="50"/>
      <c r="H11" s="50"/>
      <c r="I11" s="50"/>
      <c r="J11" s="50"/>
      <c r="K11" s="228" t="s">
        <v>31</v>
      </c>
      <c r="L11" s="52">
        <v>6</v>
      </c>
      <c r="M11" s="53">
        <v>7</v>
      </c>
      <c r="N11" s="54"/>
      <c r="O11" s="55">
        <v>8</v>
      </c>
      <c r="P11" s="53">
        <v>9</v>
      </c>
      <c r="Q11" s="53">
        <v>10</v>
      </c>
      <c r="R11" s="53">
        <v>11</v>
      </c>
      <c r="S11" s="55">
        <v>12</v>
      </c>
      <c r="T11" s="53">
        <v>13</v>
      </c>
      <c r="U11" s="55">
        <v>14</v>
      </c>
      <c r="V11" s="58">
        <v>15</v>
      </c>
      <c r="W11" s="55">
        <v>16</v>
      </c>
      <c r="X11" s="57"/>
      <c r="Y11" s="55"/>
      <c r="Z11" s="57"/>
      <c r="AA11" s="57"/>
      <c r="AB11" s="57"/>
      <c r="AC11" s="57"/>
      <c r="AE11" s="55"/>
      <c r="AG11" s="55"/>
    </row>
    <row r="12" spans="1:34" x14ac:dyDescent="0.2">
      <c r="A12" s="59" t="s">
        <v>32</v>
      </c>
      <c r="B12" s="60"/>
      <c r="C12" s="60"/>
      <c r="D12" s="60"/>
      <c r="E12" s="61"/>
      <c r="F12" s="62">
        <v>1.1000000000000001</v>
      </c>
      <c r="G12" s="62">
        <v>1.1000000000000001</v>
      </c>
      <c r="H12" s="62">
        <v>1.1000000000000001</v>
      </c>
      <c r="I12" s="62">
        <v>1.1000000000000001</v>
      </c>
      <c r="J12" s="62">
        <v>1.06</v>
      </c>
      <c r="K12" s="229"/>
      <c r="L12" s="63"/>
      <c r="M12" s="64"/>
      <c r="N12" s="64"/>
      <c r="O12" s="64"/>
      <c r="P12" s="65">
        <v>1.24</v>
      </c>
      <c r="Q12" s="66" t="s">
        <v>33</v>
      </c>
      <c r="R12" s="66"/>
      <c r="S12" s="64">
        <v>0.25</v>
      </c>
      <c r="T12" s="65"/>
      <c r="U12" s="64"/>
      <c r="V12" s="67"/>
      <c r="W12" s="64"/>
      <c r="X12" s="68"/>
      <c r="Y12" s="64"/>
      <c r="Z12" s="68"/>
      <c r="AA12" s="68"/>
      <c r="AB12" s="68"/>
      <c r="AC12" s="68"/>
      <c r="AE12" s="64"/>
      <c r="AG12" s="64"/>
    </row>
    <row r="13" spans="1:34" ht="15.75" customHeight="1" x14ac:dyDescent="0.2">
      <c r="A13" s="69"/>
      <c r="B13" s="70"/>
      <c r="C13" s="71" t="s">
        <v>34</v>
      </c>
      <c r="D13" s="72">
        <v>1</v>
      </c>
      <c r="E13" s="73">
        <v>12000</v>
      </c>
      <c r="F13" s="74">
        <f>ROUND(E13*F$12,2)</f>
        <v>13200</v>
      </c>
      <c r="G13" s="74">
        <f>F13*1.1*1.1</f>
        <v>15972.000000000004</v>
      </c>
      <c r="H13" s="74">
        <v>19740.75</v>
      </c>
      <c r="I13" s="74">
        <f>H13*$I$12</f>
        <v>21714.825000000001</v>
      </c>
      <c r="J13" s="74">
        <v>23017.714500000002</v>
      </c>
      <c r="K13" s="74">
        <v>33039.22</v>
      </c>
      <c r="L13" s="75" t="s">
        <v>35</v>
      </c>
      <c r="M13" s="76">
        <v>30</v>
      </c>
      <c r="N13" s="77"/>
      <c r="O13" s="78">
        <f>ROUND((K13*M13/100),2)</f>
        <v>9911.77</v>
      </c>
      <c r="P13" s="78">
        <f>ROUND(K13*P$12,2)</f>
        <v>40968.629999999997</v>
      </c>
      <c r="Q13" s="78">
        <f>K13*T13</f>
        <v>44272.554800000005</v>
      </c>
      <c r="R13" s="79">
        <f>K13+O13+P13+Q13</f>
        <v>128192.17480000001</v>
      </c>
      <c r="S13" s="78">
        <f>ROUND(K13*S$12,2)</f>
        <v>8259.81</v>
      </c>
      <c r="T13" s="78">
        <v>1.34</v>
      </c>
      <c r="U13" s="78">
        <f>K13+O13+P13+Q13+S13</f>
        <v>136451.98480000001</v>
      </c>
      <c r="V13" s="79">
        <f>R13*0.87</f>
        <v>111527.19207600001</v>
      </c>
      <c r="W13" s="78">
        <f>U13*0.87</f>
        <v>118713.22677600001</v>
      </c>
      <c r="X13" s="80">
        <v>3</v>
      </c>
      <c r="Y13" s="78">
        <v>3</v>
      </c>
      <c r="Z13" s="80">
        <f>X13-Y13</f>
        <v>0</v>
      </c>
      <c r="AA13" s="80">
        <f>K13*Z13</f>
        <v>0</v>
      </c>
      <c r="AB13" s="80">
        <f>K13*Y13</f>
        <v>99117.66</v>
      </c>
      <c r="AC13" s="80"/>
      <c r="AD13">
        <v>0.1</v>
      </c>
      <c r="AE13" s="78">
        <f>K13*AD13</f>
        <v>3303.9220000000005</v>
      </c>
      <c r="AF13">
        <v>0.2</v>
      </c>
      <c r="AG13" s="78">
        <f>AF13*K13</f>
        <v>6607.844000000001</v>
      </c>
    </row>
    <row r="14" spans="1:34" ht="16.5" hidden="1" customHeight="1" x14ac:dyDescent="0.2">
      <c r="A14" s="81"/>
      <c r="B14" s="82"/>
      <c r="C14" s="82" t="s">
        <v>36</v>
      </c>
      <c r="D14" s="72">
        <v>0</v>
      </c>
      <c r="E14" s="73">
        <v>11500</v>
      </c>
      <c r="F14" s="74">
        <f>ROUND(E14*F$12,2)</f>
        <v>12650</v>
      </c>
      <c r="G14" s="74">
        <f>F14*1.1*1.1+0.5</f>
        <v>15307.000000000004</v>
      </c>
      <c r="H14" s="74">
        <v>18918.22</v>
      </c>
      <c r="I14" s="74">
        <f>H14*$I$12</f>
        <v>20810.042000000001</v>
      </c>
      <c r="J14" s="74">
        <v>22058.644520000002</v>
      </c>
      <c r="K14" s="74"/>
      <c r="L14" s="75"/>
      <c r="M14" s="83"/>
      <c r="N14" s="84"/>
      <c r="O14" s="78">
        <f>ROUND((K14*M14/100),2)</f>
        <v>0</v>
      </c>
      <c r="P14" s="78">
        <f>ROUND(K14*P$12,2)</f>
        <v>0</v>
      </c>
      <c r="Q14" s="78">
        <f>K14*T14</f>
        <v>0</v>
      </c>
      <c r="R14" s="79">
        <f>K14+O14+P14+Q14</f>
        <v>0</v>
      </c>
      <c r="S14" s="78">
        <f>ROUND(K14*S$12,2)</f>
        <v>0</v>
      </c>
      <c r="T14" s="78">
        <v>1.1399999999999999</v>
      </c>
      <c r="U14" s="78">
        <f>K14+O14+P14+Q14+S14</f>
        <v>0</v>
      </c>
      <c r="V14" s="79">
        <f>R14*0.87</f>
        <v>0</v>
      </c>
      <c r="W14" s="78">
        <f t="shared" ref="W14:W86" si="0">U14*0.87</f>
        <v>0</v>
      </c>
      <c r="X14" s="80">
        <v>3</v>
      </c>
      <c r="Y14" s="78">
        <v>3</v>
      </c>
      <c r="Z14" s="80">
        <f t="shared" ref="Z14:Z91" si="1">X14-Y14</f>
        <v>0</v>
      </c>
      <c r="AA14" s="80">
        <f t="shared" ref="AA14:AA91" si="2">K14*Z14</f>
        <v>0</v>
      </c>
      <c r="AB14" s="80">
        <f t="shared" ref="AB14:AB91" si="3">K14*Y14</f>
        <v>0</v>
      </c>
      <c r="AC14" s="80"/>
      <c r="AD14">
        <v>0.1</v>
      </c>
      <c r="AE14" s="78">
        <f t="shared" ref="AE14:AE91" si="4">K14*AD14</f>
        <v>0</v>
      </c>
      <c r="AF14">
        <v>0.2</v>
      </c>
      <c r="AG14" s="78">
        <f t="shared" ref="AG14:AG91" si="5">AF14*K14</f>
        <v>0</v>
      </c>
      <c r="AH14" s="85">
        <f>R14+AG14</f>
        <v>0</v>
      </c>
    </row>
    <row r="15" spans="1:34" ht="16.5" customHeight="1" x14ac:dyDescent="0.2">
      <c r="A15" s="81"/>
      <c r="B15" s="82"/>
      <c r="C15" s="82" t="s">
        <v>37</v>
      </c>
      <c r="D15" s="72">
        <v>1</v>
      </c>
      <c r="E15" s="73"/>
      <c r="F15" s="74"/>
      <c r="G15" s="74"/>
      <c r="H15" s="74"/>
      <c r="I15" s="74"/>
      <c r="J15" s="74"/>
      <c r="K15" s="74">
        <v>17896.259999999998</v>
      </c>
      <c r="L15" s="75" t="s">
        <v>187</v>
      </c>
      <c r="M15" s="83">
        <v>10</v>
      </c>
      <c r="N15" s="84"/>
      <c r="O15" s="78">
        <f>ROUND((K15*M15/100),2)</f>
        <v>1789.63</v>
      </c>
      <c r="P15" s="78">
        <f>ROUND(K15*1.14,2)</f>
        <v>20401.740000000002</v>
      </c>
      <c r="Q15" s="78">
        <f>K15*T15</f>
        <v>27560.240399999999</v>
      </c>
      <c r="R15" s="79">
        <f>K15+O15+P15+Q15</f>
        <v>67647.8704</v>
      </c>
      <c r="S15" s="78">
        <f>ROUND(K15*S$12,2)</f>
        <v>4474.07</v>
      </c>
      <c r="T15" s="78">
        <v>1.54</v>
      </c>
      <c r="U15" s="78">
        <f>K15+O15+P15+Q15+S15</f>
        <v>72121.940399999992</v>
      </c>
      <c r="V15" s="79">
        <f>R15*0.87</f>
        <v>58853.647248000001</v>
      </c>
      <c r="W15" s="78">
        <f t="shared" si="0"/>
        <v>62746.088147999995</v>
      </c>
      <c r="X15" s="80">
        <v>3</v>
      </c>
      <c r="Y15" s="78">
        <v>3</v>
      </c>
      <c r="Z15" s="80">
        <f t="shared" si="1"/>
        <v>0</v>
      </c>
      <c r="AA15" s="80">
        <f t="shared" si="2"/>
        <v>0</v>
      </c>
      <c r="AB15" s="80">
        <f t="shared" si="3"/>
        <v>53688.78</v>
      </c>
      <c r="AC15" s="80"/>
      <c r="AD15">
        <v>1.1000000000000001</v>
      </c>
      <c r="AE15" s="78">
        <f t="shared" si="4"/>
        <v>19685.885999999999</v>
      </c>
      <c r="AF15">
        <v>1.2</v>
      </c>
      <c r="AG15" s="78">
        <f t="shared" si="5"/>
        <v>21475.511999999999</v>
      </c>
      <c r="AH15" s="85">
        <f>R15+AG15</f>
        <v>89123.382400000002</v>
      </c>
    </row>
    <row r="16" spans="1:34" x14ac:dyDescent="0.2">
      <c r="A16" s="86"/>
      <c r="B16" s="87"/>
      <c r="C16" s="87" t="s">
        <v>38</v>
      </c>
      <c r="D16" s="88">
        <f>SUM(D13:D15)</f>
        <v>2</v>
      </c>
      <c r="E16" s="89">
        <f>SUM(E13:E14)</f>
        <v>23500</v>
      </c>
      <c r="F16" s="89">
        <f>SUM(F13:F14)</f>
        <v>25850</v>
      </c>
      <c r="G16" s="89">
        <f>SUM(G13:G14)</f>
        <v>31279.000000000007</v>
      </c>
      <c r="H16" s="89">
        <f>SUM(H13:H14)</f>
        <v>38658.97</v>
      </c>
      <c r="I16" s="89">
        <f>SUM(I13:I14)</f>
        <v>42524.866999999998</v>
      </c>
      <c r="J16" s="89">
        <v>45076.359020000004</v>
      </c>
      <c r="K16" s="90">
        <f>SUM(K13:K15)</f>
        <v>50935.479999999996</v>
      </c>
      <c r="L16" s="90"/>
      <c r="M16" s="90"/>
      <c r="N16" s="90">
        <f t="shared" ref="N16" si="6">SUM(N13:N14)</f>
        <v>0</v>
      </c>
      <c r="O16" s="90">
        <f>SUM(O13:O15)</f>
        <v>11701.400000000001</v>
      </c>
      <c r="P16" s="90">
        <f>SUM(P13:P15)</f>
        <v>61370.369999999995</v>
      </c>
      <c r="Q16" s="90">
        <f t="shared" ref="Q16:AH16" si="7">SUM(Q13:Q15)</f>
        <v>71832.795200000008</v>
      </c>
      <c r="R16" s="90">
        <f t="shared" si="7"/>
        <v>195840.04519999999</v>
      </c>
      <c r="S16" s="90">
        <f t="shared" si="7"/>
        <v>12733.88</v>
      </c>
      <c r="T16" s="90"/>
      <c r="U16" s="90">
        <f t="shared" si="7"/>
        <v>208573.9252</v>
      </c>
      <c r="V16" s="90">
        <f t="shared" si="7"/>
        <v>170380.839324</v>
      </c>
      <c r="W16" s="90">
        <f t="shared" si="7"/>
        <v>181459.31492400001</v>
      </c>
      <c r="X16" s="90">
        <f t="shared" si="7"/>
        <v>9</v>
      </c>
      <c r="Y16" s="90">
        <f t="shared" si="7"/>
        <v>9</v>
      </c>
      <c r="Z16" s="90">
        <f t="shared" si="7"/>
        <v>0</v>
      </c>
      <c r="AA16" s="90">
        <f t="shared" si="7"/>
        <v>0</v>
      </c>
      <c r="AB16" s="90">
        <f t="shared" si="7"/>
        <v>152806.44</v>
      </c>
      <c r="AC16" s="90">
        <f t="shared" si="7"/>
        <v>0</v>
      </c>
      <c r="AD16" s="90">
        <f t="shared" si="7"/>
        <v>1.3</v>
      </c>
      <c r="AE16" s="90">
        <f t="shared" si="7"/>
        <v>22989.807999999997</v>
      </c>
      <c r="AF16" s="90">
        <f t="shared" si="7"/>
        <v>1.6</v>
      </c>
      <c r="AG16" s="90">
        <f t="shared" si="7"/>
        <v>28083.356</v>
      </c>
      <c r="AH16" s="90">
        <f t="shared" si="7"/>
        <v>89123.382400000002</v>
      </c>
    </row>
    <row r="17" spans="1:34" x14ac:dyDescent="0.2">
      <c r="A17" s="92" t="s">
        <v>39</v>
      </c>
      <c r="B17" s="93"/>
      <c r="C17" s="93"/>
      <c r="D17" s="94"/>
      <c r="E17" s="95"/>
      <c r="F17" s="95"/>
      <c r="G17" s="95"/>
      <c r="H17" s="95"/>
      <c r="I17" s="95"/>
      <c r="J17" s="95"/>
      <c r="K17" s="90"/>
      <c r="L17" s="96"/>
      <c r="M17" s="97"/>
      <c r="N17" s="97"/>
      <c r="O17" s="98"/>
      <c r="P17" s="99" t="s">
        <v>40</v>
      </c>
      <c r="Q17" s="66" t="s">
        <v>41</v>
      </c>
      <c r="R17" s="79"/>
      <c r="S17" s="98"/>
      <c r="T17" s="99"/>
      <c r="U17" s="98"/>
      <c r="V17" s="100"/>
      <c r="W17" s="98"/>
      <c r="X17" s="80"/>
      <c r="Y17" s="98"/>
      <c r="Z17" s="80"/>
      <c r="AA17" s="80">
        <f t="shared" si="2"/>
        <v>0</v>
      </c>
      <c r="AB17" s="80">
        <f t="shared" si="3"/>
        <v>0</v>
      </c>
      <c r="AC17" s="101"/>
      <c r="AD17">
        <v>0.1</v>
      </c>
      <c r="AE17" s="98"/>
      <c r="AG17" s="98"/>
    </row>
    <row r="18" spans="1:34" x14ac:dyDescent="0.2">
      <c r="A18" s="102"/>
      <c r="B18" s="103"/>
      <c r="C18" s="104" t="s">
        <v>42</v>
      </c>
      <c r="D18" s="72">
        <v>1</v>
      </c>
      <c r="E18" s="73">
        <v>8500</v>
      </c>
      <c r="F18" s="74">
        <f t="shared" ref="F18:F23" si="8">ROUND(E18*F$12,2)</f>
        <v>9350</v>
      </c>
      <c r="G18" s="74">
        <f>F18*1.1*1.1+0.5</f>
        <v>11314.000000000002</v>
      </c>
      <c r="H18" s="74">
        <v>13983.03</v>
      </c>
      <c r="I18" s="74">
        <f t="shared" ref="I18:I23" si="9">H18*$I$12</f>
        <v>15381.333000000002</v>
      </c>
      <c r="J18" s="74">
        <v>16304.212980000004</v>
      </c>
      <c r="K18" s="74">
        <v>23402.77</v>
      </c>
      <c r="L18" s="105" t="s">
        <v>44</v>
      </c>
      <c r="M18" s="76">
        <v>30</v>
      </c>
      <c r="N18" s="76"/>
      <c r="O18" s="78">
        <f t="shared" ref="O18:O23" si="10">ROUND((K18*M18/100),2)</f>
        <v>7020.83</v>
      </c>
      <c r="P18" s="78">
        <f>ROUND(K18*1.24,2)</f>
        <v>29019.43</v>
      </c>
      <c r="Q18" s="78">
        <f t="shared" ref="Q18:Q22" si="11">K18*T18</f>
        <v>38380.542799999996</v>
      </c>
      <c r="R18" s="79">
        <f t="shared" ref="R18:R23" si="12">K18+O18+P18+Q18</f>
        <v>97823.572799999994</v>
      </c>
      <c r="S18" s="78">
        <f t="shared" ref="S18:S23" si="13">ROUND(K18*S$12,2)</f>
        <v>5850.69</v>
      </c>
      <c r="T18" s="78">
        <v>1.64</v>
      </c>
      <c r="U18" s="78">
        <f t="shared" ref="U18:U23" si="14">K18+O18+P18+Q18+S18</f>
        <v>103674.2628</v>
      </c>
      <c r="V18" s="79">
        <f t="shared" ref="V18:V86" si="15">R18*0.87</f>
        <v>85106.508335999999</v>
      </c>
      <c r="W18" s="78">
        <f t="shared" si="0"/>
        <v>90196.60863599999</v>
      </c>
      <c r="X18" s="80">
        <v>3</v>
      </c>
      <c r="Y18" s="78">
        <v>3</v>
      </c>
      <c r="Z18" s="80">
        <f t="shared" si="1"/>
        <v>0</v>
      </c>
      <c r="AA18" s="80">
        <f t="shared" si="2"/>
        <v>0</v>
      </c>
      <c r="AB18" s="80">
        <f t="shared" si="3"/>
        <v>70208.31</v>
      </c>
      <c r="AC18" s="80"/>
      <c r="AD18">
        <v>0.1</v>
      </c>
      <c r="AE18" s="78">
        <f t="shared" si="4"/>
        <v>2340.277</v>
      </c>
      <c r="AF18">
        <v>0.2</v>
      </c>
      <c r="AG18" s="78">
        <f t="shared" si="5"/>
        <v>4680.5540000000001</v>
      </c>
    </row>
    <row r="19" spans="1:34" x14ac:dyDescent="0.2">
      <c r="A19" s="102"/>
      <c r="B19" s="106"/>
      <c r="C19" s="82" t="s">
        <v>43</v>
      </c>
      <c r="D19" s="72">
        <v>1</v>
      </c>
      <c r="E19" s="73">
        <v>7700</v>
      </c>
      <c r="F19" s="74">
        <f t="shared" si="8"/>
        <v>8470</v>
      </c>
      <c r="G19" s="74">
        <f>F19*1.1*1.1+0.3</f>
        <v>10249</v>
      </c>
      <c r="H19" s="74">
        <v>12666.98</v>
      </c>
      <c r="I19" s="74">
        <f t="shared" si="9"/>
        <v>13933.678</v>
      </c>
      <c r="J19" s="74">
        <v>14769.698680000001</v>
      </c>
      <c r="K19" s="74">
        <v>21200.16</v>
      </c>
      <c r="L19" s="75" t="s">
        <v>46</v>
      </c>
      <c r="M19" s="76">
        <v>30</v>
      </c>
      <c r="N19" s="76"/>
      <c r="O19" s="78">
        <f t="shared" si="10"/>
        <v>6360.05</v>
      </c>
      <c r="P19" s="78">
        <f>ROUND(K19*1.14,2)</f>
        <v>24168.18</v>
      </c>
      <c r="Q19" s="78">
        <f t="shared" si="11"/>
        <v>32648.2464</v>
      </c>
      <c r="R19" s="79">
        <f t="shared" si="12"/>
        <v>84376.636400000003</v>
      </c>
      <c r="S19" s="78">
        <f t="shared" si="13"/>
        <v>5300.04</v>
      </c>
      <c r="T19" s="78">
        <v>1.54</v>
      </c>
      <c r="U19" s="78">
        <f t="shared" si="14"/>
        <v>89676.676399999997</v>
      </c>
      <c r="V19" s="79">
        <f t="shared" si="15"/>
        <v>73407.673668000003</v>
      </c>
      <c r="W19" s="78">
        <f t="shared" si="0"/>
        <v>78018.708467999997</v>
      </c>
      <c r="X19" s="80">
        <v>3</v>
      </c>
      <c r="Y19" s="78"/>
      <c r="Z19" s="80">
        <f t="shared" si="1"/>
        <v>3</v>
      </c>
      <c r="AA19" s="80">
        <f t="shared" si="2"/>
        <v>63600.479999999996</v>
      </c>
      <c r="AB19" s="80">
        <f t="shared" si="3"/>
        <v>0</v>
      </c>
      <c r="AC19" s="80"/>
      <c r="AD19">
        <v>0.1</v>
      </c>
      <c r="AE19" s="78">
        <f t="shared" si="4"/>
        <v>2120.0160000000001</v>
      </c>
      <c r="AF19">
        <v>0.2</v>
      </c>
      <c r="AG19" s="78">
        <f t="shared" si="5"/>
        <v>4240.0320000000002</v>
      </c>
    </row>
    <row r="20" spans="1:34" x14ac:dyDescent="0.2">
      <c r="A20" s="86"/>
      <c r="B20" s="107"/>
      <c r="C20" s="107" t="s">
        <v>182</v>
      </c>
      <c r="D20" s="108">
        <v>1</v>
      </c>
      <c r="E20" s="73">
        <v>6500</v>
      </c>
      <c r="F20" s="74">
        <f t="shared" si="8"/>
        <v>7150</v>
      </c>
      <c r="G20" s="74">
        <f>F20*1.1*1.1+0.5</f>
        <v>8652.0000000000018</v>
      </c>
      <c r="H20" s="74">
        <v>10692.91</v>
      </c>
      <c r="I20" s="74">
        <f t="shared" si="9"/>
        <v>11762.201000000001</v>
      </c>
      <c r="J20" s="74">
        <v>12467.933060000001</v>
      </c>
      <c r="K20" s="74">
        <v>17896.259999999998</v>
      </c>
      <c r="L20" s="75" t="s">
        <v>207</v>
      </c>
      <c r="M20" s="83">
        <v>30</v>
      </c>
      <c r="N20" s="83"/>
      <c r="O20" s="78">
        <f t="shared" si="10"/>
        <v>5368.88</v>
      </c>
      <c r="P20" s="78">
        <f>ROUND(K20*1.14,2)</f>
        <v>20401.740000000002</v>
      </c>
      <c r="Q20" s="78">
        <f t="shared" si="11"/>
        <v>27560.240399999999</v>
      </c>
      <c r="R20" s="79">
        <f t="shared" si="12"/>
        <v>71227.1204</v>
      </c>
      <c r="S20" s="78">
        <f t="shared" si="13"/>
        <v>4474.07</v>
      </c>
      <c r="T20" s="78">
        <v>1.54</v>
      </c>
      <c r="U20" s="78">
        <f t="shared" si="14"/>
        <v>75701.190399999992</v>
      </c>
      <c r="V20" s="79">
        <f t="shared" si="15"/>
        <v>61967.594747999996</v>
      </c>
      <c r="W20" s="78">
        <f t="shared" si="0"/>
        <v>65860.03564799999</v>
      </c>
      <c r="X20" s="80">
        <v>3</v>
      </c>
      <c r="Y20" s="78">
        <v>3</v>
      </c>
      <c r="Z20" s="80">
        <f t="shared" si="1"/>
        <v>0</v>
      </c>
      <c r="AA20" s="80">
        <f t="shared" si="2"/>
        <v>0</v>
      </c>
      <c r="AB20" s="80">
        <f t="shared" si="3"/>
        <v>53688.78</v>
      </c>
      <c r="AC20" s="80"/>
      <c r="AD20">
        <v>0.1</v>
      </c>
      <c r="AE20" s="78">
        <f t="shared" si="4"/>
        <v>1789.626</v>
      </c>
      <c r="AF20">
        <v>0.2</v>
      </c>
      <c r="AG20" s="78">
        <f t="shared" si="5"/>
        <v>3579.252</v>
      </c>
    </row>
    <row r="21" spans="1:34" x14ac:dyDescent="0.2">
      <c r="A21" s="86"/>
      <c r="B21" s="107"/>
      <c r="C21" s="107" t="s">
        <v>182</v>
      </c>
      <c r="D21" s="108">
        <v>1</v>
      </c>
      <c r="E21" s="73">
        <v>6500</v>
      </c>
      <c r="F21" s="74">
        <f t="shared" si="8"/>
        <v>7150</v>
      </c>
      <c r="G21" s="74">
        <f>F21*1.1*1.1+0.5</f>
        <v>8652.0000000000018</v>
      </c>
      <c r="H21" s="74">
        <v>10692.91</v>
      </c>
      <c r="I21" s="74">
        <f t="shared" si="9"/>
        <v>11762.201000000001</v>
      </c>
      <c r="J21" s="74">
        <v>12467.933060000001</v>
      </c>
      <c r="K21" s="74">
        <v>17896.259999999998</v>
      </c>
      <c r="L21" s="75" t="s">
        <v>47</v>
      </c>
      <c r="M21" s="76">
        <v>30</v>
      </c>
      <c r="N21" s="83"/>
      <c r="O21" s="78">
        <f t="shared" si="10"/>
        <v>5368.88</v>
      </c>
      <c r="P21" s="78">
        <f>ROUND(K21*1.14,2)</f>
        <v>20401.740000000002</v>
      </c>
      <c r="Q21" s="78">
        <f t="shared" si="11"/>
        <v>27560.240399999999</v>
      </c>
      <c r="R21" s="79">
        <f t="shared" si="12"/>
        <v>71227.1204</v>
      </c>
      <c r="S21" s="78">
        <f t="shared" si="13"/>
        <v>4474.07</v>
      </c>
      <c r="T21" s="78">
        <v>1.54</v>
      </c>
      <c r="U21" s="78">
        <f t="shared" si="14"/>
        <v>75701.190399999992</v>
      </c>
      <c r="V21" s="79">
        <f t="shared" si="15"/>
        <v>61967.594747999996</v>
      </c>
      <c r="W21" s="78">
        <f t="shared" si="0"/>
        <v>65860.03564799999</v>
      </c>
      <c r="X21" s="80">
        <v>3</v>
      </c>
      <c r="Y21" s="78">
        <v>2</v>
      </c>
      <c r="Z21" s="80">
        <f t="shared" si="1"/>
        <v>1</v>
      </c>
      <c r="AA21" s="80">
        <f t="shared" si="2"/>
        <v>17896.259999999998</v>
      </c>
      <c r="AB21" s="80">
        <f t="shared" si="3"/>
        <v>35792.519999999997</v>
      </c>
      <c r="AC21" s="80"/>
      <c r="AD21">
        <v>0.1</v>
      </c>
      <c r="AE21" s="78">
        <f t="shared" si="4"/>
        <v>1789.626</v>
      </c>
      <c r="AF21">
        <v>0.2</v>
      </c>
      <c r="AG21" s="78">
        <f t="shared" si="5"/>
        <v>3579.252</v>
      </c>
    </row>
    <row r="22" spans="1:34" x14ac:dyDescent="0.2">
      <c r="A22" s="102"/>
      <c r="B22" s="107"/>
      <c r="C22" s="107" t="s">
        <v>183</v>
      </c>
      <c r="D22" s="109">
        <v>1</v>
      </c>
      <c r="E22" s="73">
        <v>5600</v>
      </c>
      <c r="F22" s="74">
        <f t="shared" si="8"/>
        <v>6160</v>
      </c>
      <c r="G22" s="74">
        <f>F22*1.1*1.1+0.4</f>
        <v>7454.0000000000009</v>
      </c>
      <c r="H22" s="74">
        <v>9212.35</v>
      </c>
      <c r="I22" s="74">
        <f t="shared" si="9"/>
        <v>10133.585000000001</v>
      </c>
      <c r="J22" s="74">
        <v>10741.600100000001</v>
      </c>
      <c r="K22" s="74">
        <v>15418.33</v>
      </c>
      <c r="L22" s="110" t="s">
        <v>49</v>
      </c>
      <c r="M22" s="83">
        <v>30</v>
      </c>
      <c r="N22" s="76"/>
      <c r="O22" s="78">
        <f t="shared" si="10"/>
        <v>4625.5</v>
      </c>
      <c r="P22" s="78">
        <f>ROUND(K22*1.14,2)</f>
        <v>17576.900000000001</v>
      </c>
      <c r="Q22" s="78">
        <f t="shared" si="11"/>
        <v>22202.395199999999</v>
      </c>
      <c r="R22" s="79">
        <f t="shared" si="12"/>
        <v>59823.125200000002</v>
      </c>
      <c r="S22" s="78">
        <f t="shared" si="13"/>
        <v>3854.58</v>
      </c>
      <c r="T22" s="78">
        <v>1.44</v>
      </c>
      <c r="U22" s="78">
        <f t="shared" si="14"/>
        <v>63677.705200000004</v>
      </c>
      <c r="V22" s="79">
        <f t="shared" si="15"/>
        <v>52046.118924000002</v>
      </c>
      <c r="W22" s="78">
        <f t="shared" si="0"/>
        <v>55399.603524000006</v>
      </c>
      <c r="X22" s="80">
        <v>3</v>
      </c>
      <c r="Y22" s="78">
        <v>3</v>
      </c>
      <c r="Z22" s="80">
        <f t="shared" si="1"/>
        <v>0</v>
      </c>
      <c r="AA22" s="80">
        <f t="shared" si="2"/>
        <v>0</v>
      </c>
      <c r="AB22" s="80">
        <f t="shared" si="3"/>
        <v>46254.99</v>
      </c>
      <c r="AC22" s="80"/>
      <c r="AD22">
        <v>0.1</v>
      </c>
      <c r="AE22" s="78">
        <f t="shared" si="4"/>
        <v>1541.8330000000001</v>
      </c>
      <c r="AF22">
        <v>0.2</v>
      </c>
      <c r="AG22" s="78">
        <f t="shared" si="5"/>
        <v>3083.6660000000002</v>
      </c>
    </row>
    <row r="23" spans="1:34" x14ac:dyDescent="0.2">
      <c r="A23" s="102"/>
      <c r="B23" s="107"/>
      <c r="C23" s="107" t="s">
        <v>182</v>
      </c>
      <c r="D23" s="109">
        <v>1</v>
      </c>
      <c r="E23" s="73">
        <v>5600</v>
      </c>
      <c r="F23" s="74">
        <f t="shared" si="8"/>
        <v>6160</v>
      </c>
      <c r="G23" s="74">
        <f>F23*1.1*1.1+0.4</f>
        <v>7454.0000000000009</v>
      </c>
      <c r="H23" s="74">
        <v>9212.35</v>
      </c>
      <c r="I23" s="74">
        <f t="shared" si="9"/>
        <v>10133.585000000001</v>
      </c>
      <c r="J23" s="74">
        <v>10741.600100000001</v>
      </c>
      <c r="K23" s="74">
        <v>17896.259999999998</v>
      </c>
      <c r="L23" s="75" t="s">
        <v>50</v>
      </c>
      <c r="M23" s="83">
        <v>30</v>
      </c>
      <c r="N23" s="76"/>
      <c r="O23" s="78">
        <f t="shared" si="10"/>
        <v>5368.88</v>
      </c>
      <c r="P23" s="78">
        <f>ROUND(K23*1.14,2)</f>
        <v>20401.740000000002</v>
      </c>
      <c r="Q23" s="78">
        <f>K23*T23</f>
        <v>27560.240399999999</v>
      </c>
      <c r="R23" s="79">
        <f t="shared" si="12"/>
        <v>71227.1204</v>
      </c>
      <c r="S23" s="78">
        <f t="shared" si="13"/>
        <v>4474.07</v>
      </c>
      <c r="T23" s="78">
        <v>1.54</v>
      </c>
      <c r="U23" s="78">
        <f t="shared" si="14"/>
        <v>75701.190399999992</v>
      </c>
      <c r="V23" s="79">
        <f t="shared" si="15"/>
        <v>61967.594747999996</v>
      </c>
      <c r="W23" s="78">
        <f t="shared" si="0"/>
        <v>65860.03564799999</v>
      </c>
      <c r="X23" s="80">
        <v>3</v>
      </c>
      <c r="Y23" s="78">
        <v>3</v>
      </c>
      <c r="Z23" s="80">
        <f t="shared" si="1"/>
        <v>0</v>
      </c>
      <c r="AA23" s="80">
        <f t="shared" si="2"/>
        <v>0</v>
      </c>
      <c r="AB23" s="80">
        <f t="shared" si="3"/>
        <v>53688.78</v>
      </c>
      <c r="AC23" s="80"/>
      <c r="AD23">
        <v>0.1</v>
      </c>
      <c r="AE23" s="78">
        <f t="shared" si="4"/>
        <v>1789.626</v>
      </c>
      <c r="AF23">
        <v>0.2</v>
      </c>
      <c r="AG23" s="78">
        <f t="shared" si="5"/>
        <v>3579.252</v>
      </c>
    </row>
    <row r="24" spans="1:34" x14ac:dyDescent="0.2">
      <c r="A24" s="102"/>
      <c r="B24" s="87"/>
      <c r="C24" s="87" t="s">
        <v>51</v>
      </c>
      <c r="D24" s="88">
        <f>SUM(D18:D23)</f>
        <v>6</v>
      </c>
      <c r="E24" s="95">
        <f t="shared" ref="E24:I24" si="16">SUM(E18:E23)</f>
        <v>40400</v>
      </c>
      <c r="F24" s="95">
        <f t="shared" si="16"/>
        <v>44440</v>
      </c>
      <c r="G24" s="95">
        <f t="shared" si="16"/>
        <v>53775</v>
      </c>
      <c r="H24" s="95">
        <f t="shared" si="16"/>
        <v>66460.53</v>
      </c>
      <c r="I24" s="95">
        <f t="shared" si="16"/>
        <v>73106.582999999999</v>
      </c>
      <c r="J24" s="95">
        <v>77492.977979999996</v>
      </c>
      <c r="K24" s="90">
        <f>SUM(K18:K23)</f>
        <v>113710.04</v>
      </c>
      <c r="L24" s="90"/>
      <c r="M24" s="90"/>
      <c r="N24" s="90">
        <f t="shared" ref="N24" si="17">SUM(N18:N23)</f>
        <v>0</v>
      </c>
      <c r="O24" s="90">
        <f>SUM(O18:O23)</f>
        <v>34113.020000000004</v>
      </c>
      <c r="P24" s="90">
        <f t="shared" ref="P24:W24" si="18">SUM(P18:P23)</f>
        <v>131969.73000000001</v>
      </c>
      <c r="Q24" s="90">
        <f t="shared" si="18"/>
        <v>175911.9056</v>
      </c>
      <c r="R24" s="90">
        <f t="shared" si="18"/>
        <v>455704.69560000004</v>
      </c>
      <c r="S24" s="90">
        <f t="shared" si="18"/>
        <v>28427.519999999997</v>
      </c>
      <c r="T24" s="90">
        <f t="shared" si="18"/>
        <v>9.2399999999999984</v>
      </c>
      <c r="U24" s="90">
        <f t="shared" si="18"/>
        <v>484132.2156</v>
      </c>
      <c r="V24" s="90">
        <f t="shared" si="18"/>
        <v>396463.08517199999</v>
      </c>
      <c r="W24" s="90">
        <f t="shared" si="18"/>
        <v>421195.02757199993</v>
      </c>
      <c r="X24" s="80"/>
      <c r="Y24" s="90"/>
      <c r="Z24" s="80"/>
      <c r="AA24" s="80">
        <f t="shared" si="2"/>
        <v>0</v>
      </c>
      <c r="AB24" s="80">
        <f t="shared" si="3"/>
        <v>0</v>
      </c>
      <c r="AC24" s="91"/>
      <c r="AD24">
        <v>0.1</v>
      </c>
      <c r="AE24" s="95">
        <f t="shared" si="4"/>
        <v>11371.004000000001</v>
      </c>
      <c r="AF24">
        <v>0.2</v>
      </c>
      <c r="AG24" s="95">
        <f t="shared" si="5"/>
        <v>22742.008000000002</v>
      </c>
    </row>
    <row r="25" spans="1:34" ht="51" x14ac:dyDescent="0.2">
      <c r="A25" s="59" t="s">
        <v>52</v>
      </c>
      <c r="B25" s="87"/>
      <c r="C25" s="87"/>
      <c r="D25" s="111"/>
      <c r="E25" s="95"/>
      <c r="F25" s="95"/>
      <c r="G25" s="95"/>
      <c r="H25" s="95"/>
      <c r="I25" s="95"/>
      <c r="J25" s="95"/>
      <c r="K25" s="90"/>
      <c r="L25" s="112"/>
      <c r="M25" s="113"/>
      <c r="N25" s="113"/>
      <c r="O25" s="95"/>
      <c r="P25" s="114">
        <v>1.19</v>
      </c>
      <c r="Q25" s="95"/>
      <c r="R25" s="95"/>
      <c r="S25" s="95"/>
      <c r="T25" s="114"/>
      <c r="U25" s="95"/>
      <c r="V25" s="115"/>
      <c r="W25" s="95"/>
      <c r="X25" s="80"/>
      <c r="Y25" s="95"/>
      <c r="Z25" s="80"/>
      <c r="AA25" s="80">
        <f t="shared" si="2"/>
        <v>0</v>
      </c>
      <c r="AB25" s="80">
        <f t="shared" si="3"/>
        <v>0</v>
      </c>
      <c r="AC25" s="116"/>
      <c r="AD25">
        <v>0.1</v>
      </c>
      <c r="AE25" s="95"/>
      <c r="AG25" s="95"/>
    </row>
    <row r="26" spans="1:34" ht="25.5" x14ac:dyDescent="0.2">
      <c r="A26" s="117"/>
      <c r="B26" s="87"/>
      <c r="C26" s="59" t="s">
        <v>193</v>
      </c>
      <c r="D26" s="108">
        <v>1</v>
      </c>
      <c r="E26" s="118"/>
      <c r="F26" s="118"/>
      <c r="G26" s="118">
        <f>11616*1.1+0.4</f>
        <v>12778</v>
      </c>
      <c r="H26" s="74">
        <v>15792.6</v>
      </c>
      <c r="I26" s="74">
        <f>H26*$I$12</f>
        <v>17371.86</v>
      </c>
      <c r="J26" s="74">
        <v>18414.171600000001</v>
      </c>
      <c r="K26" s="74">
        <f>ROUND('26.08.22'!K26*1.04,2)</f>
        <v>30285.94</v>
      </c>
      <c r="L26" s="75" t="s">
        <v>53</v>
      </c>
      <c r="M26" s="83">
        <v>30</v>
      </c>
      <c r="N26" s="83"/>
      <c r="O26" s="78">
        <f>ROUND((K26*M26/100),2)</f>
        <v>9085.7800000000007</v>
      </c>
      <c r="P26" s="118">
        <f>ROUND(K26*1.19,2)</f>
        <v>36040.269999999997</v>
      </c>
      <c r="Q26" s="78">
        <f>K26*T26</f>
        <v>46640.347600000001</v>
      </c>
      <c r="R26" s="79">
        <f>K26+O26+P26+Q26</f>
        <v>122052.3376</v>
      </c>
      <c r="S26" s="78">
        <f>ROUND(K26*S$12,2)</f>
        <v>7571.49</v>
      </c>
      <c r="T26" s="118">
        <v>1.54</v>
      </c>
      <c r="U26" s="78">
        <f>K26+O26+P26+Q26+S26</f>
        <v>129623.8276</v>
      </c>
      <c r="V26" s="79">
        <f t="shared" si="15"/>
        <v>106185.533712</v>
      </c>
      <c r="W26" s="78">
        <f t="shared" si="0"/>
        <v>112772.730012</v>
      </c>
      <c r="X26" s="80">
        <v>3</v>
      </c>
      <c r="Y26" s="78">
        <v>3</v>
      </c>
      <c r="Z26" s="80">
        <f t="shared" si="1"/>
        <v>0</v>
      </c>
      <c r="AA26" s="80">
        <f t="shared" si="2"/>
        <v>0</v>
      </c>
      <c r="AB26" s="80">
        <f t="shared" si="3"/>
        <v>90857.819999999992</v>
      </c>
      <c r="AC26" s="80"/>
      <c r="AD26">
        <v>0.1</v>
      </c>
      <c r="AE26" s="78">
        <f t="shared" si="4"/>
        <v>3028.5940000000001</v>
      </c>
      <c r="AF26">
        <v>0.2</v>
      </c>
      <c r="AG26" s="78">
        <f t="shared" si="5"/>
        <v>6057.1880000000001</v>
      </c>
    </row>
    <row r="27" spans="1:34" ht="15" customHeight="1" x14ac:dyDescent="0.2">
      <c r="A27" s="117"/>
      <c r="B27" s="87"/>
      <c r="C27" s="119" t="s">
        <v>54</v>
      </c>
      <c r="D27" s="108">
        <v>1</v>
      </c>
      <c r="E27" s="118"/>
      <c r="F27" s="118"/>
      <c r="G27" s="118">
        <f>10527*1.1+0.3</f>
        <v>11580</v>
      </c>
      <c r="H27" s="74">
        <v>14312.05</v>
      </c>
      <c r="I27" s="74">
        <f>H27*$I$12</f>
        <v>15743.255000000001</v>
      </c>
      <c r="J27" s="74">
        <v>16687.850300000002</v>
      </c>
      <c r="K27" s="74">
        <f>ROUND('26.08.22'!K27*1.04,2)</f>
        <v>23953.47</v>
      </c>
      <c r="L27" s="75" t="s">
        <v>210</v>
      </c>
      <c r="M27" s="76">
        <v>30</v>
      </c>
      <c r="N27" s="83"/>
      <c r="O27" s="78">
        <f>ROUND((K27*M27/100),2)</f>
        <v>7186.04</v>
      </c>
      <c r="P27" s="118">
        <f>ROUND(K27*1.19,2)</f>
        <v>28504.63</v>
      </c>
      <c r="Q27" s="78">
        <f>K27*T27</f>
        <v>36888.343800000002</v>
      </c>
      <c r="R27" s="79">
        <f>K27+O27+P27+Q27</f>
        <v>96532.483800000002</v>
      </c>
      <c r="S27" s="78">
        <f>ROUND(K27*S$12,2)</f>
        <v>5988.37</v>
      </c>
      <c r="T27" s="118">
        <v>1.54</v>
      </c>
      <c r="U27" s="78">
        <f>K27+O27+P27+Q27+S27</f>
        <v>102520.8538</v>
      </c>
      <c r="V27" s="79">
        <f>R27*0.87</f>
        <v>83983.260905999996</v>
      </c>
      <c r="W27" s="78">
        <f>U27*0.87</f>
        <v>89193.142806000003</v>
      </c>
      <c r="X27" s="80">
        <v>3</v>
      </c>
      <c r="Y27" s="78">
        <v>3</v>
      </c>
      <c r="Z27" s="80">
        <f t="shared" si="1"/>
        <v>0</v>
      </c>
      <c r="AA27" s="80">
        <f t="shared" si="2"/>
        <v>0</v>
      </c>
      <c r="AB27" s="80">
        <f t="shared" si="3"/>
        <v>71860.41</v>
      </c>
      <c r="AC27" s="80"/>
      <c r="AD27">
        <v>0.1</v>
      </c>
      <c r="AE27" s="78">
        <f t="shared" si="4"/>
        <v>2395.3470000000002</v>
      </c>
      <c r="AF27">
        <v>0.2</v>
      </c>
      <c r="AG27" s="78">
        <f t="shared" si="5"/>
        <v>4790.6940000000004</v>
      </c>
    </row>
    <row r="28" spans="1:34" ht="54" customHeight="1" x14ac:dyDescent="0.2">
      <c r="A28" s="120" t="s">
        <v>56</v>
      </c>
      <c r="B28" s="93"/>
      <c r="C28" s="93"/>
      <c r="D28" s="94"/>
      <c r="E28" s="95"/>
      <c r="F28" s="95"/>
      <c r="G28" s="95"/>
      <c r="H28" s="95"/>
      <c r="I28" s="95"/>
      <c r="J28" s="95"/>
      <c r="K28" s="90"/>
      <c r="L28" s="90"/>
      <c r="M28" s="90"/>
      <c r="N28" s="90"/>
      <c r="O28" s="90"/>
      <c r="P28" s="99" t="s">
        <v>40</v>
      </c>
      <c r="Q28" s="66" t="s">
        <v>57</v>
      </c>
      <c r="R28" s="90"/>
      <c r="S28" s="90"/>
      <c r="T28" s="99"/>
      <c r="U28" s="90"/>
      <c r="V28" s="121"/>
      <c r="W28" s="90"/>
      <c r="X28" s="80"/>
      <c r="Y28" s="90"/>
      <c r="Z28" s="80"/>
      <c r="AA28" s="80">
        <f t="shared" si="2"/>
        <v>0</v>
      </c>
      <c r="AB28" s="80">
        <f t="shared" si="3"/>
        <v>0</v>
      </c>
      <c r="AC28" s="91"/>
      <c r="AD28">
        <v>0.1</v>
      </c>
      <c r="AE28" s="90"/>
      <c r="AG28" s="90"/>
      <c r="AH28" s="85"/>
    </row>
    <row r="29" spans="1:34" x14ac:dyDescent="0.2">
      <c r="A29" s="102"/>
      <c r="B29" s="87"/>
      <c r="C29" s="87" t="s">
        <v>58</v>
      </c>
      <c r="D29" s="72">
        <v>1</v>
      </c>
      <c r="E29" s="73">
        <v>8500</v>
      </c>
      <c r="F29" s="74">
        <f t="shared" ref="F29:F49" si="19">ROUND(E29*F$12,2)</f>
        <v>9350</v>
      </c>
      <c r="G29" s="74">
        <f>9075*1.1+0.5</f>
        <v>9983</v>
      </c>
      <c r="H29" s="74">
        <v>12337.98</v>
      </c>
      <c r="I29" s="74">
        <f t="shared" ref="I29:I39" si="20">H29*$I$12</f>
        <v>13571.778</v>
      </c>
      <c r="J29" s="74">
        <v>14386.084680000002</v>
      </c>
      <c r="K29" s="74">
        <f>ROUND('26.08.22'!K29*1.04,2)</f>
        <v>23402.77</v>
      </c>
      <c r="L29" s="105" t="s">
        <v>59</v>
      </c>
      <c r="M29" s="76">
        <v>30</v>
      </c>
      <c r="N29" s="76"/>
      <c r="O29" s="78">
        <f>ROUND((K29*M29/100),2)</f>
        <v>7020.83</v>
      </c>
      <c r="P29" s="78">
        <f>ROUND(K29*1.24,2)</f>
        <v>29019.43</v>
      </c>
      <c r="Q29" s="78">
        <f>K29*T29</f>
        <v>36040.265800000001</v>
      </c>
      <c r="R29" s="79">
        <f>K29+O29+P29+Q29</f>
        <v>95483.295799999993</v>
      </c>
      <c r="S29" s="78">
        <f>ROUND(K29*S$12,2)</f>
        <v>5850.69</v>
      </c>
      <c r="T29" s="78">
        <v>1.54</v>
      </c>
      <c r="U29" s="78">
        <f>K29+O29+P29+Q29+S29</f>
        <v>101333.98579999999</v>
      </c>
      <c r="V29" s="79">
        <f t="shared" si="15"/>
        <v>83070.46734599999</v>
      </c>
      <c r="W29" s="78">
        <f t="shared" si="0"/>
        <v>88160.567645999996</v>
      </c>
      <c r="X29" s="80">
        <v>3</v>
      </c>
      <c r="Y29" s="78">
        <v>3</v>
      </c>
      <c r="Z29" s="80">
        <f t="shared" si="1"/>
        <v>0</v>
      </c>
      <c r="AA29" s="80">
        <f t="shared" si="2"/>
        <v>0</v>
      </c>
      <c r="AB29" s="80">
        <f t="shared" si="3"/>
        <v>70208.31</v>
      </c>
      <c r="AC29" s="80"/>
      <c r="AD29">
        <v>0.1</v>
      </c>
      <c r="AE29" s="78">
        <f t="shared" si="4"/>
        <v>2340.277</v>
      </c>
      <c r="AF29">
        <v>0.2</v>
      </c>
      <c r="AG29" s="78">
        <f t="shared" si="5"/>
        <v>4680.5540000000001</v>
      </c>
    </row>
    <row r="30" spans="1:34" x14ac:dyDescent="0.2">
      <c r="A30" s="102"/>
      <c r="B30" s="87"/>
      <c r="C30" s="122" t="s">
        <v>60</v>
      </c>
      <c r="D30" s="72">
        <v>1</v>
      </c>
      <c r="E30" s="73"/>
      <c r="F30" s="74"/>
      <c r="G30" s="74"/>
      <c r="H30" s="74"/>
      <c r="I30" s="74"/>
      <c r="J30" s="74"/>
      <c r="K30" s="74">
        <f>ROUND('26.08.22'!K30*1.04,2)</f>
        <v>21200.16</v>
      </c>
      <c r="L30" s="75" t="s">
        <v>61</v>
      </c>
      <c r="M30" s="76">
        <v>30</v>
      </c>
      <c r="N30" s="76"/>
      <c r="O30" s="78">
        <f>ROUND((K30*M30/100),2)</f>
        <v>6360.05</v>
      </c>
      <c r="P30" s="78">
        <f t="shared" ref="P30:P40" si="21">ROUND(K30*1.14,2)</f>
        <v>24168.18</v>
      </c>
      <c r="Q30" s="78">
        <f>K30*T30</f>
        <v>32648.2464</v>
      </c>
      <c r="R30" s="79">
        <f>K30+O30+P30+Q30</f>
        <v>84376.636400000003</v>
      </c>
      <c r="S30" s="78">
        <f>ROUND(K30*S$12,2)</f>
        <v>5300.04</v>
      </c>
      <c r="T30" s="78">
        <v>1.54</v>
      </c>
      <c r="U30" s="78">
        <f>K30+O30+P30+Q30+S30</f>
        <v>89676.676399999997</v>
      </c>
      <c r="V30" s="79">
        <f>R30*0.87</f>
        <v>73407.673668000003</v>
      </c>
      <c r="W30" s="78">
        <f>U30*0.87</f>
        <v>78018.708467999997</v>
      </c>
      <c r="X30" s="80"/>
      <c r="Y30" s="78"/>
      <c r="Z30" s="80"/>
      <c r="AA30" s="80"/>
      <c r="AB30" s="80"/>
      <c r="AC30" s="80"/>
      <c r="AE30" s="78"/>
      <c r="AG30" s="78"/>
    </row>
    <row r="31" spans="1:34" x14ac:dyDescent="0.2">
      <c r="A31" s="102"/>
      <c r="B31" s="87"/>
      <c r="C31" s="107" t="s">
        <v>45</v>
      </c>
      <c r="D31" s="72">
        <v>1</v>
      </c>
      <c r="E31" s="73">
        <v>6500</v>
      </c>
      <c r="F31" s="74">
        <f t="shared" si="19"/>
        <v>7150</v>
      </c>
      <c r="G31" s="74">
        <f>F31*1.1*1.1+0.5</f>
        <v>8652.0000000000018</v>
      </c>
      <c r="H31" s="74">
        <v>10692.91</v>
      </c>
      <c r="I31" s="74">
        <f t="shared" si="20"/>
        <v>11762.201000000001</v>
      </c>
      <c r="J31" s="74">
        <v>12467.933060000001</v>
      </c>
      <c r="K31" s="74">
        <f>ROUND('26.08.22'!K31*1.04,2)</f>
        <v>17896.259999999998</v>
      </c>
      <c r="L31" s="105" t="s">
        <v>62</v>
      </c>
      <c r="M31" s="76">
        <v>30</v>
      </c>
      <c r="N31" s="76"/>
      <c r="O31" s="78">
        <f t="shared" ref="O31:O40" si="22">ROUND((K31*M31/100),2)</f>
        <v>5368.88</v>
      </c>
      <c r="P31" s="78">
        <f t="shared" si="21"/>
        <v>20401.740000000002</v>
      </c>
      <c r="Q31" s="78">
        <f t="shared" ref="Q31:Q40" si="23">K31*T31</f>
        <v>27560.240399999999</v>
      </c>
      <c r="R31" s="79">
        <f t="shared" ref="R31:R40" si="24">K31+O31+P31+Q31</f>
        <v>71227.1204</v>
      </c>
      <c r="S31" s="78">
        <f t="shared" ref="S31:S40" si="25">ROUND(K31*S$12,2)</f>
        <v>4474.07</v>
      </c>
      <c r="T31" s="78">
        <v>1.54</v>
      </c>
      <c r="U31" s="78">
        <f t="shared" ref="U31:U40" si="26">K31+O31+P31+Q31+S31</f>
        <v>75701.190399999992</v>
      </c>
      <c r="V31" s="79">
        <f t="shared" si="15"/>
        <v>61967.594747999996</v>
      </c>
      <c r="W31" s="78">
        <f t="shared" si="0"/>
        <v>65860.03564799999</v>
      </c>
      <c r="X31" s="80">
        <v>3</v>
      </c>
      <c r="Y31" s="78">
        <v>3</v>
      </c>
      <c r="Z31" s="80">
        <f t="shared" si="1"/>
        <v>0</v>
      </c>
      <c r="AA31" s="80">
        <f t="shared" si="2"/>
        <v>0</v>
      </c>
      <c r="AB31" s="80">
        <f t="shared" si="3"/>
        <v>53688.78</v>
      </c>
      <c r="AC31" s="80"/>
      <c r="AD31">
        <v>0.1</v>
      </c>
      <c r="AE31" s="78">
        <f t="shared" si="4"/>
        <v>1789.626</v>
      </c>
      <c r="AF31">
        <v>0.2</v>
      </c>
      <c r="AG31" s="78">
        <f t="shared" si="5"/>
        <v>3579.252</v>
      </c>
    </row>
    <row r="32" spans="1:34" x14ac:dyDescent="0.2">
      <c r="A32" s="102"/>
      <c r="B32" s="107"/>
      <c r="C32" s="107" t="s">
        <v>45</v>
      </c>
      <c r="D32" s="72">
        <v>1</v>
      </c>
      <c r="E32" s="73">
        <v>6500</v>
      </c>
      <c r="F32" s="74">
        <f t="shared" si="19"/>
        <v>7150</v>
      </c>
      <c r="G32" s="74">
        <f>F32*1.1*1.1+0.5</f>
        <v>8652.0000000000018</v>
      </c>
      <c r="H32" s="74">
        <v>10692.91</v>
      </c>
      <c r="I32" s="74">
        <f t="shared" si="20"/>
        <v>11762.201000000001</v>
      </c>
      <c r="J32" s="74">
        <v>12467.933060000001</v>
      </c>
      <c r="K32" s="74">
        <f>ROUND('26.08.22'!K32*1.04,2)</f>
        <v>17896.259999999998</v>
      </c>
      <c r="L32" s="75" t="s">
        <v>63</v>
      </c>
      <c r="M32" s="83">
        <v>30</v>
      </c>
      <c r="N32" s="76"/>
      <c r="O32" s="78">
        <f t="shared" si="22"/>
        <v>5368.88</v>
      </c>
      <c r="P32" s="78">
        <f t="shared" si="21"/>
        <v>20401.740000000002</v>
      </c>
      <c r="Q32" s="78">
        <f t="shared" si="23"/>
        <v>27560.240399999999</v>
      </c>
      <c r="R32" s="79">
        <f t="shared" si="24"/>
        <v>71227.1204</v>
      </c>
      <c r="S32" s="78">
        <f t="shared" si="25"/>
        <v>4474.07</v>
      </c>
      <c r="T32" s="78">
        <v>1.54</v>
      </c>
      <c r="U32" s="78">
        <f t="shared" si="26"/>
        <v>75701.190399999992</v>
      </c>
      <c r="V32" s="79">
        <f t="shared" si="15"/>
        <v>61967.594747999996</v>
      </c>
      <c r="W32" s="78">
        <f t="shared" si="0"/>
        <v>65860.03564799999</v>
      </c>
      <c r="X32" s="80">
        <v>3</v>
      </c>
      <c r="Y32" s="78">
        <v>3</v>
      </c>
      <c r="Z32" s="80">
        <f t="shared" si="1"/>
        <v>0</v>
      </c>
      <c r="AA32" s="80">
        <f t="shared" si="2"/>
        <v>0</v>
      </c>
      <c r="AB32" s="80">
        <f t="shared" si="3"/>
        <v>53688.78</v>
      </c>
      <c r="AC32" s="80"/>
      <c r="AD32">
        <v>0.1</v>
      </c>
      <c r="AE32" s="78">
        <f t="shared" si="4"/>
        <v>1789.626</v>
      </c>
      <c r="AF32">
        <v>0.2</v>
      </c>
      <c r="AG32" s="78">
        <f t="shared" si="5"/>
        <v>3579.252</v>
      </c>
    </row>
    <row r="33" spans="1:33" x14ac:dyDescent="0.2">
      <c r="A33" s="123"/>
      <c r="B33" s="107"/>
      <c r="C33" s="107" t="s">
        <v>45</v>
      </c>
      <c r="D33" s="109">
        <v>1</v>
      </c>
      <c r="E33" s="73">
        <v>6500</v>
      </c>
      <c r="F33" s="74">
        <f t="shared" si="19"/>
        <v>7150</v>
      </c>
      <c r="G33" s="74">
        <f>F33*1.1*1.1+0.5</f>
        <v>8652.0000000000018</v>
      </c>
      <c r="H33" s="74">
        <v>10692.91</v>
      </c>
      <c r="I33" s="74">
        <f t="shared" si="20"/>
        <v>11762.201000000001</v>
      </c>
      <c r="J33" s="74">
        <v>12467.933060000001</v>
      </c>
      <c r="K33" s="74">
        <f>ROUND('26.08.22'!K33*1.04,2)</f>
        <v>17896.259999999998</v>
      </c>
      <c r="L33" s="105" t="s">
        <v>201</v>
      </c>
      <c r="M33" s="76">
        <v>30</v>
      </c>
      <c r="N33" s="124"/>
      <c r="O33" s="78">
        <f t="shared" si="22"/>
        <v>5368.88</v>
      </c>
      <c r="P33" s="78">
        <f t="shared" si="21"/>
        <v>20401.740000000002</v>
      </c>
      <c r="Q33" s="78">
        <f t="shared" si="23"/>
        <v>27560.240399999999</v>
      </c>
      <c r="R33" s="79">
        <f t="shared" si="24"/>
        <v>71227.1204</v>
      </c>
      <c r="S33" s="78">
        <f t="shared" si="25"/>
        <v>4474.07</v>
      </c>
      <c r="T33" s="78">
        <v>1.54</v>
      </c>
      <c r="U33" s="78">
        <f t="shared" si="26"/>
        <v>75701.190399999992</v>
      </c>
      <c r="V33" s="79">
        <f t="shared" si="15"/>
        <v>61967.594747999996</v>
      </c>
      <c r="W33" s="78">
        <f t="shared" si="0"/>
        <v>65860.03564799999</v>
      </c>
      <c r="X33" s="80">
        <v>3</v>
      </c>
      <c r="Y33" s="78">
        <v>3</v>
      </c>
      <c r="Z33" s="80">
        <f t="shared" si="1"/>
        <v>0</v>
      </c>
      <c r="AA33" s="80">
        <f t="shared" si="2"/>
        <v>0</v>
      </c>
      <c r="AB33" s="80">
        <f t="shared" si="3"/>
        <v>53688.78</v>
      </c>
      <c r="AC33" s="80"/>
      <c r="AD33">
        <v>0.1</v>
      </c>
      <c r="AE33" s="78">
        <f t="shared" si="4"/>
        <v>1789.626</v>
      </c>
      <c r="AF33">
        <v>0.2</v>
      </c>
      <c r="AG33" s="78">
        <f t="shared" si="5"/>
        <v>3579.252</v>
      </c>
    </row>
    <row r="34" spans="1:33" x14ac:dyDescent="0.2">
      <c r="A34" s="102"/>
      <c r="B34" s="107"/>
      <c r="C34" s="107" t="s">
        <v>45</v>
      </c>
      <c r="D34" s="109">
        <v>1</v>
      </c>
      <c r="E34" s="73">
        <v>5600</v>
      </c>
      <c r="F34" s="74">
        <v>7150</v>
      </c>
      <c r="G34" s="74">
        <f>F34*1.1*1.1+0.5</f>
        <v>8652.0000000000018</v>
      </c>
      <c r="H34" s="74">
        <v>10692.91</v>
      </c>
      <c r="I34" s="74">
        <f t="shared" si="20"/>
        <v>11762.201000000001</v>
      </c>
      <c r="J34" s="74">
        <v>12467.933060000001</v>
      </c>
      <c r="K34" s="74">
        <f>ROUND('26.08.22'!K34*1.04,2)</f>
        <v>17896.259999999998</v>
      </c>
      <c r="L34" s="105" t="s">
        <v>64</v>
      </c>
      <c r="M34" s="76">
        <v>30</v>
      </c>
      <c r="N34" s="76"/>
      <c r="O34" s="78">
        <f t="shared" si="22"/>
        <v>5368.88</v>
      </c>
      <c r="P34" s="78">
        <f t="shared" si="21"/>
        <v>20401.740000000002</v>
      </c>
      <c r="Q34" s="78">
        <f t="shared" si="23"/>
        <v>27560.240399999999</v>
      </c>
      <c r="R34" s="79">
        <f t="shared" si="24"/>
        <v>71227.1204</v>
      </c>
      <c r="S34" s="78">
        <f t="shared" si="25"/>
        <v>4474.07</v>
      </c>
      <c r="T34" s="78">
        <v>1.54</v>
      </c>
      <c r="U34" s="78">
        <f t="shared" si="26"/>
        <v>75701.190399999992</v>
      </c>
      <c r="V34" s="79">
        <f t="shared" si="15"/>
        <v>61967.594747999996</v>
      </c>
      <c r="W34" s="78">
        <f t="shared" si="0"/>
        <v>65860.03564799999</v>
      </c>
      <c r="X34" s="80">
        <v>3</v>
      </c>
      <c r="Y34" s="78">
        <v>3</v>
      </c>
      <c r="Z34" s="80">
        <f t="shared" si="1"/>
        <v>0</v>
      </c>
      <c r="AA34" s="80">
        <f t="shared" si="2"/>
        <v>0</v>
      </c>
      <c r="AB34" s="80">
        <f t="shared" si="3"/>
        <v>53688.78</v>
      </c>
      <c r="AC34" s="80"/>
      <c r="AD34">
        <v>0.1</v>
      </c>
      <c r="AE34" s="78">
        <f t="shared" si="4"/>
        <v>1789.626</v>
      </c>
      <c r="AF34">
        <v>0.2</v>
      </c>
      <c r="AG34" s="78">
        <f t="shared" si="5"/>
        <v>3579.252</v>
      </c>
    </row>
    <row r="35" spans="1:33" x14ac:dyDescent="0.2">
      <c r="A35" s="102"/>
      <c r="B35" s="107"/>
      <c r="C35" s="107" t="s">
        <v>45</v>
      </c>
      <c r="D35" s="109">
        <v>1</v>
      </c>
      <c r="E35" s="73">
        <v>5600</v>
      </c>
      <c r="F35" s="74">
        <f>ROUND(E35*F$12,2)</f>
        <v>6160</v>
      </c>
      <c r="G35" s="74">
        <f>F35*1.1*1.1+0.4</f>
        <v>7454.0000000000009</v>
      </c>
      <c r="H35" s="74">
        <v>9212.35</v>
      </c>
      <c r="I35" s="74">
        <f>H35*$I$12</f>
        <v>10133.585000000001</v>
      </c>
      <c r="J35" s="74">
        <v>10741.600100000001</v>
      </c>
      <c r="K35" s="74">
        <f>ROUND('26.08.22'!K35*1.04,2)</f>
        <v>17896.259999999998</v>
      </c>
      <c r="L35" s="105" t="s">
        <v>185</v>
      </c>
      <c r="M35" s="83">
        <v>30</v>
      </c>
      <c r="N35" s="76"/>
      <c r="O35" s="78">
        <f t="shared" si="22"/>
        <v>5368.88</v>
      </c>
      <c r="P35" s="78">
        <f t="shared" si="21"/>
        <v>20401.740000000002</v>
      </c>
      <c r="Q35" s="78">
        <f t="shared" si="23"/>
        <v>27560.240399999999</v>
      </c>
      <c r="R35" s="79">
        <f t="shared" si="24"/>
        <v>71227.1204</v>
      </c>
      <c r="S35" s="78">
        <f t="shared" si="25"/>
        <v>4474.07</v>
      </c>
      <c r="T35" s="78">
        <v>1.54</v>
      </c>
      <c r="U35" s="78">
        <f t="shared" si="26"/>
        <v>75701.190399999992</v>
      </c>
      <c r="V35" s="79">
        <f>R35*0.87</f>
        <v>61967.594747999996</v>
      </c>
      <c r="W35" s="78">
        <f>U35*0.87</f>
        <v>65860.03564799999</v>
      </c>
      <c r="X35" s="80">
        <v>3</v>
      </c>
      <c r="Y35" s="78">
        <v>3</v>
      </c>
      <c r="Z35" s="80">
        <f t="shared" si="1"/>
        <v>0</v>
      </c>
      <c r="AA35" s="80">
        <f t="shared" si="2"/>
        <v>0</v>
      </c>
      <c r="AB35" s="80">
        <f t="shared" si="3"/>
        <v>53688.78</v>
      </c>
      <c r="AC35" s="80"/>
      <c r="AD35">
        <v>0.1</v>
      </c>
      <c r="AE35" s="78">
        <f t="shared" si="4"/>
        <v>1789.626</v>
      </c>
      <c r="AF35">
        <v>0.2</v>
      </c>
      <c r="AG35" s="78">
        <f t="shared" si="5"/>
        <v>3579.252</v>
      </c>
    </row>
    <row r="36" spans="1:33" x14ac:dyDescent="0.2">
      <c r="A36" s="102"/>
      <c r="B36" s="107"/>
      <c r="C36" s="107" t="s">
        <v>45</v>
      </c>
      <c r="D36" s="109">
        <v>1</v>
      </c>
      <c r="E36" s="73">
        <v>5600</v>
      </c>
      <c r="F36" s="74">
        <f t="shared" si="19"/>
        <v>6160</v>
      </c>
      <c r="G36" s="74">
        <f>F36*1.1*1.1+0.4</f>
        <v>7454.0000000000009</v>
      </c>
      <c r="H36" s="74">
        <v>9212.35</v>
      </c>
      <c r="I36" s="74">
        <f t="shared" si="20"/>
        <v>10133.585000000001</v>
      </c>
      <c r="J36" s="74">
        <v>10741.600100000001</v>
      </c>
      <c r="K36" s="74">
        <f>ROUND('26.08.22'!K36*1.04,2)</f>
        <v>17896.259999999998</v>
      </c>
      <c r="L36" s="105" t="s">
        <v>65</v>
      </c>
      <c r="M36" s="83">
        <v>30</v>
      </c>
      <c r="N36" s="76"/>
      <c r="O36" s="78">
        <f t="shared" si="22"/>
        <v>5368.88</v>
      </c>
      <c r="P36" s="78">
        <f t="shared" si="21"/>
        <v>20401.740000000002</v>
      </c>
      <c r="Q36" s="78">
        <f t="shared" si="23"/>
        <v>27560.240399999999</v>
      </c>
      <c r="R36" s="79">
        <f t="shared" si="24"/>
        <v>71227.1204</v>
      </c>
      <c r="S36" s="78">
        <f t="shared" si="25"/>
        <v>4474.07</v>
      </c>
      <c r="T36" s="78">
        <v>1.54</v>
      </c>
      <c r="U36" s="78">
        <f t="shared" si="26"/>
        <v>75701.190399999992</v>
      </c>
      <c r="V36" s="79">
        <f t="shared" si="15"/>
        <v>61967.594747999996</v>
      </c>
      <c r="W36" s="78">
        <f t="shared" si="0"/>
        <v>65860.03564799999</v>
      </c>
      <c r="X36" s="80">
        <v>3</v>
      </c>
      <c r="Y36" s="78">
        <v>3</v>
      </c>
      <c r="Z36" s="80">
        <f t="shared" si="1"/>
        <v>0</v>
      </c>
      <c r="AA36" s="80">
        <f t="shared" si="2"/>
        <v>0</v>
      </c>
      <c r="AB36" s="80">
        <f t="shared" si="3"/>
        <v>53688.78</v>
      </c>
      <c r="AC36" s="80"/>
      <c r="AD36">
        <v>0.1</v>
      </c>
      <c r="AE36" s="78">
        <f t="shared" si="4"/>
        <v>1789.626</v>
      </c>
      <c r="AF36">
        <v>0.2</v>
      </c>
      <c r="AG36" s="78">
        <f t="shared" si="5"/>
        <v>3579.252</v>
      </c>
    </row>
    <row r="37" spans="1:33" x14ac:dyDescent="0.2">
      <c r="A37" s="102"/>
      <c r="B37" s="107"/>
      <c r="C37" s="107" t="s">
        <v>45</v>
      </c>
      <c r="D37" s="109">
        <v>1</v>
      </c>
      <c r="E37" s="73">
        <v>5600</v>
      </c>
      <c r="F37" s="74">
        <f t="shared" si="19"/>
        <v>6160</v>
      </c>
      <c r="G37" s="74">
        <f>F37*1.1*1.1+0.4</f>
        <v>7454.0000000000009</v>
      </c>
      <c r="H37" s="74">
        <v>9213.35</v>
      </c>
      <c r="I37" s="74">
        <f t="shared" si="20"/>
        <v>10134.685000000001</v>
      </c>
      <c r="J37" s="74">
        <v>10741.600100000001</v>
      </c>
      <c r="K37" s="74">
        <f>ROUND('26.08.22'!K37*1.04,2)</f>
        <v>17896.259999999998</v>
      </c>
      <c r="L37" s="105" t="s">
        <v>229</v>
      </c>
      <c r="M37" s="83">
        <v>30</v>
      </c>
      <c r="N37" s="76"/>
      <c r="O37" s="78">
        <f t="shared" si="22"/>
        <v>5368.88</v>
      </c>
      <c r="P37" s="78">
        <f t="shared" si="21"/>
        <v>20401.740000000002</v>
      </c>
      <c r="Q37" s="78">
        <f t="shared" si="23"/>
        <v>27560.240399999999</v>
      </c>
      <c r="R37" s="79">
        <f t="shared" si="24"/>
        <v>71227.1204</v>
      </c>
      <c r="S37" s="78">
        <f t="shared" si="25"/>
        <v>4474.07</v>
      </c>
      <c r="T37" s="78">
        <v>1.54</v>
      </c>
      <c r="U37" s="78">
        <f t="shared" si="26"/>
        <v>75701.190399999992</v>
      </c>
      <c r="V37" s="79">
        <f t="shared" si="15"/>
        <v>61967.594747999996</v>
      </c>
      <c r="W37" s="78">
        <f t="shared" si="0"/>
        <v>65860.03564799999</v>
      </c>
      <c r="X37" s="80">
        <v>3</v>
      </c>
      <c r="Y37" s="78">
        <v>3</v>
      </c>
      <c r="Z37" s="80">
        <f t="shared" si="1"/>
        <v>0</v>
      </c>
      <c r="AA37" s="80">
        <f t="shared" si="2"/>
        <v>0</v>
      </c>
      <c r="AB37" s="80">
        <f t="shared" si="3"/>
        <v>53688.78</v>
      </c>
      <c r="AC37" s="80"/>
      <c r="AD37">
        <v>1.1000000000000001</v>
      </c>
      <c r="AE37" s="78">
        <f t="shared" si="4"/>
        <v>19685.885999999999</v>
      </c>
      <c r="AF37">
        <v>1.2</v>
      </c>
      <c r="AG37" s="78">
        <f t="shared" si="5"/>
        <v>21475.511999999999</v>
      </c>
    </row>
    <row r="38" spans="1:33" x14ac:dyDescent="0.2">
      <c r="A38" s="127"/>
      <c r="B38" s="107"/>
      <c r="C38" s="107" t="s">
        <v>45</v>
      </c>
      <c r="D38" s="109">
        <v>1</v>
      </c>
      <c r="E38" s="73">
        <v>5600</v>
      </c>
      <c r="F38" s="74">
        <f t="shared" si="19"/>
        <v>6160</v>
      </c>
      <c r="G38" s="74">
        <f>F38*1.1*1.1+0.4</f>
        <v>7454.0000000000009</v>
      </c>
      <c r="H38" s="74">
        <v>9212.35</v>
      </c>
      <c r="I38" s="74">
        <f t="shared" si="20"/>
        <v>10133.585000000001</v>
      </c>
      <c r="J38" s="74">
        <v>10741.600100000001</v>
      </c>
      <c r="K38" s="74">
        <f>ROUND('26.08.22'!K38*1.04,2)</f>
        <v>17896.259999999998</v>
      </c>
      <c r="L38" s="75" t="s">
        <v>190</v>
      </c>
      <c r="M38" s="83">
        <v>20</v>
      </c>
      <c r="N38" s="113"/>
      <c r="O38" s="78">
        <f t="shared" si="22"/>
        <v>3579.25</v>
      </c>
      <c r="P38" s="78">
        <f t="shared" si="21"/>
        <v>20401.740000000002</v>
      </c>
      <c r="Q38" s="78">
        <f t="shared" si="23"/>
        <v>27560.240399999999</v>
      </c>
      <c r="R38" s="79">
        <f t="shared" si="24"/>
        <v>69437.490399999995</v>
      </c>
      <c r="S38" s="78">
        <f t="shared" si="25"/>
        <v>4474.07</v>
      </c>
      <c r="T38" s="78">
        <v>1.54</v>
      </c>
      <c r="U38" s="78">
        <f t="shared" si="26"/>
        <v>73911.560399999988</v>
      </c>
      <c r="V38" s="79">
        <f t="shared" si="15"/>
        <v>60410.616647999996</v>
      </c>
      <c r="W38" s="78">
        <f t="shared" si="0"/>
        <v>64303.05754799999</v>
      </c>
      <c r="X38" s="80">
        <v>3</v>
      </c>
      <c r="Y38" s="78">
        <v>3</v>
      </c>
      <c r="Z38" s="80">
        <f t="shared" si="1"/>
        <v>0</v>
      </c>
      <c r="AA38" s="80">
        <f t="shared" si="2"/>
        <v>0</v>
      </c>
      <c r="AB38" s="80">
        <f t="shared" si="3"/>
        <v>53688.78</v>
      </c>
      <c r="AC38" s="80"/>
      <c r="AD38">
        <v>0.1</v>
      </c>
      <c r="AE38" s="78">
        <f t="shared" si="4"/>
        <v>1789.626</v>
      </c>
      <c r="AF38">
        <v>0.2</v>
      </c>
      <c r="AG38" s="78">
        <f t="shared" si="5"/>
        <v>3579.252</v>
      </c>
    </row>
    <row r="39" spans="1:33" x14ac:dyDescent="0.2">
      <c r="A39" s="127"/>
      <c r="B39" s="107"/>
      <c r="C39" s="107" t="s">
        <v>70</v>
      </c>
      <c r="D39" s="109">
        <v>1</v>
      </c>
      <c r="E39" s="73">
        <v>5600</v>
      </c>
      <c r="F39" s="74">
        <f t="shared" si="19"/>
        <v>6160</v>
      </c>
      <c r="G39" s="74">
        <f>F39*1.1*1.1+0.4</f>
        <v>7454.0000000000009</v>
      </c>
      <c r="H39" s="74">
        <v>9212.35</v>
      </c>
      <c r="I39" s="74">
        <f t="shared" si="20"/>
        <v>10133.585000000001</v>
      </c>
      <c r="J39" s="74">
        <v>10741.600100000001</v>
      </c>
      <c r="K39" s="74">
        <f>ROUND('26.08.22'!K39*1.04,2)</f>
        <v>15418.33</v>
      </c>
      <c r="L39" s="75" t="s">
        <v>189</v>
      </c>
      <c r="M39" s="83">
        <v>30</v>
      </c>
      <c r="N39" s="113"/>
      <c r="O39" s="78">
        <f t="shared" si="22"/>
        <v>4625.5</v>
      </c>
      <c r="P39" s="78">
        <f t="shared" si="21"/>
        <v>17576.900000000001</v>
      </c>
      <c r="Q39" s="78">
        <f t="shared" si="23"/>
        <v>22202.395199999999</v>
      </c>
      <c r="R39" s="79">
        <f t="shared" si="24"/>
        <v>59823.125200000002</v>
      </c>
      <c r="S39" s="78">
        <f t="shared" si="25"/>
        <v>3854.58</v>
      </c>
      <c r="T39" s="78">
        <v>1.44</v>
      </c>
      <c r="U39" s="78">
        <f t="shared" si="26"/>
        <v>63677.705200000004</v>
      </c>
      <c r="V39" s="79">
        <f>R39*0.87</f>
        <v>52046.118924000002</v>
      </c>
      <c r="W39" s="78">
        <f t="shared" si="0"/>
        <v>55399.603524000006</v>
      </c>
      <c r="X39" s="80">
        <v>3</v>
      </c>
      <c r="Y39" s="78">
        <v>3</v>
      </c>
      <c r="Z39" s="80" t="s">
        <v>68</v>
      </c>
      <c r="AA39" s="80"/>
      <c r="AB39" s="80"/>
      <c r="AC39" s="80"/>
      <c r="AE39" s="78"/>
      <c r="AG39" s="78"/>
    </row>
    <row r="40" spans="1:33" x14ac:dyDescent="0.2">
      <c r="A40" s="127"/>
      <c r="B40" s="107"/>
      <c r="C40" s="107" t="s">
        <v>70</v>
      </c>
      <c r="D40" s="109">
        <v>1</v>
      </c>
      <c r="E40" s="73"/>
      <c r="F40" s="74"/>
      <c r="G40" s="74"/>
      <c r="H40" s="74"/>
      <c r="I40" s="74"/>
      <c r="J40" s="74"/>
      <c r="K40" s="74">
        <f>ROUND('26.08.22'!K40*1.04,2)</f>
        <v>15418.33</v>
      </c>
      <c r="L40" s="75" t="s">
        <v>223</v>
      </c>
      <c r="M40" s="83">
        <v>15</v>
      </c>
      <c r="N40" s="113"/>
      <c r="O40" s="78">
        <f t="shared" si="22"/>
        <v>2312.75</v>
      </c>
      <c r="P40" s="78">
        <f t="shared" si="21"/>
        <v>17576.900000000001</v>
      </c>
      <c r="Q40" s="78">
        <f t="shared" si="23"/>
        <v>22202.395199999999</v>
      </c>
      <c r="R40" s="79">
        <f t="shared" si="24"/>
        <v>57510.375200000002</v>
      </c>
      <c r="S40" s="78">
        <f t="shared" si="25"/>
        <v>3854.58</v>
      </c>
      <c r="T40" s="78">
        <v>1.44</v>
      </c>
      <c r="U40" s="78">
        <f t="shared" si="26"/>
        <v>61364.955200000004</v>
      </c>
      <c r="V40" s="79">
        <f t="shared" si="15"/>
        <v>50034.026424000003</v>
      </c>
      <c r="W40" s="78">
        <f t="shared" si="0"/>
        <v>53387.511024000007</v>
      </c>
      <c r="X40" s="80"/>
      <c r="Y40" s="78"/>
      <c r="Z40" s="80"/>
      <c r="AA40" s="80"/>
      <c r="AB40" s="80"/>
      <c r="AC40" s="80"/>
      <c r="AE40" s="78"/>
      <c r="AG40" s="78"/>
    </row>
    <row r="41" spans="1:33" x14ac:dyDescent="0.2">
      <c r="A41" s="102"/>
      <c r="B41" s="107"/>
      <c r="C41" s="87" t="s">
        <v>51</v>
      </c>
      <c r="D41" s="88">
        <f>SUM(D29:D40)</f>
        <v>12</v>
      </c>
      <c r="E41" s="95"/>
      <c r="F41" s="90"/>
      <c r="G41" s="89">
        <f>SUM(G29:G36)</f>
        <v>59499</v>
      </c>
      <c r="H41" s="89">
        <f>SUM(H29:H36)</f>
        <v>73534.320000000007</v>
      </c>
      <c r="I41" s="89">
        <f>SUM(I29:I36)</f>
        <v>80887.752000000008</v>
      </c>
      <c r="J41" s="89">
        <v>87467.350080000004</v>
      </c>
      <c r="K41" s="90">
        <f>SUM(K29:K40)</f>
        <v>218609.66999999998</v>
      </c>
      <c r="L41" s="90"/>
      <c r="M41" s="90"/>
      <c r="N41" s="90">
        <f t="shared" ref="N41" si="27">SUM(N29:N36)</f>
        <v>0</v>
      </c>
      <c r="O41" s="90">
        <f>SUM(O29:O40)</f>
        <v>61480.539999999994</v>
      </c>
      <c r="P41" s="90">
        <f t="shared" ref="P41:W41" si="28">SUM(P29:P40)</f>
        <v>251555.32999999996</v>
      </c>
      <c r="Q41" s="90">
        <f t="shared" si="28"/>
        <v>333575.22580000001</v>
      </c>
      <c r="R41" s="90">
        <f t="shared" si="28"/>
        <v>865220.76580000005</v>
      </c>
      <c r="S41" s="90">
        <f t="shared" si="28"/>
        <v>54652.450000000004</v>
      </c>
      <c r="T41" s="90">
        <f t="shared" si="28"/>
        <v>18.28</v>
      </c>
      <c r="U41" s="90">
        <f t="shared" si="28"/>
        <v>919873.21579999966</v>
      </c>
      <c r="V41" s="90">
        <f t="shared" si="28"/>
        <v>752742.06624599989</v>
      </c>
      <c r="W41" s="90">
        <f t="shared" si="28"/>
        <v>800289.6977459999</v>
      </c>
      <c r="X41" s="80"/>
      <c r="Y41" s="90"/>
      <c r="Z41" s="80">
        <f t="shared" si="1"/>
        <v>0</v>
      </c>
      <c r="AA41" s="80">
        <f t="shared" si="2"/>
        <v>0</v>
      </c>
      <c r="AB41" s="80">
        <f t="shared" si="3"/>
        <v>0</v>
      </c>
      <c r="AC41" s="91"/>
      <c r="AD41">
        <v>0.1</v>
      </c>
      <c r="AE41" s="89">
        <f t="shared" si="4"/>
        <v>21860.967000000001</v>
      </c>
      <c r="AF41">
        <v>0.2</v>
      </c>
      <c r="AG41" s="89">
        <f t="shared" si="5"/>
        <v>43721.934000000001</v>
      </c>
    </row>
    <row r="42" spans="1:33" ht="45" customHeight="1" x14ac:dyDescent="0.2">
      <c r="A42" s="120" t="s">
        <v>66</v>
      </c>
      <c r="B42" s="107"/>
      <c r="C42" s="87"/>
      <c r="D42" s="111"/>
      <c r="E42" s="95"/>
      <c r="F42" s="90"/>
      <c r="G42" s="89"/>
      <c r="H42" s="89"/>
      <c r="I42" s="89"/>
      <c r="J42" s="89"/>
      <c r="K42" s="90"/>
      <c r="L42" s="112"/>
      <c r="M42" s="113"/>
      <c r="N42" s="113"/>
      <c r="O42" s="89"/>
      <c r="P42" s="99" t="s">
        <v>40</v>
      </c>
      <c r="Q42" s="89"/>
      <c r="R42" s="89"/>
      <c r="S42" s="89"/>
      <c r="T42" s="99"/>
      <c r="U42" s="89"/>
      <c r="V42" s="125"/>
      <c r="W42" s="89"/>
      <c r="X42" s="80"/>
      <c r="Y42" s="89"/>
      <c r="Z42" s="80">
        <f t="shared" si="1"/>
        <v>0</v>
      </c>
      <c r="AA42" s="80">
        <f t="shared" si="2"/>
        <v>0</v>
      </c>
      <c r="AB42" s="80">
        <f t="shared" si="3"/>
        <v>0</v>
      </c>
      <c r="AC42" s="126"/>
      <c r="AD42">
        <v>0.1</v>
      </c>
      <c r="AE42" s="89"/>
      <c r="AG42" s="89"/>
    </row>
    <row r="43" spans="1:33" x14ac:dyDescent="0.2">
      <c r="A43" s="127"/>
      <c r="B43" s="107"/>
      <c r="C43" s="87" t="s">
        <v>58</v>
      </c>
      <c r="D43" s="72">
        <v>1</v>
      </c>
      <c r="E43" s="73">
        <v>8500</v>
      </c>
      <c r="F43" s="74">
        <f t="shared" si="19"/>
        <v>9350</v>
      </c>
      <c r="G43" s="74">
        <f>9075*1.1+0.5</f>
        <v>9983</v>
      </c>
      <c r="H43" s="74">
        <v>12337.98</v>
      </c>
      <c r="I43" s="74">
        <f t="shared" ref="I43:I49" si="29">H43*$I$12</f>
        <v>13571.778</v>
      </c>
      <c r="J43" s="74">
        <v>14386.084680000002</v>
      </c>
      <c r="K43" s="74">
        <f>ROUND('26.08.22'!K43*1.04,2)</f>
        <v>23402.77</v>
      </c>
      <c r="L43" s="105" t="s">
        <v>67</v>
      </c>
      <c r="M43" s="83">
        <v>30</v>
      </c>
      <c r="N43" s="113"/>
      <c r="O43" s="78">
        <f t="shared" ref="O43:O49" si="30">ROUND((K43*M43/100),2)</f>
        <v>7020.83</v>
      </c>
      <c r="P43" s="78">
        <f>ROUND(K43*1.24,2)</f>
        <v>29019.43</v>
      </c>
      <c r="Q43" s="78">
        <f t="shared" ref="Q43:Q49" si="31">K43*T43</f>
        <v>36040.265800000001</v>
      </c>
      <c r="R43" s="79">
        <f t="shared" ref="R43:R49" si="32">K43+O43+P43+Q43</f>
        <v>95483.295799999993</v>
      </c>
      <c r="S43" s="78">
        <f t="shared" ref="S43:S49" si="33">ROUND(K43*S$12,2)</f>
        <v>5850.69</v>
      </c>
      <c r="T43" s="78">
        <v>1.54</v>
      </c>
      <c r="U43" s="78">
        <f t="shared" ref="U43:U49" si="34">K43+O43+P43+Q43+S43</f>
        <v>101333.98579999999</v>
      </c>
      <c r="V43" s="79">
        <f t="shared" si="15"/>
        <v>83070.46734599999</v>
      </c>
      <c r="W43" s="78">
        <f t="shared" si="0"/>
        <v>88160.567645999996</v>
      </c>
      <c r="X43" s="80">
        <v>3</v>
      </c>
      <c r="Y43" s="78">
        <v>3</v>
      </c>
      <c r="Z43" s="80">
        <f t="shared" si="1"/>
        <v>0</v>
      </c>
      <c r="AA43" s="80">
        <f t="shared" si="2"/>
        <v>0</v>
      </c>
      <c r="AB43" s="80">
        <f t="shared" si="3"/>
        <v>70208.31</v>
      </c>
      <c r="AC43" s="80"/>
      <c r="AD43">
        <v>0.1</v>
      </c>
      <c r="AE43" s="78">
        <f t="shared" si="4"/>
        <v>2340.277</v>
      </c>
      <c r="AF43">
        <v>0.2</v>
      </c>
      <c r="AG43" s="78">
        <f t="shared" si="5"/>
        <v>4680.5540000000001</v>
      </c>
    </row>
    <row r="44" spans="1:33" x14ac:dyDescent="0.2">
      <c r="A44" s="127"/>
      <c r="B44" s="107"/>
      <c r="C44" s="122" t="s">
        <v>60</v>
      </c>
      <c r="D44" s="72">
        <v>1</v>
      </c>
      <c r="E44" s="73">
        <v>5600</v>
      </c>
      <c r="F44" s="74">
        <f>ROUND(E44*F$12,2)</f>
        <v>6160</v>
      </c>
      <c r="G44" s="74">
        <f>F44*1.1*1.1+0.4</f>
        <v>7454.0000000000009</v>
      </c>
      <c r="H44" s="74">
        <v>9212.35</v>
      </c>
      <c r="I44" s="74">
        <f>H44*$I$12</f>
        <v>10133.585000000001</v>
      </c>
      <c r="J44" s="74">
        <v>10741.600100000001</v>
      </c>
      <c r="K44" s="74">
        <f>ROUND('26.08.22'!K44*1.04,2)</f>
        <v>21200.16</v>
      </c>
      <c r="L44" s="75" t="s">
        <v>55</v>
      </c>
      <c r="M44" s="76">
        <v>15</v>
      </c>
      <c r="N44" s="113"/>
      <c r="O44" s="78">
        <f>ROUND((K44*M44/100),2)</f>
        <v>3180.02</v>
      </c>
      <c r="P44" s="78">
        <f t="shared" ref="P44:P49" si="35">ROUND(K44*1.14,2)</f>
        <v>24168.18</v>
      </c>
      <c r="Q44" s="78">
        <f>K44*T44</f>
        <v>32648.2464</v>
      </c>
      <c r="R44" s="79">
        <f>K44+O44+P44+Q44</f>
        <v>81196.606400000004</v>
      </c>
      <c r="S44" s="78">
        <f>ROUND(K44*S$12,2)</f>
        <v>5300.04</v>
      </c>
      <c r="T44" s="78">
        <v>1.54</v>
      </c>
      <c r="U44" s="78">
        <f>K44+O44+P44+Q44+S44</f>
        <v>86496.646399999998</v>
      </c>
      <c r="V44" s="79">
        <f>R44*0.87</f>
        <v>70641.047568000009</v>
      </c>
      <c r="W44" s="78">
        <f>U44*0.87</f>
        <v>75252.082368000003</v>
      </c>
      <c r="X44" s="80"/>
      <c r="Y44" s="78"/>
      <c r="Z44" s="80"/>
      <c r="AA44" s="80"/>
      <c r="AB44" s="80"/>
      <c r="AC44" s="80"/>
      <c r="AE44" s="78"/>
      <c r="AG44" s="78"/>
    </row>
    <row r="45" spans="1:33" ht="12" customHeight="1" x14ac:dyDescent="0.2">
      <c r="A45" s="127"/>
      <c r="B45" s="107"/>
      <c r="C45" s="107" t="s">
        <v>45</v>
      </c>
      <c r="D45" s="109">
        <v>1</v>
      </c>
      <c r="E45" s="73">
        <v>6500</v>
      </c>
      <c r="F45" s="74">
        <f t="shared" si="19"/>
        <v>7150</v>
      </c>
      <c r="G45" s="74">
        <f>F45*1.1*1.1+0.5</f>
        <v>8652.0000000000018</v>
      </c>
      <c r="H45" s="74">
        <v>10692.91</v>
      </c>
      <c r="I45" s="74">
        <f t="shared" si="29"/>
        <v>11762.201000000001</v>
      </c>
      <c r="J45" s="74">
        <v>12467.933060000001</v>
      </c>
      <c r="K45" s="74">
        <f>ROUND('26.08.22'!K45*1.04,2)</f>
        <v>17896.259999999998</v>
      </c>
      <c r="L45" s="75" t="s">
        <v>69</v>
      </c>
      <c r="M45" s="76">
        <v>30</v>
      </c>
      <c r="N45" s="113"/>
      <c r="O45" s="78">
        <f t="shared" si="30"/>
        <v>5368.88</v>
      </c>
      <c r="P45" s="78">
        <f t="shared" si="35"/>
        <v>20401.740000000002</v>
      </c>
      <c r="Q45" s="78">
        <f t="shared" si="31"/>
        <v>27560.240399999999</v>
      </c>
      <c r="R45" s="79">
        <f t="shared" si="32"/>
        <v>71227.1204</v>
      </c>
      <c r="S45" s="78">
        <f t="shared" si="33"/>
        <v>4474.07</v>
      </c>
      <c r="T45" s="78">
        <v>1.54</v>
      </c>
      <c r="U45" s="78">
        <f t="shared" si="34"/>
        <v>75701.190399999992</v>
      </c>
      <c r="V45" s="79">
        <f t="shared" si="15"/>
        <v>61967.594747999996</v>
      </c>
      <c r="W45" s="78">
        <f t="shared" si="0"/>
        <v>65860.03564799999</v>
      </c>
      <c r="X45" s="80">
        <v>3</v>
      </c>
      <c r="Y45" s="78">
        <v>3</v>
      </c>
      <c r="Z45" s="80">
        <f t="shared" si="1"/>
        <v>0</v>
      </c>
      <c r="AA45" s="80">
        <f t="shared" si="2"/>
        <v>0</v>
      </c>
      <c r="AB45" s="80">
        <f t="shared" si="3"/>
        <v>53688.78</v>
      </c>
      <c r="AC45" s="80"/>
      <c r="AD45">
        <v>0.1</v>
      </c>
      <c r="AE45" s="78">
        <f t="shared" si="4"/>
        <v>1789.626</v>
      </c>
      <c r="AF45">
        <v>0.2</v>
      </c>
      <c r="AG45" s="78">
        <f t="shared" si="5"/>
        <v>3579.252</v>
      </c>
    </row>
    <row r="46" spans="1:33" x14ac:dyDescent="0.2">
      <c r="A46" s="127"/>
      <c r="B46" s="107"/>
      <c r="C46" s="107" t="s">
        <v>70</v>
      </c>
      <c r="D46" s="109">
        <v>1</v>
      </c>
      <c r="E46" s="73">
        <v>5600</v>
      </c>
      <c r="F46" s="74">
        <f t="shared" si="19"/>
        <v>6160</v>
      </c>
      <c r="G46" s="74">
        <f>F46*1.1*1.1+0.4</f>
        <v>7454.0000000000009</v>
      </c>
      <c r="H46" s="74">
        <v>9212.35</v>
      </c>
      <c r="I46" s="74">
        <f t="shared" si="29"/>
        <v>10133.585000000001</v>
      </c>
      <c r="J46" s="74">
        <v>10741.600100000001</v>
      </c>
      <c r="K46" s="74">
        <f>ROUND('26.08.22'!K46*1.04,2)</f>
        <v>15418.33</v>
      </c>
      <c r="L46" s="105" t="s">
        <v>224</v>
      </c>
      <c r="M46" s="83">
        <v>30</v>
      </c>
      <c r="N46" s="113"/>
      <c r="O46" s="78">
        <f t="shared" si="30"/>
        <v>4625.5</v>
      </c>
      <c r="P46" s="78">
        <f t="shared" si="35"/>
        <v>17576.900000000001</v>
      </c>
      <c r="Q46" s="78">
        <f t="shared" si="31"/>
        <v>22202.395199999999</v>
      </c>
      <c r="R46" s="79">
        <f t="shared" si="32"/>
        <v>59823.125200000002</v>
      </c>
      <c r="S46" s="78">
        <f t="shared" si="33"/>
        <v>3854.58</v>
      </c>
      <c r="T46" s="78">
        <v>1.44</v>
      </c>
      <c r="U46" s="78">
        <f t="shared" si="34"/>
        <v>63677.705200000004</v>
      </c>
      <c r="V46" s="79">
        <f t="shared" si="15"/>
        <v>52046.118924000002</v>
      </c>
      <c r="W46" s="78">
        <f t="shared" si="0"/>
        <v>55399.603524000006</v>
      </c>
      <c r="X46" s="80">
        <v>3</v>
      </c>
      <c r="Y46" s="78">
        <v>3</v>
      </c>
      <c r="Z46" s="80">
        <f t="shared" si="1"/>
        <v>0</v>
      </c>
      <c r="AA46" s="80">
        <f t="shared" si="2"/>
        <v>0</v>
      </c>
      <c r="AB46" s="80">
        <f t="shared" si="3"/>
        <v>46254.99</v>
      </c>
      <c r="AC46" s="80"/>
      <c r="AD46">
        <v>0.1</v>
      </c>
      <c r="AE46" s="78">
        <f t="shared" si="4"/>
        <v>1541.8330000000001</v>
      </c>
      <c r="AF46">
        <v>0.2</v>
      </c>
      <c r="AG46" s="78">
        <f t="shared" si="5"/>
        <v>3083.6660000000002</v>
      </c>
    </row>
    <row r="47" spans="1:33" x14ac:dyDescent="0.2">
      <c r="A47" s="102"/>
      <c r="B47" s="107"/>
      <c r="C47" s="107" t="s">
        <v>45</v>
      </c>
      <c r="D47" s="109">
        <v>1</v>
      </c>
      <c r="E47" s="73">
        <v>6500</v>
      </c>
      <c r="F47" s="74">
        <f t="shared" si="19"/>
        <v>7150</v>
      </c>
      <c r="G47" s="74">
        <f>F47*1.1*1.1+0.5</f>
        <v>8652.0000000000018</v>
      </c>
      <c r="H47" s="74">
        <v>10692.91</v>
      </c>
      <c r="I47" s="74">
        <f t="shared" si="29"/>
        <v>11762.201000000001</v>
      </c>
      <c r="J47" s="74">
        <v>12467.933060000001</v>
      </c>
      <c r="K47" s="74">
        <f>ROUND('26.08.22'!K47*1.04,2)</f>
        <v>17896.259999999998</v>
      </c>
      <c r="L47" s="128" t="s">
        <v>71</v>
      </c>
      <c r="M47" s="83">
        <v>30</v>
      </c>
      <c r="N47" s="76"/>
      <c r="O47" s="78">
        <f t="shared" si="30"/>
        <v>5368.88</v>
      </c>
      <c r="P47" s="78">
        <f t="shared" si="35"/>
        <v>20401.740000000002</v>
      </c>
      <c r="Q47" s="78">
        <f t="shared" si="31"/>
        <v>27560.240399999999</v>
      </c>
      <c r="R47" s="79">
        <f t="shared" si="32"/>
        <v>71227.1204</v>
      </c>
      <c r="S47" s="78">
        <f t="shared" si="33"/>
        <v>4474.07</v>
      </c>
      <c r="T47" s="78">
        <v>1.54</v>
      </c>
      <c r="U47" s="78">
        <f t="shared" si="34"/>
        <v>75701.190399999992</v>
      </c>
      <c r="V47" s="79">
        <f t="shared" si="15"/>
        <v>61967.594747999996</v>
      </c>
      <c r="W47" s="78">
        <f t="shared" si="0"/>
        <v>65860.03564799999</v>
      </c>
      <c r="X47" s="80">
        <v>3</v>
      </c>
      <c r="Y47" s="78">
        <v>3</v>
      </c>
      <c r="Z47" s="80">
        <f t="shared" si="1"/>
        <v>0</v>
      </c>
      <c r="AA47" s="80">
        <f t="shared" si="2"/>
        <v>0</v>
      </c>
      <c r="AB47" s="80">
        <f t="shared" si="3"/>
        <v>53688.78</v>
      </c>
      <c r="AC47" s="80"/>
      <c r="AD47">
        <v>0.1</v>
      </c>
      <c r="AE47" s="78">
        <f t="shared" si="4"/>
        <v>1789.626</v>
      </c>
      <c r="AF47">
        <v>0.2</v>
      </c>
      <c r="AG47" s="78">
        <f t="shared" si="5"/>
        <v>3579.252</v>
      </c>
    </row>
    <row r="48" spans="1:33" x14ac:dyDescent="0.2">
      <c r="A48" s="102"/>
      <c r="B48" s="107"/>
      <c r="C48" s="107" t="s">
        <v>45</v>
      </c>
      <c r="D48" s="109">
        <v>1</v>
      </c>
      <c r="E48" s="73">
        <v>5600</v>
      </c>
      <c r="F48" s="74">
        <f t="shared" si="19"/>
        <v>6160</v>
      </c>
      <c r="G48" s="74">
        <f>F48*1.1*1.1+0.4</f>
        <v>7454.0000000000009</v>
      </c>
      <c r="H48" s="74">
        <v>9212.35</v>
      </c>
      <c r="I48" s="74">
        <f t="shared" si="29"/>
        <v>10133.585000000001</v>
      </c>
      <c r="J48" s="74">
        <v>10741.600100000001</v>
      </c>
      <c r="K48" s="74">
        <f>ROUND('26.08.22'!K48*1.04,2)</f>
        <v>17896.259999999998</v>
      </c>
      <c r="L48" s="128" t="s">
        <v>72</v>
      </c>
      <c r="M48" s="76">
        <v>30</v>
      </c>
      <c r="N48" s="76"/>
      <c r="O48" s="78">
        <f t="shared" si="30"/>
        <v>5368.88</v>
      </c>
      <c r="P48" s="78">
        <f t="shared" si="35"/>
        <v>20401.740000000002</v>
      </c>
      <c r="Q48" s="78">
        <f t="shared" si="31"/>
        <v>27560.240399999999</v>
      </c>
      <c r="R48" s="79">
        <f t="shared" si="32"/>
        <v>71227.1204</v>
      </c>
      <c r="S48" s="78">
        <f t="shared" si="33"/>
        <v>4474.07</v>
      </c>
      <c r="T48" s="78">
        <v>1.54</v>
      </c>
      <c r="U48" s="78">
        <f t="shared" si="34"/>
        <v>75701.190399999992</v>
      </c>
      <c r="V48" s="79">
        <f t="shared" si="15"/>
        <v>61967.594747999996</v>
      </c>
      <c r="W48" s="78">
        <f t="shared" si="0"/>
        <v>65860.03564799999</v>
      </c>
      <c r="X48" s="80">
        <v>3</v>
      </c>
      <c r="Y48" s="78">
        <v>3</v>
      </c>
      <c r="Z48" s="80">
        <f t="shared" si="1"/>
        <v>0</v>
      </c>
      <c r="AA48" s="80">
        <f t="shared" si="2"/>
        <v>0</v>
      </c>
      <c r="AB48" s="80">
        <f t="shared" si="3"/>
        <v>53688.78</v>
      </c>
      <c r="AC48" s="80"/>
      <c r="AD48">
        <v>0.1</v>
      </c>
      <c r="AE48" s="78">
        <f t="shared" si="4"/>
        <v>1789.626</v>
      </c>
      <c r="AF48">
        <v>0.2</v>
      </c>
      <c r="AG48" s="78">
        <f t="shared" si="5"/>
        <v>3579.252</v>
      </c>
    </row>
    <row r="49" spans="1:33" x14ac:dyDescent="0.2">
      <c r="A49" s="102"/>
      <c r="B49" s="107"/>
      <c r="C49" s="107" t="s">
        <v>45</v>
      </c>
      <c r="D49" s="109">
        <v>1</v>
      </c>
      <c r="E49" s="73">
        <v>5600</v>
      </c>
      <c r="F49" s="74">
        <f t="shared" si="19"/>
        <v>6160</v>
      </c>
      <c r="G49" s="74">
        <f>F49*1.1*1.1+0.4</f>
        <v>7454.0000000000009</v>
      </c>
      <c r="H49" s="74">
        <v>9213.35</v>
      </c>
      <c r="I49" s="74">
        <f t="shared" si="29"/>
        <v>10134.685000000001</v>
      </c>
      <c r="J49" s="74">
        <v>10741.600100000001</v>
      </c>
      <c r="K49" s="74">
        <f>ROUND('26.08.22'!K49*1.04,2)</f>
        <v>17896.259999999998</v>
      </c>
      <c r="L49" s="128" t="s">
        <v>68</v>
      </c>
      <c r="M49" s="76">
        <v>30</v>
      </c>
      <c r="N49" s="76"/>
      <c r="O49" s="78">
        <f t="shared" si="30"/>
        <v>5368.88</v>
      </c>
      <c r="P49" s="78">
        <f t="shared" si="35"/>
        <v>20401.740000000002</v>
      </c>
      <c r="Q49" s="78">
        <f t="shared" si="31"/>
        <v>27560.240399999999</v>
      </c>
      <c r="R49" s="79">
        <f t="shared" si="32"/>
        <v>71227.1204</v>
      </c>
      <c r="S49" s="78">
        <f t="shared" si="33"/>
        <v>4474.07</v>
      </c>
      <c r="T49" s="78">
        <v>1.54</v>
      </c>
      <c r="U49" s="78">
        <f t="shared" si="34"/>
        <v>75701.190399999992</v>
      </c>
      <c r="V49" s="79">
        <f t="shared" si="15"/>
        <v>61967.594747999996</v>
      </c>
      <c r="W49" s="78">
        <f t="shared" si="0"/>
        <v>65860.03564799999</v>
      </c>
      <c r="X49" s="80">
        <v>3</v>
      </c>
      <c r="Y49" s="78">
        <v>3</v>
      </c>
      <c r="Z49" s="80">
        <f t="shared" si="1"/>
        <v>0</v>
      </c>
      <c r="AA49" s="80">
        <f t="shared" si="2"/>
        <v>0</v>
      </c>
      <c r="AB49" s="80">
        <f t="shared" si="3"/>
        <v>53688.78</v>
      </c>
      <c r="AC49" s="80"/>
      <c r="AD49">
        <v>1.1000000000000001</v>
      </c>
      <c r="AE49" s="78">
        <f t="shared" si="4"/>
        <v>19685.885999999999</v>
      </c>
      <c r="AF49">
        <v>1.2</v>
      </c>
      <c r="AG49" s="78">
        <f t="shared" si="5"/>
        <v>21475.511999999999</v>
      </c>
    </row>
    <row r="50" spans="1:33" x14ac:dyDescent="0.2">
      <c r="A50" s="86"/>
      <c r="B50" s="87"/>
      <c r="C50" s="87" t="s">
        <v>51</v>
      </c>
      <c r="D50" s="88">
        <f>SUM(D43:D48)+D49</f>
        <v>7</v>
      </c>
      <c r="E50" s="89">
        <f>SUM(E29:E48)</f>
        <v>99900</v>
      </c>
      <c r="F50" s="89">
        <f>SUM(F29:F48)</f>
        <v>110880</v>
      </c>
      <c r="G50" s="89">
        <f>SUM(G43:G48)</f>
        <v>49649</v>
      </c>
      <c r="H50" s="89">
        <f>SUM(H43:H48)</f>
        <v>61360.85</v>
      </c>
      <c r="I50" s="89">
        <f>SUM(I43:I48)</f>
        <v>67496.934999999998</v>
      </c>
      <c r="J50" s="89">
        <v>71546.751099999994</v>
      </c>
      <c r="K50" s="90">
        <f>SUM(K43:K49)</f>
        <v>131606.29999999999</v>
      </c>
      <c r="L50" s="90"/>
      <c r="M50" s="90"/>
      <c r="N50" s="90">
        <f t="shared" ref="N50" si="36">SUM(N43:N48)</f>
        <v>0</v>
      </c>
      <c r="O50" s="90">
        <f>SUM(O43:O49)</f>
        <v>36301.870000000003</v>
      </c>
      <c r="P50" s="90">
        <f t="shared" ref="P50:AG50" si="37">SUM(P43:P49)</f>
        <v>152371.47</v>
      </c>
      <c r="Q50" s="90">
        <f t="shared" si="37"/>
        <v>201131.86900000001</v>
      </c>
      <c r="R50" s="90">
        <f t="shared" si="37"/>
        <v>521411.50900000008</v>
      </c>
      <c r="S50" s="90">
        <f t="shared" si="37"/>
        <v>32901.589999999997</v>
      </c>
      <c r="T50" s="90">
        <f t="shared" si="37"/>
        <v>10.68</v>
      </c>
      <c r="U50" s="90">
        <f t="shared" si="37"/>
        <v>554313.09899999993</v>
      </c>
      <c r="V50" s="90">
        <f t="shared" si="37"/>
        <v>453628.01282999991</v>
      </c>
      <c r="W50" s="90">
        <f t="shared" si="37"/>
        <v>482252.39612999989</v>
      </c>
      <c r="X50" s="90">
        <f t="shared" si="37"/>
        <v>18</v>
      </c>
      <c r="Y50" s="90">
        <f t="shared" si="37"/>
        <v>18</v>
      </c>
      <c r="Z50" s="90">
        <f t="shared" si="37"/>
        <v>0</v>
      </c>
      <c r="AA50" s="90">
        <f t="shared" si="37"/>
        <v>0</v>
      </c>
      <c r="AB50" s="90">
        <f t="shared" si="37"/>
        <v>331218.42000000004</v>
      </c>
      <c r="AC50" s="90">
        <f t="shared" si="37"/>
        <v>0</v>
      </c>
      <c r="AD50" s="90">
        <f t="shared" si="37"/>
        <v>1.6</v>
      </c>
      <c r="AE50" s="90">
        <f t="shared" si="37"/>
        <v>28936.874</v>
      </c>
      <c r="AF50" s="90">
        <f t="shared" si="37"/>
        <v>2.2000000000000002</v>
      </c>
      <c r="AG50" s="90">
        <f t="shared" si="37"/>
        <v>39977.487999999998</v>
      </c>
    </row>
    <row r="51" spans="1:33" ht="26.25" customHeight="1" x14ac:dyDescent="0.2">
      <c r="A51" s="86"/>
      <c r="B51" s="87"/>
      <c r="C51" s="70" t="s">
        <v>73</v>
      </c>
      <c r="D51" s="88">
        <f>D26+D27+D41+D50</f>
        <v>21</v>
      </c>
      <c r="E51" s="89"/>
      <c r="F51" s="89"/>
      <c r="G51" s="89">
        <f>G26+G27+G41+G50</f>
        <v>133506</v>
      </c>
      <c r="H51" s="89">
        <f>H26+H27+H41+H50</f>
        <v>164999.82</v>
      </c>
      <c r="I51" s="89">
        <f>I26+I27+I41+I50</f>
        <v>181499.80200000003</v>
      </c>
      <c r="J51" s="89">
        <v>194116.12308000002</v>
      </c>
      <c r="K51" s="90">
        <f>K26+K27+K41+K50</f>
        <v>404455.37999999995</v>
      </c>
      <c r="L51" s="90"/>
      <c r="M51" s="90"/>
      <c r="N51" s="90">
        <f t="shared" ref="N51" si="38">N26+N27+N41+N50</f>
        <v>0</v>
      </c>
      <c r="O51" s="90">
        <f>O26+O27+O41+O50</f>
        <v>114054.22999999998</v>
      </c>
      <c r="P51" s="90">
        <f t="shared" ref="P51:W51" si="39">P26+P27+P41+P50</f>
        <v>468471.69999999995</v>
      </c>
      <c r="Q51" s="90">
        <f t="shared" si="39"/>
        <v>618235.78619999997</v>
      </c>
      <c r="R51" s="90">
        <f t="shared" si="39"/>
        <v>1605217.0962</v>
      </c>
      <c r="S51" s="90">
        <f t="shared" si="39"/>
        <v>101113.9</v>
      </c>
      <c r="T51" s="90">
        <f t="shared" si="39"/>
        <v>32.04</v>
      </c>
      <c r="U51" s="90">
        <f t="shared" si="39"/>
        <v>1706330.9961999995</v>
      </c>
      <c r="V51" s="90">
        <f t="shared" si="39"/>
        <v>1396538.8736939998</v>
      </c>
      <c r="W51" s="90">
        <f t="shared" si="39"/>
        <v>1484507.9666939997</v>
      </c>
      <c r="X51" s="80"/>
      <c r="Y51" s="90"/>
      <c r="Z51" s="80"/>
      <c r="AA51" s="80">
        <f t="shared" si="2"/>
        <v>0</v>
      </c>
      <c r="AB51" s="80">
        <f t="shared" si="3"/>
        <v>0</v>
      </c>
      <c r="AC51" s="91"/>
      <c r="AD51">
        <v>0.1</v>
      </c>
      <c r="AE51" s="89">
        <f>K51*AD51</f>
        <v>40445.538</v>
      </c>
      <c r="AF51">
        <v>0.2</v>
      </c>
      <c r="AG51" s="89">
        <f>AF51*K51</f>
        <v>80891.076000000001</v>
      </c>
    </row>
    <row r="52" spans="1:33" ht="26.25" customHeight="1" x14ac:dyDescent="0.2">
      <c r="A52" s="59" t="s">
        <v>74</v>
      </c>
      <c r="B52" s="93"/>
      <c r="C52" s="93"/>
      <c r="D52" s="94"/>
      <c r="E52" s="95"/>
      <c r="F52" s="95"/>
      <c r="G52" s="95"/>
      <c r="H52" s="95"/>
      <c r="I52" s="95"/>
      <c r="J52" s="95"/>
      <c r="K52" s="90"/>
      <c r="L52" s="90"/>
      <c r="M52" s="87"/>
      <c r="N52" s="97"/>
      <c r="O52" s="98"/>
      <c r="P52" s="99" t="s">
        <v>40</v>
      </c>
      <c r="Q52" s="98"/>
      <c r="R52" s="98"/>
      <c r="S52" s="98"/>
      <c r="T52" s="99"/>
      <c r="U52" s="98"/>
      <c r="V52" s="100"/>
      <c r="W52" s="98"/>
      <c r="X52" s="80"/>
      <c r="Y52" s="98"/>
      <c r="Z52" s="80"/>
      <c r="AA52" s="80">
        <f t="shared" si="2"/>
        <v>0</v>
      </c>
      <c r="AB52" s="80">
        <f t="shared" si="3"/>
        <v>0</v>
      </c>
      <c r="AC52" s="101"/>
      <c r="AD52">
        <v>0.1</v>
      </c>
      <c r="AE52" s="98"/>
      <c r="AG52" s="98"/>
    </row>
    <row r="53" spans="1:33" x14ac:dyDescent="0.2">
      <c r="A53" s="102"/>
      <c r="B53" s="87"/>
      <c r="C53" s="87" t="s">
        <v>58</v>
      </c>
      <c r="D53" s="72">
        <v>1</v>
      </c>
      <c r="E53" s="73">
        <v>8500</v>
      </c>
      <c r="F53" s="74">
        <f>ROUND(E53*F$12,2)</f>
        <v>9350</v>
      </c>
      <c r="G53" s="74">
        <f>F53*1.1*1.1+0.5</f>
        <v>11314.000000000002</v>
      </c>
      <c r="H53" s="74">
        <v>13983.03</v>
      </c>
      <c r="I53" s="74">
        <f>H53*$I$12</f>
        <v>15381.333000000002</v>
      </c>
      <c r="J53" s="74">
        <v>16304.212980000004</v>
      </c>
      <c r="K53" s="74">
        <f>ROUND('26.08.22'!K53*1.04,2)</f>
        <v>23402.77</v>
      </c>
      <c r="L53" s="75" t="s">
        <v>76</v>
      </c>
      <c r="M53" s="83">
        <v>30</v>
      </c>
      <c r="N53" s="76"/>
      <c r="O53" s="78">
        <f>ROUND((K53*M53/100),2)</f>
        <v>7020.83</v>
      </c>
      <c r="P53" s="78">
        <f>ROUND(K53*1.24,2)</f>
        <v>29019.43</v>
      </c>
      <c r="Q53" s="78">
        <f>K53*T53</f>
        <v>36040.265800000001</v>
      </c>
      <c r="R53" s="79">
        <f>K53+O53+P53+Q53</f>
        <v>95483.295799999993</v>
      </c>
      <c r="S53" s="78">
        <f>ROUND(K53*S$12,2)</f>
        <v>5850.69</v>
      </c>
      <c r="T53" s="78">
        <v>1.54</v>
      </c>
      <c r="U53" s="78">
        <f>K53+O53+P53+Q53+S53</f>
        <v>101333.98579999999</v>
      </c>
      <c r="V53" s="79">
        <f t="shared" si="15"/>
        <v>83070.46734599999</v>
      </c>
      <c r="W53" s="78">
        <f t="shared" si="0"/>
        <v>88160.567645999996</v>
      </c>
      <c r="X53" s="80">
        <v>3</v>
      </c>
      <c r="Y53" s="78">
        <v>3</v>
      </c>
      <c r="Z53" s="80">
        <f t="shared" si="1"/>
        <v>0</v>
      </c>
      <c r="AA53" s="80">
        <f t="shared" si="2"/>
        <v>0</v>
      </c>
      <c r="AB53" s="80">
        <f t="shared" si="3"/>
        <v>70208.31</v>
      </c>
      <c r="AC53" s="80"/>
      <c r="AD53">
        <v>0.1</v>
      </c>
      <c r="AE53" s="78">
        <f t="shared" si="4"/>
        <v>2340.277</v>
      </c>
      <c r="AF53">
        <v>0.2</v>
      </c>
      <c r="AG53" s="78">
        <f t="shared" si="5"/>
        <v>4680.5540000000001</v>
      </c>
    </row>
    <row r="54" spans="1:33" ht="12.75" customHeight="1" x14ac:dyDescent="0.2">
      <c r="A54" s="102"/>
      <c r="B54" s="107"/>
      <c r="C54" s="107" t="s">
        <v>75</v>
      </c>
      <c r="D54" s="109">
        <v>1</v>
      </c>
      <c r="E54" s="73">
        <v>6500</v>
      </c>
      <c r="F54" s="74">
        <f>ROUND(E54*F$12,2)</f>
        <v>7150</v>
      </c>
      <c r="G54" s="74">
        <f>F54*1.1*1.1+0.5</f>
        <v>8652.0000000000018</v>
      </c>
      <c r="H54" s="74">
        <v>10692.91</v>
      </c>
      <c r="I54" s="74">
        <f>H54*$I$12</f>
        <v>11762.201000000001</v>
      </c>
      <c r="J54" s="74">
        <v>12467.933060000001</v>
      </c>
      <c r="K54" s="74">
        <f>ROUND('26.08.22'!K54*1.04,2)</f>
        <v>17896.259999999998</v>
      </c>
      <c r="L54" s="75" t="s">
        <v>213</v>
      </c>
      <c r="M54" s="76">
        <v>30</v>
      </c>
      <c r="N54" s="76"/>
      <c r="O54" s="78">
        <f>ROUND((K54*M54/100),2)</f>
        <v>5368.88</v>
      </c>
      <c r="P54" s="78">
        <f>ROUND(K54*1.14,2)</f>
        <v>20401.740000000002</v>
      </c>
      <c r="Q54" s="78">
        <f>K54*T54</f>
        <v>27560.240399999999</v>
      </c>
      <c r="R54" s="79">
        <f>K54+O54+P54+Q54</f>
        <v>71227.1204</v>
      </c>
      <c r="S54" s="78">
        <f>ROUND(K54*S$12,2)</f>
        <v>4474.07</v>
      </c>
      <c r="T54" s="78">
        <v>1.54</v>
      </c>
      <c r="U54" s="78">
        <f>K54+O54+P54+Q54+S54</f>
        <v>75701.190399999992</v>
      </c>
      <c r="V54" s="79">
        <f t="shared" si="15"/>
        <v>61967.594747999996</v>
      </c>
      <c r="W54" s="78">
        <f t="shared" si="0"/>
        <v>65860.03564799999</v>
      </c>
      <c r="X54" s="80">
        <v>3</v>
      </c>
      <c r="Y54" s="78">
        <v>3</v>
      </c>
      <c r="Z54" s="80">
        <f t="shared" si="1"/>
        <v>0</v>
      </c>
      <c r="AA54" s="80">
        <f t="shared" si="2"/>
        <v>0</v>
      </c>
      <c r="AB54" s="80">
        <f t="shared" si="3"/>
        <v>53688.78</v>
      </c>
      <c r="AC54" s="80"/>
      <c r="AD54">
        <v>0.1</v>
      </c>
      <c r="AE54" s="78">
        <f t="shared" si="4"/>
        <v>1789.626</v>
      </c>
      <c r="AF54">
        <v>0.2</v>
      </c>
      <c r="AG54" s="78">
        <f t="shared" si="5"/>
        <v>3579.252</v>
      </c>
    </row>
    <row r="55" spans="1:33" ht="19.5" customHeight="1" x14ac:dyDescent="0.2">
      <c r="A55" s="102"/>
      <c r="B55" s="87"/>
      <c r="C55" s="87" t="s">
        <v>51</v>
      </c>
      <c r="D55" s="88">
        <f>SUM(D53:D54)</f>
        <v>2</v>
      </c>
      <c r="E55" s="95">
        <f t="shared" ref="E55:I55" si="40">SUM(E53:E54)</f>
        <v>15000</v>
      </c>
      <c r="F55" s="95">
        <f t="shared" si="40"/>
        <v>16500</v>
      </c>
      <c r="G55" s="95">
        <f t="shared" si="40"/>
        <v>19966.000000000004</v>
      </c>
      <c r="H55" s="95">
        <f t="shared" si="40"/>
        <v>24675.940000000002</v>
      </c>
      <c r="I55" s="95">
        <f t="shared" si="40"/>
        <v>27143.534000000003</v>
      </c>
      <c r="J55" s="95">
        <v>28772.146040000003</v>
      </c>
      <c r="K55" s="90">
        <f>SUM(K53:K54)</f>
        <v>41299.03</v>
      </c>
      <c r="L55" s="90"/>
      <c r="M55" s="90"/>
      <c r="N55" s="90">
        <f t="shared" ref="N55" si="41">SUM(N53:N54)</f>
        <v>0</v>
      </c>
      <c r="O55" s="90">
        <f>SUM(O53:O54)</f>
        <v>12389.71</v>
      </c>
      <c r="P55" s="90">
        <f t="shared" ref="P55:W55" si="42">SUM(P53:P54)</f>
        <v>49421.17</v>
      </c>
      <c r="Q55" s="90">
        <f t="shared" si="42"/>
        <v>63600.506200000003</v>
      </c>
      <c r="R55" s="90">
        <f t="shared" si="42"/>
        <v>166710.41619999998</v>
      </c>
      <c r="S55" s="90">
        <f t="shared" si="42"/>
        <v>10324.759999999998</v>
      </c>
      <c r="T55" s="90">
        <f t="shared" si="42"/>
        <v>3.08</v>
      </c>
      <c r="U55" s="90">
        <f t="shared" si="42"/>
        <v>177035.17619999999</v>
      </c>
      <c r="V55" s="90">
        <f t="shared" si="42"/>
        <v>145038.06209399999</v>
      </c>
      <c r="W55" s="90">
        <f t="shared" si="42"/>
        <v>154020.60329399997</v>
      </c>
      <c r="X55" s="80"/>
      <c r="Y55" s="90"/>
      <c r="Z55" s="80"/>
      <c r="AA55" s="80">
        <f t="shared" si="2"/>
        <v>0</v>
      </c>
      <c r="AB55" s="80">
        <f t="shared" si="3"/>
        <v>0</v>
      </c>
      <c r="AC55" s="91"/>
      <c r="AD55">
        <v>0.1</v>
      </c>
      <c r="AE55" s="95">
        <f t="shared" si="4"/>
        <v>4129.9030000000002</v>
      </c>
      <c r="AF55">
        <v>0.2</v>
      </c>
      <c r="AG55" s="95">
        <f t="shared" si="5"/>
        <v>8259.8060000000005</v>
      </c>
    </row>
    <row r="56" spans="1:33" ht="44.25" customHeight="1" x14ac:dyDescent="0.2">
      <c r="A56" s="59" t="s">
        <v>77</v>
      </c>
      <c r="B56" s="129"/>
      <c r="C56" s="129"/>
      <c r="D56" s="94"/>
      <c r="E56" s="95"/>
      <c r="F56" s="95"/>
      <c r="G56" s="95"/>
      <c r="H56" s="95"/>
      <c r="I56" s="95"/>
      <c r="J56" s="95"/>
      <c r="K56" s="90"/>
      <c r="L56" s="96"/>
      <c r="M56" s="97"/>
      <c r="N56" s="97"/>
      <c r="O56" s="98"/>
      <c r="P56" s="130">
        <v>1.19</v>
      </c>
      <c r="Q56" s="98"/>
      <c r="R56" s="98"/>
      <c r="S56" s="98"/>
      <c r="T56" s="130"/>
      <c r="U56" s="98"/>
      <c r="V56" s="100"/>
      <c r="W56" s="98"/>
      <c r="X56" s="80"/>
      <c r="Y56" s="98"/>
      <c r="Z56" s="80"/>
      <c r="AA56" s="80">
        <f t="shared" si="2"/>
        <v>0</v>
      </c>
      <c r="AB56" s="80">
        <f t="shared" si="3"/>
        <v>0</v>
      </c>
      <c r="AC56" s="101"/>
      <c r="AD56">
        <v>0.1</v>
      </c>
      <c r="AE56" s="98"/>
      <c r="AG56" s="98"/>
    </row>
    <row r="57" spans="1:33" ht="25.5" x14ac:dyDescent="0.2">
      <c r="A57" s="102"/>
      <c r="B57" s="87"/>
      <c r="C57" s="70" t="s">
        <v>193</v>
      </c>
      <c r="D57" s="72">
        <v>1</v>
      </c>
      <c r="E57" s="73">
        <v>9600</v>
      </c>
      <c r="F57" s="74">
        <f>ROUND(E57*F$12,2)</f>
        <v>10560</v>
      </c>
      <c r="G57" s="74">
        <f>F57*1.1*1.1+0.4</f>
        <v>12778.000000000002</v>
      </c>
      <c r="H57" s="74">
        <v>15792.6</v>
      </c>
      <c r="I57" s="74">
        <f>H57*$I$12</f>
        <v>17371.86</v>
      </c>
      <c r="J57" s="74">
        <v>18414.171600000001</v>
      </c>
      <c r="K57" s="74">
        <f>ROUND('26.08.22'!K57*1.04,2)</f>
        <v>30285.94</v>
      </c>
      <c r="L57" s="75" t="s">
        <v>78</v>
      </c>
      <c r="M57" s="76">
        <v>30</v>
      </c>
      <c r="N57" s="76"/>
      <c r="O57" s="78">
        <f>ROUND((K57*M57/100),2)</f>
        <v>9085.7800000000007</v>
      </c>
      <c r="P57" s="78">
        <f>ROUND(K57*1.19,2)</f>
        <v>36040.269999999997</v>
      </c>
      <c r="Q57" s="78">
        <f>K57*T57</f>
        <v>46640.347600000001</v>
      </c>
      <c r="R57" s="79">
        <f>K57+O57+P57+Q57</f>
        <v>122052.3376</v>
      </c>
      <c r="S57" s="78">
        <f>ROUND(K57*S$12,2)</f>
        <v>7571.49</v>
      </c>
      <c r="T57" s="78">
        <v>1.54</v>
      </c>
      <c r="U57" s="78">
        <f>K57+O57+P57+Q57+S57</f>
        <v>129623.8276</v>
      </c>
      <c r="V57" s="79">
        <f t="shared" si="15"/>
        <v>106185.533712</v>
      </c>
      <c r="W57" s="78">
        <f t="shared" si="0"/>
        <v>112772.730012</v>
      </c>
      <c r="X57" s="80">
        <v>3</v>
      </c>
      <c r="Y57" s="78"/>
      <c r="Z57" s="80">
        <f t="shared" si="1"/>
        <v>3</v>
      </c>
      <c r="AA57" s="80">
        <f t="shared" si="2"/>
        <v>90857.819999999992</v>
      </c>
      <c r="AB57" s="80">
        <f t="shared" si="3"/>
        <v>0</v>
      </c>
      <c r="AC57" s="80"/>
      <c r="AD57">
        <v>0.1</v>
      </c>
      <c r="AE57" s="78">
        <f t="shared" si="4"/>
        <v>3028.5940000000001</v>
      </c>
      <c r="AF57">
        <v>0.2</v>
      </c>
      <c r="AG57" s="78">
        <f t="shared" si="5"/>
        <v>6057.1880000000001</v>
      </c>
    </row>
    <row r="58" spans="1:33" ht="32.25" customHeight="1" x14ac:dyDescent="0.2">
      <c r="A58" s="102"/>
      <c r="B58" s="82"/>
      <c r="C58" s="82" t="s">
        <v>79</v>
      </c>
      <c r="D58" s="72">
        <v>1</v>
      </c>
      <c r="E58" s="73">
        <v>8700</v>
      </c>
      <c r="F58" s="74">
        <f>ROUND(E58*F$12,2)</f>
        <v>9570</v>
      </c>
      <c r="G58" s="74">
        <f>F58*1.1*1.1+0.3</f>
        <v>11580</v>
      </c>
      <c r="H58" s="74">
        <v>14312.05</v>
      </c>
      <c r="I58" s="74">
        <f>H58*$I$12</f>
        <v>15743.255000000001</v>
      </c>
      <c r="J58" s="74">
        <v>16687.850300000002</v>
      </c>
      <c r="K58" s="74">
        <f>ROUND('26.08.22'!K58*1.04,2)</f>
        <v>23953.47</v>
      </c>
      <c r="L58" s="75" t="s">
        <v>202</v>
      </c>
      <c r="M58" s="83">
        <v>15</v>
      </c>
      <c r="N58" s="76"/>
      <c r="O58" s="78">
        <f>ROUND((K58*M58/100),2)</f>
        <v>3593.02</v>
      </c>
      <c r="P58" s="78">
        <f>ROUND(K58*1.19,2)</f>
        <v>28504.63</v>
      </c>
      <c r="Q58" s="78">
        <f>K58*T58</f>
        <v>36888.343800000002</v>
      </c>
      <c r="R58" s="79">
        <f>K58+O58+P58+Q58</f>
        <v>92939.463799999998</v>
      </c>
      <c r="S58" s="78">
        <f>ROUND(K58*S$12,2)</f>
        <v>5988.37</v>
      </c>
      <c r="T58" s="78">
        <v>1.54</v>
      </c>
      <c r="U58" s="78">
        <f>K58+O58+P58+Q58+S58</f>
        <v>98927.833799999993</v>
      </c>
      <c r="V58" s="79">
        <f t="shared" si="15"/>
        <v>80857.333505999995</v>
      </c>
      <c r="W58" s="78">
        <f t="shared" si="0"/>
        <v>86067.215405999988</v>
      </c>
      <c r="X58" s="80">
        <v>3</v>
      </c>
      <c r="Y58" s="78">
        <v>0</v>
      </c>
      <c r="Z58" s="80">
        <f t="shared" si="1"/>
        <v>3</v>
      </c>
      <c r="AA58" s="80">
        <f t="shared" si="2"/>
        <v>71860.41</v>
      </c>
      <c r="AB58" s="80">
        <f t="shared" si="3"/>
        <v>0</v>
      </c>
      <c r="AC58" s="80"/>
      <c r="AD58">
        <v>0.1</v>
      </c>
      <c r="AE58" s="78">
        <f t="shared" si="4"/>
        <v>2395.3470000000002</v>
      </c>
      <c r="AF58">
        <v>0.2</v>
      </c>
      <c r="AG58" s="78">
        <f t="shared" si="5"/>
        <v>4790.6940000000004</v>
      </c>
    </row>
    <row r="59" spans="1:33" ht="40.5" customHeight="1" x14ac:dyDescent="0.2">
      <c r="A59" s="131" t="s">
        <v>80</v>
      </c>
      <c r="B59" s="131"/>
      <c r="C59" s="131"/>
      <c r="D59" s="132"/>
      <c r="E59" s="95"/>
      <c r="F59" s="95"/>
      <c r="G59" s="95"/>
      <c r="H59" s="95"/>
      <c r="I59" s="95"/>
      <c r="J59" s="95"/>
      <c r="K59" s="90"/>
      <c r="L59" s="90"/>
      <c r="M59" s="113"/>
      <c r="N59" s="113"/>
      <c r="O59" s="90"/>
      <c r="P59" s="99" t="s">
        <v>40</v>
      </c>
      <c r="Q59" s="90"/>
      <c r="R59" s="90"/>
      <c r="S59" s="90"/>
      <c r="T59" s="99"/>
      <c r="U59" s="90"/>
      <c r="V59" s="79"/>
      <c r="W59" s="90"/>
      <c r="X59" s="80"/>
      <c r="Y59" s="90"/>
      <c r="Z59" s="80"/>
      <c r="AA59" s="80">
        <f t="shared" si="2"/>
        <v>0</v>
      </c>
      <c r="AB59" s="80">
        <f t="shared" si="3"/>
        <v>0</v>
      </c>
      <c r="AC59" s="91"/>
      <c r="AD59">
        <v>0.1</v>
      </c>
      <c r="AE59" s="90"/>
      <c r="AG59" s="90"/>
    </row>
    <row r="60" spans="1:33" x14ac:dyDescent="0.2">
      <c r="A60" s="102"/>
      <c r="B60" s="87"/>
      <c r="C60" s="87" t="s">
        <v>58</v>
      </c>
      <c r="D60" s="72">
        <v>1</v>
      </c>
      <c r="E60" s="73">
        <v>8500</v>
      </c>
      <c r="F60" s="74">
        <v>8250</v>
      </c>
      <c r="G60" s="74">
        <f>F60*1.1*1.1+0.5</f>
        <v>9983</v>
      </c>
      <c r="H60" s="74">
        <v>12337.98</v>
      </c>
      <c r="I60" s="74">
        <f t="shared" ref="I60:I65" si="43">H60*$I$12</f>
        <v>13571.778</v>
      </c>
      <c r="J60" s="74">
        <v>14386.084680000002</v>
      </c>
      <c r="K60" s="74">
        <f>ROUND('26.08.22'!K60*1.04,2)</f>
        <v>23402.77</v>
      </c>
      <c r="L60" s="75" t="s">
        <v>81</v>
      </c>
      <c r="M60" s="83">
        <v>30</v>
      </c>
      <c r="N60" s="76"/>
      <c r="O60" s="78">
        <f>ROUND((K60*M60/100),2)</f>
        <v>7020.83</v>
      </c>
      <c r="P60" s="78">
        <f>ROUND(K60*1.24,2)</f>
        <v>29019.43</v>
      </c>
      <c r="Q60" s="78">
        <f>K60*T60</f>
        <v>36040.265800000001</v>
      </c>
      <c r="R60" s="79">
        <f>K60+O60+P60+Q60</f>
        <v>95483.295799999993</v>
      </c>
      <c r="S60" s="78">
        <f>ROUND(K60*S$12,2)</f>
        <v>5850.69</v>
      </c>
      <c r="T60" s="78">
        <v>1.54</v>
      </c>
      <c r="U60" s="78">
        <f>K60+O60+P60+Q60+S60</f>
        <v>101333.98579999999</v>
      </c>
      <c r="V60" s="79">
        <f t="shared" si="15"/>
        <v>83070.46734599999</v>
      </c>
      <c r="W60" s="78">
        <f t="shared" si="0"/>
        <v>88160.567645999996</v>
      </c>
      <c r="X60" s="80">
        <v>3</v>
      </c>
      <c r="Y60" s="78">
        <v>2</v>
      </c>
      <c r="Z60" s="80">
        <f t="shared" si="1"/>
        <v>1</v>
      </c>
      <c r="AA60" s="80">
        <f t="shared" si="2"/>
        <v>23402.77</v>
      </c>
      <c r="AB60" s="80">
        <f t="shared" si="3"/>
        <v>46805.54</v>
      </c>
      <c r="AC60" s="80"/>
      <c r="AD60">
        <v>0.1</v>
      </c>
      <c r="AE60" s="78">
        <f t="shared" si="4"/>
        <v>2340.277</v>
      </c>
      <c r="AF60">
        <v>0.2</v>
      </c>
      <c r="AG60" s="78">
        <f t="shared" si="5"/>
        <v>4680.5540000000001</v>
      </c>
    </row>
    <row r="61" spans="1:33" ht="15" customHeight="1" x14ac:dyDescent="0.2">
      <c r="A61" s="102"/>
      <c r="B61" s="87"/>
      <c r="C61" s="122" t="s">
        <v>60</v>
      </c>
      <c r="D61" s="72">
        <v>1</v>
      </c>
      <c r="E61" s="73"/>
      <c r="F61" s="74"/>
      <c r="G61" s="74"/>
      <c r="H61" s="74">
        <v>10692.91</v>
      </c>
      <c r="I61" s="74">
        <f>H61*$I$12</f>
        <v>11762.201000000001</v>
      </c>
      <c r="J61" s="74">
        <v>12467.933060000001</v>
      </c>
      <c r="K61" s="74">
        <f>ROUND('26.08.22'!K61*1.04,2)</f>
        <v>21200.16</v>
      </c>
      <c r="L61" s="75" t="s">
        <v>203</v>
      </c>
      <c r="M61" s="83">
        <v>20</v>
      </c>
      <c r="N61" s="76"/>
      <c r="O61" s="78">
        <f>ROUND((K61*M61/100),2)</f>
        <v>4240.03</v>
      </c>
      <c r="P61" s="78">
        <f>ROUND(K61*1.14,2)</f>
        <v>24168.18</v>
      </c>
      <c r="Q61" s="78">
        <f>K61*T61</f>
        <v>32648.2464</v>
      </c>
      <c r="R61" s="79">
        <f>K61+O61+P61+Q61</f>
        <v>82256.616399999999</v>
      </c>
      <c r="S61" s="78">
        <f>ROUND(K61*S$12,2)</f>
        <v>5300.04</v>
      </c>
      <c r="T61" s="78">
        <v>1.54</v>
      </c>
      <c r="U61" s="78">
        <f>K61+O61+P61+Q61+S61</f>
        <v>87556.656399999993</v>
      </c>
      <c r="V61" s="79">
        <f>R61*0.87</f>
        <v>71563.256267999997</v>
      </c>
      <c r="W61" s="78">
        <f>U61*0.87</f>
        <v>76174.291067999991</v>
      </c>
      <c r="X61" s="80">
        <v>3</v>
      </c>
      <c r="Y61" s="78">
        <v>3</v>
      </c>
      <c r="Z61" s="80">
        <f t="shared" si="1"/>
        <v>0</v>
      </c>
      <c r="AA61" s="80">
        <f t="shared" si="2"/>
        <v>0</v>
      </c>
      <c r="AB61" s="80">
        <f t="shared" si="3"/>
        <v>63600.479999999996</v>
      </c>
      <c r="AC61" s="80"/>
      <c r="AD61">
        <v>0.1</v>
      </c>
      <c r="AE61" s="78">
        <f>K61*AD61</f>
        <v>2120.0160000000001</v>
      </c>
      <c r="AF61">
        <v>0.2</v>
      </c>
      <c r="AG61" s="78">
        <f>AF61*K61</f>
        <v>4240.0320000000002</v>
      </c>
    </row>
    <row r="62" spans="1:33" ht="15" customHeight="1" x14ac:dyDescent="0.2">
      <c r="A62" s="102"/>
      <c r="B62" s="87"/>
      <c r="C62" s="122" t="s">
        <v>82</v>
      </c>
      <c r="D62" s="72">
        <v>1</v>
      </c>
      <c r="E62" s="73">
        <v>6500</v>
      </c>
      <c r="F62" s="74">
        <f>ROUND(E62*F$12,2)</f>
        <v>7150</v>
      </c>
      <c r="G62" s="74">
        <f>F62*1.1*1.1+0.5</f>
        <v>8652.0000000000018</v>
      </c>
      <c r="H62" s="74">
        <v>10692.91</v>
      </c>
      <c r="I62" s="74">
        <f t="shared" si="43"/>
        <v>11762.201000000001</v>
      </c>
      <c r="J62" s="74">
        <v>12467.933060000001</v>
      </c>
      <c r="K62" s="74">
        <f>ROUND('26.08.22'!K62*1.04,2)</f>
        <v>17896.259999999998</v>
      </c>
      <c r="L62" s="75" t="s">
        <v>181</v>
      </c>
      <c r="M62" s="76">
        <v>15</v>
      </c>
      <c r="N62" s="76"/>
      <c r="O62" s="78">
        <f t="shared" ref="O62:O76" si="44">ROUND((K62*M62/100),2)</f>
        <v>2684.44</v>
      </c>
      <c r="P62" s="78">
        <f>ROUND(K62*1.14,2)</f>
        <v>20401.740000000002</v>
      </c>
      <c r="Q62" s="78">
        <f t="shared" ref="Q62:Q74" si="45">K62*T62</f>
        <v>27560.240399999999</v>
      </c>
      <c r="R62" s="79">
        <f t="shared" ref="R62:R76" si="46">K62+O62+P62+Q62</f>
        <v>68542.680399999997</v>
      </c>
      <c r="S62" s="78">
        <f t="shared" ref="S62:S76" si="47">ROUND(K62*S$12,2)</f>
        <v>4474.07</v>
      </c>
      <c r="T62" s="78">
        <v>1.54</v>
      </c>
      <c r="U62" s="78">
        <f t="shared" ref="U62:U76" si="48">K62+O62+P62+Q62+S62</f>
        <v>73016.75039999999</v>
      </c>
      <c r="V62" s="79">
        <f t="shared" si="15"/>
        <v>59632.131947999995</v>
      </c>
      <c r="W62" s="78">
        <f t="shared" si="0"/>
        <v>63524.572847999989</v>
      </c>
      <c r="X62" s="80">
        <v>3</v>
      </c>
      <c r="Y62" s="78"/>
      <c r="Z62" s="80">
        <f t="shared" si="1"/>
        <v>3</v>
      </c>
      <c r="AA62" s="80">
        <f t="shared" si="2"/>
        <v>53688.78</v>
      </c>
      <c r="AB62" s="80">
        <f t="shared" si="3"/>
        <v>0</v>
      </c>
      <c r="AC62" s="80"/>
      <c r="AD62">
        <v>0.1</v>
      </c>
      <c r="AE62" s="78">
        <f t="shared" si="4"/>
        <v>1789.626</v>
      </c>
      <c r="AF62">
        <v>0.2</v>
      </c>
      <c r="AG62" s="78">
        <f t="shared" si="5"/>
        <v>3579.252</v>
      </c>
    </row>
    <row r="63" spans="1:33" ht="15" customHeight="1" x14ac:dyDescent="0.2">
      <c r="A63" s="102"/>
      <c r="B63" s="87"/>
      <c r="C63" s="122" t="s">
        <v>82</v>
      </c>
      <c r="D63" s="72">
        <v>1</v>
      </c>
      <c r="E63" s="73">
        <v>6500</v>
      </c>
      <c r="F63" s="74">
        <f>ROUND(E63*F$12,2)</f>
        <v>7150</v>
      </c>
      <c r="G63" s="74">
        <f>F63*1.1*1.1+0.5</f>
        <v>8652.0000000000018</v>
      </c>
      <c r="H63" s="74">
        <v>10692.91</v>
      </c>
      <c r="I63" s="74">
        <f t="shared" si="43"/>
        <v>11762.201000000001</v>
      </c>
      <c r="J63" s="74">
        <v>12467.933060000001</v>
      </c>
      <c r="K63" s="74">
        <f>ROUND('26.08.22'!K63*1.04,2)</f>
        <v>17896.259999999998</v>
      </c>
      <c r="L63" s="75" t="s">
        <v>83</v>
      </c>
      <c r="M63" s="83">
        <v>30</v>
      </c>
      <c r="N63" s="76"/>
      <c r="O63" s="78">
        <f t="shared" si="44"/>
        <v>5368.88</v>
      </c>
      <c r="P63" s="78">
        <f t="shared" ref="P63:P71" si="49">ROUND(K63*1.14,2)</f>
        <v>20401.740000000002</v>
      </c>
      <c r="Q63" s="78">
        <f t="shared" si="45"/>
        <v>27560.240399999999</v>
      </c>
      <c r="R63" s="79">
        <f t="shared" si="46"/>
        <v>71227.1204</v>
      </c>
      <c r="S63" s="78">
        <f t="shared" si="47"/>
        <v>4474.07</v>
      </c>
      <c r="T63" s="78">
        <v>1.54</v>
      </c>
      <c r="U63" s="78">
        <f t="shared" si="48"/>
        <v>75701.190399999992</v>
      </c>
      <c r="V63" s="79">
        <f t="shared" si="15"/>
        <v>61967.594747999996</v>
      </c>
      <c r="W63" s="78">
        <f t="shared" si="0"/>
        <v>65860.03564799999</v>
      </c>
      <c r="X63" s="80">
        <v>3</v>
      </c>
      <c r="Y63" s="78">
        <v>3</v>
      </c>
      <c r="Z63" s="80">
        <f t="shared" si="1"/>
        <v>0</v>
      </c>
      <c r="AA63" s="80">
        <f t="shared" si="2"/>
        <v>0</v>
      </c>
      <c r="AB63" s="80">
        <f t="shared" si="3"/>
        <v>53688.78</v>
      </c>
      <c r="AC63" s="80"/>
      <c r="AD63">
        <v>0.1</v>
      </c>
      <c r="AE63" s="78">
        <f t="shared" si="4"/>
        <v>1789.626</v>
      </c>
      <c r="AF63">
        <v>0.2</v>
      </c>
      <c r="AG63" s="78">
        <f t="shared" si="5"/>
        <v>3579.252</v>
      </c>
    </row>
    <row r="64" spans="1:33" ht="15" customHeight="1" x14ac:dyDescent="0.2">
      <c r="A64" s="102"/>
      <c r="B64" s="87"/>
      <c r="C64" s="122" t="s">
        <v>45</v>
      </c>
      <c r="D64" s="72">
        <v>1</v>
      </c>
      <c r="E64" s="73">
        <v>6500</v>
      </c>
      <c r="F64" s="74">
        <f>ROUND(E64*F$12,2)</f>
        <v>7150</v>
      </c>
      <c r="G64" s="74">
        <f>F64*1.1*1.1+0.5</f>
        <v>8652.0000000000018</v>
      </c>
      <c r="H64" s="74">
        <v>10692.91</v>
      </c>
      <c r="I64" s="74">
        <f t="shared" si="43"/>
        <v>11762.201000000001</v>
      </c>
      <c r="J64" s="74">
        <v>12467.933060000001</v>
      </c>
      <c r="K64" s="74">
        <f>ROUND('26.08.22'!K64*1.04,2)</f>
        <v>17896.259999999998</v>
      </c>
      <c r="L64" s="75" t="s">
        <v>212</v>
      </c>
      <c r="M64" s="83">
        <v>30</v>
      </c>
      <c r="N64" s="76"/>
      <c r="O64" s="78">
        <f t="shared" si="44"/>
        <v>5368.88</v>
      </c>
      <c r="P64" s="78">
        <f t="shared" si="49"/>
        <v>20401.740000000002</v>
      </c>
      <c r="Q64" s="78">
        <f t="shared" si="45"/>
        <v>27560.240399999999</v>
      </c>
      <c r="R64" s="79">
        <f t="shared" si="46"/>
        <v>71227.1204</v>
      </c>
      <c r="S64" s="78">
        <f t="shared" si="47"/>
        <v>4474.07</v>
      </c>
      <c r="T64" s="78">
        <v>1.54</v>
      </c>
      <c r="U64" s="78">
        <f t="shared" si="48"/>
        <v>75701.190399999992</v>
      </c>
      <c r="V64" s="79">
        <f t="shared" si="15"/>
        <v>61967.594747999996</v>
      </c>
      <c r="W64" s="78">
        <f t="shared" si="0"/>
        <v>65860.03564799999</v>
      </c>
      <c r="X64" s="80">
        <v>3</v>
      </c>
      <c r="Y64" s="78">
        <v>3</v>
      </c>
      <c r="Z64" s="80">
        <f t="shared" si="1"/>
        <v>0</v>
      </c>
      <c r="AA64" s="80">
        <f t="shared" si="2"/>
        <v>0</v>
      </c>
      <c r="AB64" s="80">
        <f t="shared" si="3"/>
        <v>53688.78</v>
      </c>
      <c r="AC64" s="80"/>
      <c r="AD64">
        <v>0.1</v>
      </c>
      <c r="AE64" s="78">
        <f t="shared" si="4"/>
        <v>1789.626</v>
      </c>
      <c r="AF64">
        <v>0.2</v>
      </c>
      <c r="AG64" s="78">
        <f t="shared" si="5"/>
        <v>3579.252</v>
      </c>
    </row>
    <row r="65" spans="1:34" ht="15" customHeight="1" x14ac:dyDescent="0.2">
      <c r="A65" s="102"/>
      <c r="B65" s="87"/>
      <c r="C65" s="122" t="s">
        <v>45</v>
      </c>
      <c r="D65" s="72">
        <v>1</v>
      </c>
      <c r="E65" s="73"/>
      <c r="F65" s="74"/>
      <c r="G65" s="74"/>
      <c r="H65" s="74">
        <v>10692.91</v>
      </c>
      <c r="I65" s="74">
        <f t="shared" si="43"/>
        <v>11762.201000000001</v>
      </c>
      <c r="J65" s="74">
        <v>12467.933060000001</v>
      </c>
      <c r="K65" s="74">
        <f>ROUND('26.08.22'!K65*1.04,2)</f>
        <v>17896.259999999998</v>
      </c>
      <c r="L65" s="105" t="s">
        <v>204</v>
      </c>
      <c r="M65" s="83">
        <v>15</v>
      </c>
      <c r="N65" s="76"/>
      <c r="O65" s="78">
        <f t="shared" si="44"/>
        <v>2684.44</v>
      </c>
      <c r="P65" s="78">
        <f t="shared" si="49"/>
        <v>20401.740000000002</v>
      </c>
      <c r="Q65" s="78">
        <f t="shared" si="45"/>
        <v>27560.240399999999</v>
      </c>
      <c r="R65" s="79">
        <f t="shared" si="46"/>
        <v>68542.680399999997</v>
      </c>
      <c r="S65" s="78">
        <f t="shared" si="47"/>
        <v>4474.07</v>
      </c>
      <c r="T65" s="78">
        <v>1.54</v>
      </c>
      <c r="U65" s="78">
        <f t="shared" si="48"/>
        <v>73016.75039999999</v>
      </c>
      <c r="V65" s="79">
        <f t="shared" si="15"/>
        <v>59632.131947999995</v>
      </c>
      <c r="W65" s="78">
        <f t="shared" si="0"/>
        <v>63524.572847999989</v>
      </c>
      <c r="X65" s="80">
        <v>3</v>
      </c>
      <c r="Y65" s="78">
        <v>0</v>
      </c>
      <c r="Z65" s="80">
        <f t="shared" si="1"/>
        <v>3</v>
      </c>
      <c r="AA65" s="80">
        <f t="shared" si="2"/>
        <v>53688.78</v>
      </c>
      <c r="AB65" s="80">
        <f t="shared" si="3"/>
        <v>0</v>
      </c>
      <c r="AC65" s="80"/>
      <c r="AD65">
        <v>0.1</v>
      </c>
      <c r="AE65" s="78">
        <f t="shared" si="4"/>
        <v>1789.626</v>
      </c>
      <c r="AF65">
        <v>0.2</v>
      </c>
      <c r="AG65" s="78">
        <f t="shared" si="5"/>
        <v>3579.252</v>
      </c>
    </row>
    <row r="66" spans="1:34" ht="15" customHeight="1" x14ac:dyDescent="0.2">
      <c r="A66" s="102"/>
      <c r="B66" s="87"/>
      <c r="C66" s="122" t="s">
        <v>82</v>
      </c>
      <c r="D66" s="72">
        <v>1</v>
      </c>
      <c r="E66" s="73"/>
      <c r="F66" s="74"/>
      <c r="G66" s="74"/>
      <c r="H66" s="74"/>
      <c r="I66" s="74"/>
      <c r="J66" s="74">
        <v>12467.933060000001</v>
      </c>
      <c r="K66" s="74">
        <f>ROUND('26.08.22'!K66*1.04,2)</f>
        <v>17896.259999999998</v>
      </c>
      <c r="L66" s="105" t="s">
        <v>84</v>
      </c>
      <c r="M66" s="83">
        <v>30</v>
      </c>
      <c r="N66" s="76"/>
      <c r="O66" s="78">
        <f t="shared" si="44"/>
        <v>5368.88</v>
      </c>
      <c r="P66" s="78">
        <f t="shared" si="49"/>
        <v>20401.740000000002</v>
      </c>
      <c r="Q66" s="78">
        <f t="shared" si="45"/>
        <v>27560.240399999999</v>
      </c>
      <c r="R66" s="79">
        <f t="shared" si="46"/>
        <v>71227.1204</v>
      </c>
      <c r="S66" s="78">
        <f t="shared" si="47"/>
        <v>4474.07</v>
      </c>
      <c r="T66" s="78">
        <v>1.54</v>
      </c>
      <c r="U66" s="78">
        <f t="shared" si="48"/>
        <v>75701.190399999992</v>
      </c>
      <c r="V66" s="79">
        <f t="shared" si="15"/>
        <v>61967.594747999996</v>
      </c>
      <c r="W66" s="78">
        <f t="shared" si="0"/>
        <v>65860.03564799999</v>
      </c>
      <c r="X66" s="80">
        <v>3</v>
      </c>
      <c r="Y66" s="78">
        <v>3</v>
      </c>
      <c r="Z66" s="80">
        <f t="shared" si="1"/>
        <v>0</v>
      </c>
      <c r="AA66" s="80">
        <f t="shared" si="2"/>
        <v>0</v>
      </c>
      <c r="AB66" s="80">
        <f t="shared" si="3"/>
        <v>53688.78</v>
      </c>
      <c r="AC66" s="80"/>
      <c r="AD66">
        <v>0.1</v>
      </c>
      <c r="AE66" s="78">
        <f t="shared" si="4"/>
        <v>1789.626</v>
      </c>
      <c r="AF66">
        <v>0.2</v>
      </c>
      <c r="AG66" s="78">
        <f t="shared" si="5"/>
        <v>3579.252</v>
      </c>
    </row>
    <row r="67" spans="1:34" ht="15" customHeight="1" x14ac:dyDescent="0.2">
      <c r="A67" s="102"/>
      <c r="B67" s="87"/>
      <c r="C67" s="122" t="s">
        <v>82</v>
      </c>
      <c r="D67" s="72">
        <v>1</v>
      </c>
      <c r="E67" s="73"/>
      <c r="F67" s="74"/>
      <c r="G67" s="74"/>
      <c r="H67" s="74"/>
      <c r="I67" s="74"/>
      <c r="J67" s="74">
        <v>12467.933060000001</v>
      </c>
      <c r="K67" s="74">
        <f>ROUND('26.08.22'!K67*1.04,2)</f>
        <v>17896.259999999998</v>
      </c>
      <c r="L67" s="105" t="s">
        <v>230</v>
      </c>
      <c r="M67" s="83">
        <v>30</v>
      </c>
      <c r="N67" s="76"/>
      <c r="O67" s="78">
        <f t="shared" si="44"/>
        <v>5368.88</v>
      </c>
      <c r="P67" s="78">
        <f t="shared" si="49"/>
        <v>20401.740000000002</v>
      </c>
      <c r="Q67" s="78">
        <f t="shared" si="45"/>
        <v>27560.240399999999</v>
      </c>
      <c r="R67" s="79">
        <f t="shared" si="46"/>
        <v>71227.1204</v>
      </c>
      <c r="S67" s="78">
        <f t="shared" si="47"/>
        <v>4474.07</v>
      </c>
      <c r="T67" s="78">
        <v>1.54</v>
      </c>
      <c r="U67" s="78">
        <f t="shared" si="48"/>
        <v>75701.190399999992</v>
      </c>
      <c r="V67" s="79">
        <f t="shared" si="15"/>
        <v>61967.594747999996</v>
      </c>
      <c r="W67" s="78">
        <f t="shared" si="0"/>
        <v>65860.03564799999</v>
      </c>
      <c r="X67" s="80">
        <v>3</v>
      </c>
      <c r="Y67" s="78">
        <v>3</v>
      </c>
      <c r="Z67" s="80">
        <f t="shared" si="1"/>
        <v>0</v>
      </c>
      <c r="AA67" s="80">
        <f t="shared" si="2"/>
        <v>0</v>
      </c>
      <c r="AB67" s="80">
        <f t="shared" si="3"/>
        <v>53688.78</v>
      </c>
      <c r="AC67" s="80"/>
      <c r="AD67">
        <v>0.1</v>
      </c>
      <c r="AE67" s="78">
        <f t="shared" si="4"/>
        <v>1789.626</v>
      </c>
      <c r="AF67">
        <v>0.2</v>
      </c>
      <c r="AG67" s="78">
        <f t="shared" si="5"/>
        <v>3579.252</v>
      </c>
    </row>
    <row r="68" spans="1:34" ht="15" customHeight="1" x14ac:dyDescent="0.2">
      <c r="A68" s="102"/>
      <c r="B68" s="87"/>
      <c r="C68" s="122" t="s">
        <v>82</v>
      </c>
      <c r="D68" s="72">
        <v>1</v>
      </c>
      <c r="E68" s="73"/>
      <c r="F68" s="74"/>
      <c r="G68" s="74"/>
      <c r="H68" s="74"/>
      <c r="I68" s="74"/>
      <c r="J68" s="74"/>
      <c r="K68" s="74">
        <f>ROUND('26.08.22'!K68*1.04,2)</f>
        <v>17896.259999999998</v>
      </c>
      <c r="L68" s="105" t="s">
        <v>85</v>
      </c>
      <c r="M68" s="83">
        <v>30</v>
      </c>
      <c r="N68" s="76"/>
      <c r="O68" s="78">
        <f t="shared" si="44"/>
        <v>5368.88</v>
      </c>
      <c r="P68" s="78">
        <f t="shared" si="49"/>
        <v>20401.740000000002</v>
      </c>
      <c r="Q68" s="78">
        <f t="shared" si="45"/>
        <v>27560.240399999999</v>
      </c>
      <c r="R68" s="79">
        <f t="shared" si="46"/>
        <v>71227.1204</v>
      </c>
      <c r="S68" s="78">
        <f t="shared" si="47"/>
        <v>4474.07</v>
      </c>
      <c r="T68" s="78">
        <v>1.54</v>
      </c>
      <c r="U68" s="78">
        <f t="shared" si="48"/>
        <v>75701.190399999992</v>
      </c>
      <c r="V68" s="79">
        <f t="shared" si="15"/>
        <v>61967.594747999996</v>
      </c>
      <c r="W68" s="78">
        <f t="shared" si="0"/>
        <v>65860.03564799999</v>
      </c>
      <c r="X68" s="80"/>
      <c r="Y68" s="78"/>
      <c r="Z68" s="80"/>
      <c r="AA68" s="80"/>
      <c r="AB68" s="80"/>
      <c r="AC68" s="80"/>
      <c r="AE68" s="78"/>
      <c r="AG68" s="78"/>
    </row>
    <row r="69" spans="1:34" ht="16.5" customHeight="1" x14ac:dyDescent="0.2">
      <c r="A69" s="102"/>
      <c r="B69" s="87"/>
      <c r="C69" s="122" t="s">
        <v>82</v>
      </c>
      <c r="D69" s="109">
        <v>1</v>
      </c>
      <c r="E69" s="73"/>
      <c r="F69" s="74"/>
      <c r="G69" s="74"/>
      <c r="H69" s="74">
        <v>9212.35</v>
      </c>
      <c r="I69" s="74">
        <f>H69*$I$12</f>
        <v>10133.585000000001</v>
      </c>
      <c r="J69" s="74">
        <v>10741.600100000001</v>
      </c>
      <c r="K69" s="74">
        <f>ROUND('26.08.22'!K69*1.04,2)</f>
        <v>17896.259999999998</v>
      </c>
      <c r="L69" s="75" t="s">
        <v>86</v>
      </c>
      <c r="M69" s="83">
        <v>30</v>
      </c>
      <c r="N69" s="76"/>
      <c r="O69" s="78">
        <f t="shared" si="44"/>
        <v>5368.88</v>
      </c>
      <c r="P69" s="78">
        <f t="shared" si="49"/>
        <v>20401.740000000002</v>
      </c>
      <c r="Q69" s="78">
        <f t="shared" si="45"/>
        <v>27560.240399999999</v>
      </c>
      <c r="R69" s="79">
        <f t="shared" si="46"/>
        <v>71227.1204</v>
      </c>
      <c r="S69" s="78">
        <f t="shared" si="47"/>
        <v>4474.07</v>
      </c>
      <c r="T69" s="78">
        <v>1.54</v>
      </c>
      <c r="U69" s="78">
        <f t="shared" si="48"/>
        <v>75701.190399999992</v>
      </c>
      <c r="V69" s="79">
        <f t="shared" si="15"/>
        <v>61967.594747999996</v>
      </c>
      <c r="W69" s="78">
        <f t="shared" si="0"/>
        <v>65860.03564799999</v>
      </c>
      <c r="X69" s="80">
        <v>3</v>
      </c>
      <c r="Y69" s="78">
        <v>3</v>
      </c>
      <c r="Z69" s="80">
        <f t="shared" si="1"/>
        <v>0</v>
      </c>
      <c r="AA69" s="80">
        <f t="shared" si="2"/>
        <v>0</v>
      </c>
      <c r="AB69" s="80">
        <f t="shared" si="3"/>
        <v>53688.78</v>
      </c>
      <c r="AC69" s="80"/>
      <c r="AD69">
        <v>0.1</v>
      </c>
      <c r="AE69" s="78">
        <f t="shared" si="4"/>
        <v>1789.626</v>
      </c>
      <c r="AF69">
        <v>0.2</v>
      </c>
      <c r="AG69" s="78">
        <f t="shared" si="5"/>
        <v>3579.252</v>
      </c>
    </row>
    <row r="70" spans="1:34" ht="16.5" customHeight="1" x14ac:dyDescent="0.2">
      <c r="A70" s="102"/>
      <c r="B70" s="87"/>
      <c r="C70" s="122" t="s">
        <v>82</v>
      </c>
      <c r="D70" s="109">
        <v>1</v>
      </c>
      <c r="E70" s="73"/>
      <c r="F70" s="74"/>
      <c r="G70" s="74"/>
      <c r="H70" s="74">
        <v>9212.35</v>
      </c>
      <c r="I70" s="74">
        <f>H70*$I$12</f>
        <v>10133.585000000001</v>
      </c>
      <c r="J70" s="74">
        <v>10741.600100000001</v>
      </c>
      <c r="K70" s="74">
        <f>ROUND('26.08.22'!K70*1.04,2)</f>
        <v>17896.259999999998</v>
      </c>
      <c r="L70" s="75" t="s">
        <v>87</v>
      </c>
      <c r="M70" s="83">
        <v>30</v>
      </c>
      <c r="N70" s="76"/>
      <c r="O70" s="78">
        <f t="shared" si="44"/>
        <v>5368.88</v>
      </c>
      <c r="P70" s="78">
        <f t="shared" si="49"/>
        <v>20401.740000000002</v>
      </c>
      <c r="Q70" s="78">
        <f t="shared" si="45"/>
        <v>27560.240399999999</v>
      </c>
      <c r="R70" s="79">
        <f t="shared" si="46"/>
        <v>71227.1204</v>
      </c>
      <c r="S70" s="78">
        <f t="shared" si="47"/>
        <v>4474.07</v>
      </c>
      <c r="T70" s="78">
        <v>1.54</v>
      </c>
      <c r="U70" s="78">
        <f t="shared" si="48"/>
        <v>75701.190399999992</v>
      </c>
      <c r="V70" s="79">
        <f t="shared" si="15"/>
        <v>61967.594747999996</v>
      </c>
      <c r="W70" s="78">
        <f t="shared" si="0"/>
        <v>65860.03564799999</v>
      </c>
      <c r="X70" s="80">
        <v>3</v>
      </c>
      <c r="Y70" s="78">
        <v>0</v>
      </c>
      <c r="Z70" s="80">
        <f t="shared" si="1"/>
        <v>3</v>
      </c>
      <c r="AA70" s="80">
        <f t="shared" si="2"/>
        <v>53688.78</v>
      </c>
      <c r="AB70" s="80">
        <f t="shared" si="3"/>
        <v>0</v>
      </c>
      <c r="AC70" s="80"/>
      <c r="AD70">
        <v>0.1</v>
      </c>
      <c r="AE70" s="78">
        <f t="shared" si="4"/>
        <v>1789.626</v>
      </c>
      <c r="AF70">
        <v>0.2</v>
      </c>
      <c r="AG70" s="78">
        <f t="shared" si="5"/>
        <v>3579.252</v>
      </c>
    </row>
    <row r="71" spans="1:34" ht="16.5" customHeight="1" x14ac:dyDescent="0.2">
      <c r="A71" s="102"/>
      <c r="B71" s="87"/>
      <c r="C71" s="120" t="s">
        <v>45</v>
      </c>
      <c r="D71" s="109">
        <v>1</v>
      </c>
      <c r="E71" s="73"/>
      <c r="F71" s="74"/>
      <c r="G71" s="74"/>
      <c r="H71" s="74"/>
      <c r="I71" s="74"/>
      <c r="J71" s="74"/>
      <c r="K71" s="74">
        <f>ROUND('26.08.22'!K71*1.04,2)</f>
        <v>17896.259999999998</v>
      </c>
      <c r="L71" s="75" t="s">
        <v>220</v>
      </c>
      <c r="M71" s="83">
        <v>20</v>
      </c>
      <c r="N71" s="76"/>
      <c r="O71" s="78">
        <f t="shared" si="44"/>
        <v>3579.25</v>
      </c>
      <c r="P71" s="78">
        <f t="shared" si="49"/>
        <v>20401.740000000002</v>
      </c>
      <c r="Q71" s="78">
        <f t="shared" si="45"/>
        <v>27560.240399999999</v>
      </c>
      <c r="R71" s="79">
        <f t="shared" si="46"/>
        <v>69437.490399999995</v>
      </c>
      <c r="S71" s="78">
        <f t="shared" si="47"/>
        <v>4474.07</v>
      </c>
      <c r="T71" s="78">
        <v>1.54</v>
      </c>
      <c r="U71" s="78">
        <f t="shared" si="48"/>
        <v>73911.560399999988</v>
      </c>
      <c r="V71" s="79">
        <f t="shared" si="15"/>
        <v>60410.616647999996</v>
      </c>
      <c r="W71" s="78">
        <f t="shared" si="0"/>
        <v>64303.05754799999</v>
      </c>
      <c r="X71" s="80">
        <v>3</v>
      </c>
      <c r="Y71" s="78">
        <v>3</v>
      </c>
      <c r="Z71" s="80">
        <f t="shared" si="1"/>
        <v>0</v>
      </c>
      <c r="AA71" s="80">
        <f t="shared" si="2"/>
        <v>0</v>
      </c>
      <c r="AB71" s="80">
        <f t="shared" si="3"/>
        <v>53688.78</v>
      </c>
      <c r="AC71" s="80"/>
      <c r="AD71">
        <v>0.1</v>
      </c>
      <c r="AE71" s="78">
        <f t="shared" si="4"/>
        <v>1789.626</v>
      </c>
      <c r="AF71">
        <v>0.2</v>
      </c>
      <c r="AG71" s="78">
        <f t="shared" si="5"/>
        <v>3579.252</v>
      </c>
    </row>
    <row r="72" spans="1:34" ht="16.5" customHeight="1" x14ac:dyDescent="0.2">
      <c r="A72" s="102"/>
      <c r="B72" s="87"/>
      <c r="C72" s="120" t="s">
        <v>45</v>
      </c>
      <c r="D72" s="109">
        <v>1</v>
      </c>
      <c r="E72" s="73"/>
      <c r="F72" s="74"/>
      <c r="G72" s="74"/>
      <c r="H72" s="74">
        <v>9212.35</v>
      </c>
      <c r="I72" s="74">
        <f>H72*$I$12</f>
        <v>10133.585000000001</v>
      </c>
      <c r="J72" s="74">
        <v>10741.600100000001</v>
      </c>
      <c r="K72" s="74">
        <f>ROUND('26.08.22'!K72*1.04,2)</f>
        <v>17896.259999999998</v>
      </c>
      <c r="L72" s="75" t="s">
        <v>222</v>
      </c>
      <c r="M72" s="83">
        <v>30</v>
      </c>
      <c r="N72" s="76"/>
      <c r="O72" s="78">
        <f t="shared" si="44"/>
        <v>5368.88</v>
      </c>
      <c r="P72" s="78">
        <f>ROUND(K72*1.14,2)</f>
        <v>20401.740000000002</v>
      </c>
      <c r="Q72" s="78">
        <f t="shared" si="45"/>
        <v>27560.240399999999</v>
      </c>
      <c r="R72" s="79">
        <f t="shared" si="46"/>
        <v>71227.1204</v>
      </c>
      <c r="S72" s="78">
        <f t="shared" si="47"/>
        <v>4474.07</v>
      </c>
      <c r="T72" s="78">
        <v>1.54</v>
      </c>
      <c r="U72" s="78">
        <f t="shared" si="48"/>
        <v>75701.190399999992</v>
      </c>
      <c r="V72" s="79">
        <f t="shared" si="15"/>
        <v>61967.594747999996</v>
      </c>
      <c r="W72" s="78">
        <f t="shared" si="0"/>
        <v>65860.03564799999</v>
      </c>
      <c r="X72" s="80">
        <v>3</v>
      </c>
      <c r="Y72" s="78"/>
      <c r="Z72" s="80">
        <f t="shared" si="1"/>
        <v>3</v>
      </c>
      <c r="AA72" s="80">
        <f t="shared" si="2"/>
        <v>53688.78</v>
      </c>
      <c r="AB72" s="80">
        <f t="shared" si="3"/>
        <v>0</v>
      </c>
      <c r="AC72" s="80"/>
      <c r="AD72">
        <v>0.1</v>
      </c>
      <c r="AE72" s="78">
        <f t="shared" si="4"/>
        <v>1789.626</v>
      </c>
      <c r="AF72">
        <v>0.2</v>
      </c>
      <c r="AG72" s="78">
        <f t="shared" si="5"/>
        <v>3579.252</v>
      </c>
    </row>
    <row r="73" spans="1:34" ht="16.5" hidden="1" customHeight="1" x14ac:dyDescent="0.2">
      <c r="A73" s="102"/>
      <c r="B73" s="215"/>
      <c r="C73" s="120" t="s">
        <v>70</v>
      </c>
      <c r="D73" s="109">
        <v>0</v>
      </c>
      <c r="E73" s="73"/>
      <c r="F73" s="74"/>
      <c r="G73" s="74"/>
      <c r="H73" s="74"/>
      <c r="I73" s="74"/>
      <c r="J73" s="74"/>
      <c r="K73" s="74">
        <f>ROUND('26.08.22'!K73*1.04,2)</f>
        <v>0</v>
      </c>
      <c r="L73" s="75"/>
      <c r="M73" s="83">
        <v>10</v>
      </c>
      <c r="N73" s="76"/>
      <c r="O73" s="78">
        <f t="shared" si="44"/>
        <v>0</v>
      </c>
      <c r="P73" s="78">
        <f>ROUND(K73*1.14,2)</f>
        <v>0</v>
      </c>
      <c r="Q73" s="78">
        <f t="shared" si="45"/>
        <v>0</v>
      </c>
      <c r="R73" s="79">
        <f t="shared" si="46"/>
        <v>0</v>
      </c>
      <c r="S73" s="78">
        <f t="shared" si="47"/>
        <v>0</v>
      </c>
      <c r="T73" s="78">
        <v>2.54</v>
      </c>
      <c r="U73" s="78">
        <f t="shared" si="48"/>
        <v>0</v>
      </c>
      <c r="V73" s="79">
        <f t="shared" si="15"/>
        <v>0</v>
      </c>
      <c r="W73" s="78">
        <f t="shared" si="0"/>
        <v>0</v>
      </c>
      <c r="X73" s="80">
        <v>4</v>
      </c>
      <c r="Y73" s="78"/>
      <c r="Z73" s="80"/>
      <c r="AA73" s="80"/>
      <c r="AB73" s="80"/>
      <c r="AC73" s="80"/>
      <c r="AE73" s="78"/>
      <c r="AG73" s="78"/>
    </row>
    <row r="74" spans="1:34" ht="16.5" hidden="1" customHeight="1" x14ac:dyDescent="0.2">
      <c r="A74" s="102"/>
      <c r="B74" s="215"/>
      <c r="C74" s="120" t="s">
        <v>70</v>
      </c>
      <c r="D74" s="109">
        <v>0</v>
      </c>
      <c r="E74" s="73"/>
      <c r="F74" s="74"/>
      <c r="G74" s="74"/>
      <c r="H74" s="74"/>
      <c r="I74" s="74"/>
      <c r="J74" s="74"/>
      <c r="K74" s="74">
        <f>ROUND('26.08.22'!K74*1.04,2)</f>
        <v>0</v>
      </c>
      <c r="L74" s="75"/>
      <c r="M74" s="83">
        <v>15</v>
      </c>
      <c r="N74" s="76"/>
      <c r="O74" s="78">
        <f t="shared" si="44"/>
        <v>0</v>
      </c>
      <c r="P74" s="78">
        <f>ROUND(K74*1.14,2)</f>
        <v>0</v>
      </c>
      <c r="Q74" s="78">
        <f t="shared" si="45"/>
        <v>0</v>
      </c>
      <c r="R74" s="79">
        <f t="shared" si="46"/>
        <v>0</v>
      </c>
      <c r="S74" s="78">
        <f t="shared" si="47"/>
        <v>0</v>
      </c>
      <c r="T74" s="78">
        <v>3.54</v>
      </c>
      <c r="U74" s="78">
        <f t="shared" si="48"/>
        <v>0</v>
      </c>
      <c r="V74" s="79">
        <f t="shared" si="15"/>
        <v>0</v>
      </c>
      <c r="W74" s="78">
        <f t="shared" si="0"/>
        <v>0</v>
      </c>
      <c r="X74" s="80">
        <v>5</v>
      </c>
      <c r="Y74" s="78"/>
      <c r="Z74" s="80"/>
      <c r="AA74" s="80"/>
      <c r="AB74" s="80"/>
      <c r="AC74" s="80"/>
      <c r="AE74" s="78"/>
      <c r="AG74" s="78"/>
    </row>
    <row r="75" spans="1:34" ht="16.5" customHeight="1" x14ac:dyDescent="0.2">
      <c r="A75" s="102"/>
      <c r="B75" s="87"/>
      <c r="C75" s="120" t="s">
        <v>70</v>
      </c>
      <c r="D75" s="109">
        <v>1</v>
      </c>
      <c r="E75" s="73"/>
      <c r="F75" s="74"/>
      <c r="G75" s="74"/>
      <c r="H75" s="74"/>
      <c r="I75" s="74"/>
      <c r="J75" s="74"/>
      <c r="K75" s="74">
        <f>ROUND('26.08.22'!K75*1.04,2)</f>
        <v>15418.33</v>
      </c>
      <c r="L75" s="75" t="s">
        <v>226</v>
      </c>
      <c r="M75" s="83">
        <v>0</v>
      </c>
      <c r="N75" s="76"/>
      <c r="O75" s="78">
        <f t="shared" si="44"/>
        <v>0</v>
      </c>
      <c r="P75" s="78">
        <f>ROUND(K75*1.14,2)</f>
        <v>17576.900000000001</v>
      </c>
      <c r="Q75" s="78">
        <f>K75*T75</f>
        <v>22202.395199999999</v>
      </c>
      <c r="R75" s="79">
        <f t="shared" si="46"/>
        <v>55197.625200000002</v>
      </c>
      <c r="S75" s="78">
        <f t="shared" si="47"/>
        <v>3854.58</v>
      </c>
      <c r="T75" s="78">
        <v>1.44</v>
      </c>
      <c r="U75" s="78">
        <f t="shared" si="48"/>
        <v>59052.205200000004</v>
      </c>
      <c r="V75" s="79">
        <f t="shared" si="15"/>
        <v>48021.933924000004</v>
      </c>
      <c r="W75" s="78">
        <f t="shared" si="0"/>
        <v>51375.418524000001</v>
      </c>
      <c r="X75" s="80">
        <v>6</v>
      </c>
      <c r="Y75" s="78"/>
      <c r="Z75" s="80"/>
      <c r="AA75" s="80"/>
      <c r="AB75" s="80"/>
      <c r="AC75" s="80"/>
      <c r="AE75" s="78"/>
      <c r="AG75" s="78"/>
    </row>
    <row r="76" spans="1:34" ht="16.5" customHeight="1" x14ac:dyDescent="0.2">
      <c r="A76" s="102"/>
      <c r="B76" s="87"/>
      <c r="C76" s="107" t="s">
        <v>150</v>
      </c>
      <c r="D76" s="109">
        <v>1</v>
      </c>
      <c r="E76" s="73"/>
      <c r="F76" s="74"/>
      <c r="G76" s="74"/>
      <c r="H76" s="74"/>
      <c r="I76" s="74"/>
      <c r="J76" s="74"/>
      <c r="K76" s="74">
        <f>ROUND('26.08.22'!K76*1.04,2)</f>
        <v>17896.259999999998</v>
      </c>
      <c r="L76" s="75" t="s">
        <v>233</v>
      </c>
      <c r="M76" s="83">
        <v>30</v>
      </c>
      <c r="N76" s="76"/>
      <c r="O76" s="78">
        <f t="shared" si="44"/>
        <v>5368.88</v>
      </c>
      <c r="P76" s="78">
        <f>ROUND(K76*1.14,2)</f>
        <v>20401.740000000002</v>
      </c>
      <c r="Q76" s="78">
        <f>K76*T76</f>
        <v>27560.240399999999</v>
      </c>
      <c r="R76" s="79">
        <f t="shared" si="46"/>
        <v>71227.1204</v>
      </c>
      <c r="S76" s="78">
        <f t="shared" si="47"/>
        <v>4474.07</v>
      </c>
      <c r="T76" s="78">
        <v>1.54</v>
      </c>
      <c r="U76" s="78">
        <f t="shared" si="48"/>
        <v>75701.190399999992</v>
      </c>
      <c r="V76" s="79">
        <f t="shared" si="15"/>
        <v>61967.594747999996</v>
      </c>
      <c r="W76" s="78">
        <f t="shared" si="0"/>
        <v>65860.03564799999</v>
      </c>
      <c r="X76" s="80"/>
      <c r="Y76" s="78"/>
      <c r="Z76" s="80"/>
      <c r="AA76" s="80"/>
      <c r="AB76" s="80"/>
      <c r="AC76" s="80"/>
      <c r="AE76" s="78"/>
      <c r="AG76" s="78"/>
    </row>
    <row r="77" spans="1:34" ht="15.75" customHeight="1" x14ac:dyDescent="0.2">
      <c r="A77" s="102"/>
      <c r="B77" s="87"/>
      <c r="C77" s="87" t="s">
        <v>51</v>
      </c>
      <c r="D77" s="88">
        <f>SUM(D60:D76)</f>
        <v>15</v>
      </c>
      <c r="E77" s="88">
        <f t="shared" ref="E77:J77" si="50">SUM(E60:E67)</f>
        <v>28000</v>
      </c>
      <c r="F77" s="88">
        <f t="shared" si="50"/>
        <v>29700</v>
      </c>
      <c r="G77" s="88">
        <f t="shared" si="50"/>
        <v>35939</v>
      </c>
      <c r="H77" s="88">
        <f t="shared" si="50"/>
        <v>65802.530000000013</v>
      </c>
      <c r="I77" s="88">
        <f t="shared" si="50"/>
        <v>72382.782999999996</v>
      </c>
      <c r="J77" s="88">
        <f t="shared" si="50"/>
        <v>101661.6161</v>
      </c>
      <c r="K77" s="90">
        <f>SUM(K60:K76)</f>
        <v>274776.38</v>
      </c>
      <c r="L77" s="90"/>
      <c r="M77" s="90"/>
      <c r="N77" s="90">
        <f t="shared" ref="N77" si="51">SUM(N60:N72)</f>
        <v>0</v>
      </c>
      <c r="O77" s="90">
        <f>SUM(O60:O76)</f>
        <v>68528.909999999989</v>
      </c>
      <c r="P77" s="90">
        <f>SUM(P60:P76)</f>
        <v>315585.38999999996</v>
      </c>
      <c r="Q77" s="90">
        <f t="shared" ref="Q77:AH77" si="52">SUM(Q60:Q75)</f>
        <v>394053.55180000002</v>
      </c>
      <c r="R77" s="90">
        <f t="shared" si="52"/>
        <v>1009277.3518000001</v>
      </c>
      <c r="S77" s="90">
        <f>SUM(S60:S76)</f>
        <v>68694.149999999994</v>
      </c>
      <c r="T77" s="90">
        <f t="shared" si="52"/>
        <v>27.539999999999996</v>
      </c>
      <c r="U77" s="90">
        <f t="shared" si="52"/>
        <v>1073497.4317999997</v>
      </c>
      <c r="V77" s="90">
        <f t="shared" si="52"/>
        <v>878071.29606600001</v>
      </c>
      <c r="W77" s="90">
        <f t="shared" si="52"/>
        <v>933942.76566599961</v>
      </c>
      <c r="X77" s="90">
        <f t="shared" si="52"/>
        <v>51</v>
      </c>
      <c r="Y77" s="90">
        <f t="shared" si="52"/>
        <v>23</v>
      </c>
      <c r="Z77" s="90">
        <f t="shared" si="52"/>
        <v>13</v>
      </c>
      <c r="AA77" s="90">
        <f t="shared" si="52"/>
        <v>238157.88999999998</v>
      </c>
      <c r="AB77" s="90">
        <f t="shared" si="52"/>
        <v>432538.70000000007</v>
      </c>
      <c r="AC77" s="90">
        <f t="shared" si="52"/>
        <v>0</v>
      </c>
      <c r="AD77" s="90">
        <f t="shared" si="52"/>
        <v>1.2</v>
      </c>
      <c r="AE77" s="90">
        <f t="shared" si="52"/>
        <v>22356.553</v>
      </c>
      <c r="AF77" s="90">
        <f t="shared" si="52"/>
        <v>2.4</v>
      </c>
      <c r="AG77" s="90">
        <f t="shared" si="52"/>
        <v>44713.106</v>
      </c>
      <c r="AH77" s="90">
        <f t="shared" si="52"/>
        <v>0</v>
      </c>
    </row>
    <row r="78" spans="1:34" ht="25.5" customHeight="1" x14ac:dyDescent="0.2">
      <c r="A78" s="131" t="s">
        <v>88</v>
      </c>
      <c r="B78" s="87"/>
      <c r="C78" s="131"/>
      <c r="D78" s="132"/>
      <c r="E78" s="95"/>
      <c r="F78" s="95"/>
      <c r="G78" s="95"/>
      <c r="H78" s="95"/>
      <c r="I78" s="95"/>
      <c r="J78" s="95"/>
      <c r="K78" s="90"/>
      <c r="L78" s="90"/>
      <c r="M78" s="113"/>
      <c r="N78" s="113"/>
      <c r="O78" s="90"/>
      <c r="P78" s="132"/>
      <c r="Q78" s="95"/>
      <c r="R78" s="90"/>
      <c r="S78" s="90"/>
      <c r="T78" s="132"/>
      <c r="U78" s="90"/>
      <c r="V78" s="115"/>
      <c r="W78" s="90"/>
      <c r="X78" s="80"/>
      <c r="Y78" s="90"/>
      <c r="Z78" s="80"/>
      <c r="AA78" s="80">
        <f t="shared" si="2"/>
        <v>0</v>
      </c>
      <c r="AB78" s="80">
        <f t="shared" si="3"/>
        <v>0</v>
      </c>
      <c r="AC78" s="91"/>
      <c r="AD78">
        <v>0.1</v>
      </c>
      <c r="AE78" s="90"/>
      <c r="AG78" s="90"/>
    </row>
    <row r="79" spans="1:34" x14ac:dyDescent="0.2">
      <c r="A79" s="133"/>
      <c r="B79" s="87"/>
      <c r="C79" s="87" t="s">
        <v>58</v>
      </c>
      <c r="D79" s="109">
        <v>1</v>
      </c>
      <c r="E79" s="73">
        <v>7500</v>
      </c>
      <c r="F79" s="74">
        <f>ROUND(E79*F$12,2)</f>
        <v>8250</v>
      </c>
      <c r="G79" s="74">
        <f>F79*1.1*1.1+0.5</f>
        <v>9983</v>
      </c>
      <c r="H79" s="74">
        <v>12337.98</v>
      </c>
      <c r="I79" s="74">
        <f t="shared" ref="I79:I87" si="53">H79*$I$12</f>
        <v>13571.778</v>
      </c>
      <c r="J79" s="74">
        <v>14386.084680000002</v>
      </c>
      <c r="K79" s="74">
        <f>ROUND('26.08.22'!K79*1.04,2)</f>
        <v>23402.77</v>
      </c>
      <c r="L79" s="75" t="s">
        <v>89</v>
      </c>
      <c r="M79" s="76">
        <v>30</v>
      </c>
      <c r="N79" s="76"/>
      <c r="O79" s="78">
        <f t="shared" ref="O79:O85" si="54">ROUND((K79*M79/100),2)</f>
        <v>7020.83</v>
      </c>
      <c r="P79" s="78">
        <f>ROUND(K79*1.24,2)</f>
        <v>29019.43</v>
      </c>
      <c r="Q79" s="78">
        <f t="shared" ref="Q79:Q87" si="55">K79*T79</f>
        <v>36040.265800000001</v>
      </c>
      <c r="R79" s="79">
        <f t="shared" ref="R79:R87" si="56">K79+O79+P79+Q79</f>
        <v>95483.295799999993</v>
      </c>
      <c r="S79" s="78">
        <f t="shared" ref="S79:S87" si="57">ROUND(K79*S$12,2)</f>
        <v>5850.69</v>
      </c>
      <c r="T79" s="78">
        <v>1.54</v>
      </c>
      <c r="U79" s="78">
        <f t="shared" ref="U79:U87" si="58">K79+O79+P79+Q79+S79</f>
        <v>101333.98579999999</v>
      </c>
      <c r="V79" s="79">
        <f t="shared" si="15"/>
        <v>83070.46734599999</v>
      </c>
      <c r="W79" s="78">
        <f t="shared" si="0"/>
        <v>88160.567645999996</v>
      </c>
      <c r="X79" s="80">
        <v>3</v>
      </c>
      <c r="Y79" s="78">
        <v>3</v>
      </c>
      <c r="Z79" s="80">
        <f t="shared" si="1"/>
        <v>0</v>
      </c>
      <c r="AA79" s="80">
        <f t="shared" si="2"/>
        <v>0</v>
      </c>
      <c r="AB79" s="80">
        <f t="shared" si="3"/>
        <v>70208.31</v>
      </c>
      <c r="AC79" s="80"/>
      <c r="AD79">
        <v>0.1</v>
      </c>
      <c r="AE79" s="78">
        <f t="shared" si="4"/>
        <v>2340.277</v>
      </c>
      <c r="AF79">
        <v>0.2</v>
      </c>
      <c r="AG79" s="78">
        <f t="shared" si="5"/>
        <v>4680.5540000000001</v>
      </c>
    </row>
    <row r="80" spans="1:34" x14ac:dyDescent="0.2">
      <c r="A80" s="133"/>
      <c r="B80" s="87"/>
      <c r="C80" s="122" t="s">
        <v>60</v>
      </c>
      <c r="D80" s="72">
        <v>1</v>
      </c>
      <c r="E80" s="73"/>
      <c r="F80" s="74"/>
      <c r="G80" s="74"/>
      <c r="H80" s="74">
        <v>10692.91</v>
      </c>
      <c r="I80" s="74">
        <f>H80*$I$12</f>
        <v>11762.201000000001</v>
      </c>
      <c r="J80" s="74">
        <v>12467.933060000001</v>
      </c>
      <c r="K80" s="74">
        <f>ROUND('26.08.22'!K80*1.04,2)</f>
        <v>21200.16</v>
      </c>
      <c r="L80" s="75" t="s">
        <v>192</v>
      </c>
      <c r="M80" s="83">
        <v>30</v>
      </c>
      <c r="N80" s="76"/>
      <c r="O80" s="78">
        <f>ROUND((K80*M80/100),2)</f>
        <v>6360.05</v>
      </c>
      <c r="P80" s="78">
        <f>ROUND(K80*1.14,2)</f>
        <v>24168.18</v>
      </c>
      <c r="Q80" s="78">
        <f>K80*T80</f>
        <v>32648.2464</v>
      </c>
      <c r="R80" s="79">
        <f>K80+O80+P80+Q80</f>
        <v>84376.636400000003</v>
      </c>
      <c r="S80" s="78">
        <f>ROUND(K80*S$12,2)</f>
        <v>5300.04</v>
      </c>
      <c r="T80" s="78">
        <v>1.54</v>
      </c>
      <c r="U80" s="78">
        <f>K80+O80+P80+Q80+S80</f>
        <v>89676.676399999997</v>
      </c>
      <c r="V80" s="79">
        <f>R80*0.87</f>
        <v>73407.673668000003</v>
      </c>
      <c r="W80" s="78">
        <f>U80*0.87</f>
        <v>78018.708467999997</v>
      </c>
      <c r="X80" s="80"/>
      <c r="Y80" s="78"/>
      <c r="Z80" s="80"/>
      <c r="AA80" s="80"/>
      <c r="AB80" s="80"/>
      <c r="AC80" s="80"/>
      <c r="AE80" s="78"/>
      <c r="AG80" s="78"/>
    </row>
    <row r="81" spans="1:33" ht="15" customHeight="1" x14ac:dyDescent="0.2">
      <c r="A81" s="102"/>
      <c r="B81" s="131"/>
      <c r="C81" s="131" t="s">
        <v>90</v>
      </c>
      <c r="D81" s="109">
        <v>1</v>
      </c>
      <c r="E81" s="73">
        <v>6500</v>
      </c>
      <c r="F81" s="74">
        <f>ROUND(E81*F$12,2)</f>
        <v>7150</v>
      </c>
      <c r="G81" s="74">
        <f>F81*1.1*1.1+0.5</f>
        <v>8652.0000000000018</v>
      </c>
      <c r="H81" s="74">
        <v>10692.91</v>
      </c>
      <c r="I81" s="74">
        <f t="shared" si="53"/>
        <v>11762.201000000001</v>
      </c>
      <c r="J81" s="74">
        <v>12467.933060000001</v>
      </c>
      <c r="K81" s="74">
        <f>ROUND('26.08.22'!K81*1.04,2)</f>
        <v>17896.259999999998</v>
      </c>
      <c r="L81" s="75" t="s">
        <v>194</v>
      </c>
      <c r="M81" s="83">
        <v>30</v>
      </c>
      <c r="N81" s="76"/>
      <c r="O81" s="78">
        <f>ROUND((K81*M81/100),2)</f>
        <v>5368.88</v>
      </c>
      <c r="P81" s="78">
        <f t="shared" ref="P81:P87" si="59">ROUND(K81*1.14,2)</f>
        <v>20401.740000000002</v>
      </c>
      <c r="Q81" s="78">
        <f t="shared" si="55"/>
        <v>27560.240399999999</v>
      </c>
      <c r="R81" s="79">
        <f t="shared" si="56"/>
        <v>71227.1204</v>
      </c>
      <c r="S81" s="78">
        <f t="shared" si="57"/>
        <v>4474.07</v>
      </c>
      <c r="T81" s="78">
        <v>1.54</v>
      </c>
      <c r="U81" s="78">
        <f t="shared" si="58"/>
        <v>75701.190399999992</v>
      </c>
      <c r="V81" s="79">
        <f t="shared" si="15"/>
        <v>61967.594747999996</v>
      </c>
      <c r="W81" s="78">
        <f t="shared" si="0"/>
        <v>65860.03564799999</v>
      </c>
      <c r="X81" s="80">
        <v>3</v>
      </c>
      <c r="Y81" s="78">
        <v>3</v>
      </c>
      <c r="Z81" s="80">
        <f t="shared" si="1"/>
        <v>0</v>
      </c>
      <c r="AA81" s="80">
        <f t="shared" si="2"/>
        <v>0</v>
      </c>
      <c r="AB81" s="80">
        <f t="shared" si="3"/>
        <v>53688.78</v>
      </c>
      <c r="AC81" s="80"/>
      <c r="AD81">
        <v>0.1</v>
      </c>
      <c r="AE81" s="78">
        <f t="shared" si="4"/>
        <v>1789.626</v>
      </c>
      <c r="AF81">
        <v>0.2</v>
      </c>
      <c r="AG81" s="78">
        <f t="shared" si="5"/>
        <v>3579.252</v>
      </c>
    </row>
    <row r="82" spans="1:33" ht="12.75" customHeight="1" x14ac:dyDescent="0.2">
      <c r="A82" s="102"/>
      <c r="B82" s="107"/>
      <c r="C82" s="131" t="s">
        <v>90</v>
      </c>
      <c r="D82" s="109">
        <v>1</v>
      </c>
      <c r="E82" s="73">
        <v>6500</v>
      </c>
      <c r="F82" s="74">
        <f>ROUND(E82*F$12,2)</f>
        <v>7150</v>
      </c>
      <c r="G82" s="74">
        <f>F82*1.1*1.1+0.5</f>
        <v>8652.0000000000018</v>
      </c>
      <c r="H82" s="74">
        <v>10692.91</v>
      </c>
      <c r="I82" s="74">
        <f t="shared" si="53"/>
        <v>11762.201000000001</v>
      </c>
      <c r="J82" s="74">
        <v>12467.933060000001</v>
      </c>
      <c r="K82" s="74">
        <f>ROUND('26.08.22'!K82*1.04,2)</f>
        <v>17896.259999999998</v>
      </c>
      <c r="L82" s="75" t="s">
        <v>92</v>
      </c>
      <c r="M82" s="83">
        <v>30</v>
      </c>
      <c r="N82" s="76"/>
      <c r="O82" s="78">
        <f t="shared" si="54"/>
        <v>5368.88</v>
      </c>
      <c r="P82" s="78">
        <f t="shared" si="59"/>
        <v>20401.740000000002</v>
      </c>
      <c r="Q82" s="78">
        <f t="shared" si="55"/>
        <v>27560.240399999999</v>
      </c>
      <c r="R82" s="79">
        <f t="shared" si="56"/>
        <v>71227.1204</v>
      </c>
      <c r="S82" s="78">
        <f t="shared" si="57"/>
        <v>4474.07</v>
      </c>
      <c r="T82" s="78">
        <v>1.54</v>
      </c>
      <c r="U82" s="78">
        <f t="shared" si="58"/>
        <v>75701.190399999992</v>
      </c>
      <c r="V82" s="79">
        <f t="shared" si="15"/>
        <v>61967.594747999996</v>
      </c>
      <c r="W82" s="78">
        <f t="shared" si="0"/>
        <v>65860.03564799999</v>
      </c>
      <c r="X82" s="80">
        <v>3</v>
      </c>
      <c r="Y82" s="78">
        <v>3</v>
      </c>
      <c r="Z82" s="80">
        <f t="shared" si="1"/>
        <v>0</v>
      </c>
      <c r="AA82" s="80">
        <f t="shared" si="2"/>
        <v>0</v>
      </c>
      <c r="AB82" s="80">
        <f t="shared" si="3"/>
        <v>53688.78</v>
      </c>
      <c r="AC82" s="80"/>
      <c r="AD82">
        <v>0.1</v>
      </c>
      <c r="AE82" s="78">
        <f t="shared" si="4"/>
        <v>1789.626</v>
      </c>
      <c r="AF82">
        <v>0.2</v>
      </c>
      <c r="AG82" s="78">
        <f t="shared" si="5"/>
        <v>3579.252</v>
      </c>
    </row>
    <row r="83" spans="1:33" ht="12.75" customHeight="1" x14ac:dyDescent="0.2">
      <c r="A83" s="102"/>
      <c r="B83" s="107"/>
      <c r="C83" s="131" t="s">
        <v>90</v>
      </c>
      <c r="D83" s="109">
        <v>1</v>
      </c>
      <c r="E83" s="73">
        <v>6500</v>
      </c>
      <c r="F83" s="74">
        <f>ROUND(E83*F$12,2)</f>
        <v>7150</v>
      </c>
      <c r="G83" s="74">
        <f>F83*1.1*1.1+0.5</f>
        <v>8652.0000000000018</v>
      </c>
      <c r="H83" s="74">
        <v>10692.91</v>
      </c>
      <c r="I83" s="74">
        <f t="shared" si="53"/>
        <v>11762.201000000001</v>
      </c>
      <c r="J83" s="74">
        <v>12467.933060000001</v>
      </c>
      <c r="K83" s="74">
        <f>ROUND('26.08.22'!K83*1.04,2)</f>
        <v>17896.259999999998</v>
      </c>
      <c r="L83" s="75" t="s">
        <v>91</v>
      </c>
      <c r="M83" s="83">
        <v>30</v>
      </c>
      <c r="N83" s="76"/>
      <c r="O83" s="78">
        <f t="shared" si="54"/>
        <v>5368.88</v>
      </c>
      <c r="P83" s="78">
        <f t="shared" si="59"/>
        <v>20401.740000000002</v>
      </c>
      <c r="Q83" s="78">
        <f t="shared" si="55"/>
        <v>27560.240399999999</v>
      </c>
      <c r="R83" s="79">
        <f t="shared" si="56"/>
        <v>71227.1204</v>
      </c>
      <c r="S83" s="78">
        <f t="shared" si="57"/>
        <v>4474.07</v>
      </c>
      <c r="T83" s="78">
        <v>1.54</v>
      </c>
      <c r="U83" s="78">
        <f t="shared" si="58"/>
        <v>75701.190399999992</v>
      </c>
      <c r="V83" s="79">
        <f t="shared" si="15"/>
        <v>61967.594747999996</v>
      </c>
      <c r="W83" s="78">
        <f t="shared" si="0"/>
        <v>65860.03564799999</v>
      </c>
      <c r="X83" s="80">
        <v>3</v>
      </c>
      <c r="Y83" s="78"/>
      <c r="Z83" s="80">
        <f t="shared" si="1"/>
        <v>3</v>
      </c>
      <c r="AA83" s="80">
        <f t="shared" si="2"/>
        <v>53688.78</v>
      </c>
      <c r="AB83" s="80">
        <f t="shared" si="3"/>
        <v>0</v>
      </c>
      <c r="AC83" s="80"/>
      <c r="AD83">
        <v>0.1</v>
      </c>
      <c r="AE83" s="78">
        <f t="shared" si="4"/>
        <v>1789.626</v>
      </c>
      <c r="AF83">
        <v>0.2</v>
      </c>
      <c r="AG83" s="78">
        <f t="shared" si="5"/>
        <v>3579.252</v>
      </c>
    </row>
    <row r="84" spans="1:33" ht="12.75" customHeight="1" x14ac:dyDescent="0.2">
      <c r="A84" s="102"/>
      <c r="B84" s="107"/>
      <c r="C84" s="131" t="s">
        <v>90</v>
      </c>
      <c r="D84" s="109">
        <v>1</v>
      </c>
      <c r="E84" s="73"/>
      <c r="F84" s="74"/>
      <c r="G84" s="74"/>
      <c r="H84" s="74"/>
      <c r="I84" s="74"/>
      <c r="J84" s="74"/>
      <c r="K84" s="74">
        <f>ROUND('26.08.22'!K84*1.04,2)</f>
        <v>17896.259999999998</v>
      </c>
      <c r="L84" s="75" t="s">
        <v>199</v>
      </c>
      <c r="M84" s="83">
        <v>30</v>
      </c>
      <c r="N84" s="76"/>
      <c r="O84" s="78">
        <f t="shared" si="54"/>
        <v>5368.88</v>
      </c>
      <c r="P84" s="78">
        <f t="shared" si="59"/>
        <v>20401.740000000002</v>
      </c>
      <c r="Q84" s="78">
        <f t="shared" si="55"/>
        <v>27560.240399999999</v>
      </c>
      <c r="R84" s="79">
        <f t="shared" si="56"/>
        <v>71227.1204</v>
      </c>
      <c r="S84" s="78">
        <f t="shared" si="57"/>
        <v>4474.07</v>
      </c>
      <c r="T84" s="78">
        <v>1.54</v>
      </c>
      <c r="U84" s="78">
        <f t="shared" si="58"/>
        <v>75701.190399999992</v>
      </c>
      <c r="V84" s="79">
        <f t="shared" si="15"/>
        <v>61967.594747999996</v>
      </c>
      <c r="W84" s="78">
        <f t="shared" si="0"/>
        <v>65860.03564799999</v>
      </c>
      <c r="X84" s="80"/>
      <c r="Y84" s="78"/>
      <c r="Z84" s="80"/>
      <c r="AA84" s="80"/>
      <c r="AB84" s="80">
        <f t="shared" si="3"/>
        <v>0</v>
      </c>
      <c r="AC84" s="80"/>
      <c r="AE84" s="78"/>
      <c r="AG84" s="78"/>
    </row>
    <row r="85" spans="1:33" ht="12.75" customHeight="1" x14ac:dyDescent="0.2">
      <c r="A85" s="102"/>
      <c r="B85" s="107"/>
      <c r="C85" s="120" t="s">
        <v>48</v>
      </c>
      <c r="D85" s="109">
        <v>1</v>
      </c>
      <c r="E85" s="73"/>
      <c r="F85" s="74"/>
      <c r="G85" s="74"/>
      <c r="H85" s="74">
        <v>9212.35</v>
      </c>
      <c r="I85" s="74">
        <f t="shared" si="53"/>
        <v>10133.585000000001</v>
      </c>
      <c r="J85" s="74">
        <v>10741.600100000001</v>
      </c>
      <c r="K85" s="74">
        <f>ROUND('26.08.22'!K85*1.04,2)</f>
        <v>15418.33</v>
      </c>
      <c r="L85" s="75" t="s">
        <v>198</v>
      </c>
      <c r="M85" s="83">
        <v>30</v>
      </c>
      <c r="N85" s="76"/>
      <c r="O85" s="78">
        <f t="shared" si="54"/>
        <v>4625.5</v>
      </c>
      <c r="P85" s="78">
        <f t="shared" si="59"/>
        <v>17576.900000000001</v>
      </c>
      <c r="Q85" s="78">
        <f t="shared" si="55"/>
        <v>22202.395199999999</v>
      </c>
      <c r="R85" s="79">
        <f t="shared" si="56"/>
        <v>59823.125200000002</v>
      </c>
      <c r="S85" s="78">
        <f t="shared" si="57"/>
        <v>3854.58</v>
      </c>
      <c r="T85" s="78">
        <v>1.44</v>
      </c>
      <c r="U85" s="78">
        <f t="shared" si="58"/>
        <v>63677.705200000004</v>
      </c>
      <c r="V85" s="79">
        <f t="shared" si="15"/>
        <v>52046.118924000002</v>
      </c>
      <c r="W85" s="78">
        <f t="shared" si="0"/>
        <v>55399.603524000006</v>
      </c>
      <c r="X85" s="80">
        <v>3</v>
      </c>
      <c r="Y85" s="78">
        <v>3</v>
      </c>
      <c r="Z85" s="80">
        <f t="shared" si="1"/>
        <v>0</v>
      </c>
      <c r="AA85" s="80">
        <f t="shared" si="2"/>
        <v>0</v>
      </c>
      <c r="AB85" s="80">
        <f t="shared" si="3"/>
        <v>46254.99</v>
      </c>
      <c r="AC85" s="80"/>
      <c r="AD85">
        <v>0.1</v>
      </c>
      <c r="AE85" s="78">
        <f t="shared" si="4"/>
        <v>1541.8330000000001</v>
      </c>
      <c r="AF85">
        <v>0.2</v>
      </c>
      <c r="AG85" s="78">
        <f t="shared" si="5"/>
        <v>3083.6660000000002</v>
      </c>
    </row>
    <row r="86" spans="1:33" ht="12.75" hidden="1" customHeight="1" x14ac:dyDescent="0.2">
      <c r="A86" s="102"/>
      <c r="B86" s="107"/>
      <c r="C86" s="120" t="s">
        <v>48</v>
      </c>
      <c r="D86" s="109">
        <v>0</v>
      </c>
      <c r="E86" s="73"/>
      <c r="F86" s="74"/>
      <c r="G86" s="74"/>
      <c r="H86" s="74">
        <v>9212.35</v>
      </c>
      <c r="I86" s="74">
        <f t="shared" si="53"/>
        <v>10133.585000000001</v>
      </c>
      <c r="J86" s="74">
        <v>10741.600100000001</v>
      </c>
      <c r="K86" s="74">
        <f>ROUND('26.08.22'!K86*1.04,2)</f>
        <v>0</v>
      </c>
      <c r="M86" s="83">
        <v>0</v>
      </c>
      <c r="N86" s="76"/>
      <c r="O86" s="78">
        <f>ROUND((K86*M86/100),2)</f>
        <v>0</v>
      </c>
      <c r="P86" s="78">
        <f t="shared" si="59"/>
        <v>0</v>
      </c>
      <c r="Q86" s="78">
        <f t="shared" si="55"/>
        <v>0</v>
      </c>
      <c r="R86" s="79">
        <f t="shared" si="56"/>
        <v>0</v>
      </c>
      <c r="S86" s="78">
        <f t="shared" si="57"/>
        <v>0</v>
      </c>
      <c r="T86" s="78">
        <v>1.44</v>
      </c>
      <c r="U86" s="78">
        <f t="shared" si="58"/>
        <v>0</v>
      </c>
      <c r="V86" s="79">
        <f t="shared" si="15"/>
        <v>0</v>
      </c>
      <c r="W86" s="78">
        <f t="shared" si="0"/>
        <v>0</v>
      </c>
      <c r="X86" s="80">
        <v>3</v>
      </c>
      <c r="Y86" s="78"/>
      <c r="Z86" s="80">
        <f t="shared" si="1"/>
        <v>3</v>
      </c>
      <c r="AA86" s="80">
        <f t="shared" si="2"/>
        <v>0</v>
      </c>
      <c r="AB86" s="80">
        <f t="shared" si="3"/>
        <v>0</v>
      </c>
      <c r="AC86" s="80"/>
      <c r="AD86">
        <v>0.1</v>
      </c>
      <c r="AE86" s="78">
        <f t="shared" si="4"/>
        <v>0</v>
      </c>
      <c r="AF86">
        <v>0.2</v>
      </c>
      <c r="AG86" s="78">
        <f t="shared" si="5"/>
        <v>0</v>
      </c>
    </row>
    <row r="87" spans="1:33" ht="12.75" customHeight="1" x14ac:dyDescent="0.2">
      <c r="A87" s="102"/>
      <c r="B87" s="107"/>
      <c r="C87" s="120" t="s">
        <v>48</v>
      </c>
      <c r="D87" s="109">
        <v>1</v>
      </c>
      <c r="E87" s="73"/>
      <c r="F87" s="74"/>
      <c r="G87" s="74"/>
      <c r="H87" s="74">
        <v>9212.35</v>
      </c>
      <c r="I87" s="74">
        <f t="shared" si="53"/>
        <v>10133.585000000001</v>
      </c>
      <c r="J87" s="74">
        <v>10741.600100000001</v>
      </c>
      <c r="K87" s="74">
        <f>ROUND('26.08.22'!K87*1.04,2)</f>
        <v>15418.33</v>
      </c>
      <c r="L87" s="75" t="s">
        <v>200</v>
      </c>
      <c r="M87" s="145">
        <v>30</v>
      </c>
      <c r="N87" s="76"/>
      <c r="O87" s="78">
        <f>ROUND((K87*M87/100),2)</f>
        <v>4625.5</v>
      </c>
      <c r="P87" s="78">
        <f t="shared" si="59"/>
        <v>17576.900000000001</v>
      </c>
      <c r="Q87" s="78">
        <f t="shared" si="55"/>
        <v>22202.395199999999</v>
      </c>
      <c r="R87" s="79">
        <f t="shared" si="56"/>
        <v>59823.125200000002</v>
      </c>
      <c r="S87" s="78">
        <f t="shared" si="57"/>
        <v>3854.58</v>
      </c>
      <c r="T87" s="78">
        <v>1.44</v>
      </c>
      <c r="U87" s="78">
        <f t="shared" si="58"/>
        <v>63677.705200000004</v>
      </c>
      <c r="V87" s="79">
        <f t="shared" ref="V87" si="60">R87*0.87</f>
        <v>52046.118924000002</v>
      </c>
      <c r="W87" s="78">
        <f t="shared" ref="W87" si="61">U87*0.87</f>
        <v>55399.603524000006</v>
      </c>
      <c r="X87" s="80">
        <v>4</v>
      </c>
      <c r="Y87" s="78"/>
      <c r="Z87" s="80">
        <f t="shared" si="1"/>
        <v>4</v>
      </c>
      <c r="AA87" s="80">
        <f t="shared" si="2"/>
        <v>61673.32</v>
      </c>
      <c r="AB87" s="80">
        <f t="shared" si="3"/>
        <v>0</v>
      </c>
      <c r="AC87" s="80"/>
      <c r="AD87">
        <v>1.1000000000000001</v>
      </c>
      <c r="AE87" s="78">
        <f t="shared" si="4"/>
        <v>16960.163</v>
      </c>
      <c r="AF87">
        <v>1.2</v>
      </c>
      <c r="AG87" s="78">
        <f t="shared" si="5"/>
        <v>18501.995999999999</v>
      </c>
    </row>
    <row r="88" spans="1:33" x14ac:dyDescent="0.2">
      <c r="A88" s="86"/>
      <c r="B88" s="107"/>
      <c r="C88" s="87" t="s">
        <v>51</v>
      </c>
      <c r="D88" s="111">
        <f>SUM(D79:D87)</f>
        <v>8</v>
      </c>
      <c r="E88" s="134">
        <f>SUM(E79:E85)</f>
        <v>27000</v>
      </c>
      <c r="F88" s="134">
        <f>SUM(F79:F85)</f>
        <v>29700</v>
      </c>
      <c r="G88" s="134">
        <f>SUM(G79:G85)</f>
        <v>35939</v>
      </c>
      <c r="H88" s="134">
        <f>SUM(H79:H86)</f>
        <v>73534.320000000007</v>
      </c>
      <c r="I88" s="134">
        <f>SUM(I79:I86)</f>
        <v>80887.752000000008</v>
      </c>
      <c r="J88" s="134">
        <v>73273.084060000008</v>
      </c>
      <c r="K88" s="90">
        <f>SUM(K79:K87)</f>
        <v>147024.62999999998</v>
      </c>
      <c r="L88" s="90"/>
      <c r="M88" s="90"/>
      <c r="N88" s="90">
        <f t="shared" ref="N88" si="62">SUM(N79:N86)</f>
        <v>0</v>
      </c>
      <c r="O88" s="90">
        <f>SUM(O79:O87)</f>
        <v>44107.4</v>
      </c>
      <c r="P88" s="90">
        <f t="shared" ref="P88:W88" si="63">SUM(P79:P87)</f>
        <v>169948.37</v>
      </c>
      <c r="Q88" s="90">
        <f t="shared" si="63"/>
        <v>223334.26420000001</v>
      </c>
      <c r="R88" s="90">
        <f t="shared" si="63"/>
        <v>584414.6642</v>
      </c>
      <c r="S88" s="90">
        <f t="shared" si="63"/>
        <v>36756.17</v>
      </c>
      <c r="T88" s="90">
        <f t="shared" si="63"/>
        <v>13.559999999999999</v>
      </c>
      <c r="U88" s="90">
        <f t="shared" si="63"/>
        <v>621170.83419999981</v>
      </c>
      <c r="V88" s="90">
        <f t="shared" si="63"/>
        <v>508440.75785399997</v>
      </c>
      <c r="W88" s="90">
        <f t="shared" si="63"/>
        <v>540418.62575400004</v>
      </c>
      <c r="X88" s="80"/>
      <c r="Y88" s="90"/>
      <c r="Z88" s="80"/>
      <c r="AA88" s="80">
        <f t="shared" si="2"/>
        <v>0</v>
      </c>
      <c r="AB88" s="80">
        <f t="shared" si="3"/>
        <v>0</v>
      </c>
      <c r="AC88" s="91"/>
      <c r="AD88">
        <v>0.1</v>
      </c>
      <c r="AE88" s="134">
        <f t="shared" si="4"/>
        <v>14702.462999999998</v>
      </c>
      <c r="AF88">
        <v>0.2</v>
      </c>
      <c r="AG88" s="134">
        <f t="shared" si="5"/>
        <v>29404.925999999996</v>
      </c>
    </row>
    <row r="89" spans="1:33" ht="18" customHeight="1" x14ac:dyDescent="0.2">
      <c r="A89" s="86"/>
      <c r="B89" s="87"/>
      <c r="C89" s="70" t="s">
        <v>73</v>
      </c>
      <c r="D89" s="111">
        <f>D77+D88+D57+D58</f>
        <v>25</v>
      </c>
      <c r="E89" s="134">
        <f t="shared" ref="E89:I89" si="64">SUM(E57:E58)+E77+E88</f>
        <v>73300</v>
      </c>
      <c r="F89" s="134">
        <f t="shared" si="64"/>
        <v>79530</v>
      </c>
      <c r="G89" s="134">
        <f t="shared" si="64"/>
        <v>96236</v>
      </c>
      <c r="H89" s="134">
        <f t="shared" si="64"/>
        <v>169441.50000000003</v>
      </c>
      <c r="I89" s="134">
        <f t="shared" si="64"/>
        <v>186385.65000000002</v>
      </c>
      <c r="J89" s="134">
        <v>185100.85594000004</v>
      </c>
      <c r="K89" s="90">
        <f>K88+K77+K57+K58</f>
        <v>476040.42000000004</v>
      </c>
      <c r="L89" s="90"/>
      <c r="M89" s="90"/>
      <c r="N89" s="90">
        <f t="shared" ref="N89" si="65">N88+N77+N57+N58</f>
        <v>0</v>
      </c>
      <c r="O89" s="90">
        <f>O88+O77+O57+O58</f>
        <v>125315.11</v>
      </c>
      <c r="P89" s="90">
        <f t="shared" ref="P89:W89" si="66">P88+P77+P57+P58</f>
        <v>550078.65999999992</v>
      </c>
      <c r="Q89" s="90">
        <f t="shared" si="66"/>
        <v>700916.5074</v>
      </c>
      <c r="R89" s="90">
        <f t="shared" si="66"/>
        <v>1808683.8174000001</v>
      </c>
      <c r="S89" s="90">
        <f t="shared" si="66"/>
        <v>119010.18</v>
      </c>
      <c r="T89" s="90">
        <f t="shared" si="66"/>
        <v>44.179999999999993</v>
      </c>
      <c r="U89" s="90">
        <f t="shared" si="66"/>
        <v>1923219.9273999992</v>
      </c>
      <c r="V89" s="90">
        <f t="shared" si="66"/>
        <v>1573554.921138</v>
      </c>
      <c r="W89" s="90">
        <f t="shared" si="66"/>
        <v>1673201.3368379998</v>
      </c>
      <c r="X89" s="80"/>
      <c r="Y89" s="90"/>
      <c r="Z89" s="80"/>
      <c r="AA89" s="80">
        <f t="shared" si="2"/>
        <v>0</v>
      </c>
      <c r="AB89" s="80">
        <f t="shared" si="3"/>
        <v>0</v>
      </c>
      <c r="AC89" s="91"/>
      <c r="AD89">
        <v>0.1</v>
      </c>
      <c r="AE89" s="134">
        <f t="shared" si="4"/>
        <v>47604.042000000009</v>
      </c>
      <c r="AF89">
        <v>0.2</v>
      </c>
      <c r="AG89" s="134">
        <f t="shared" si="5"/>
        <v>95208.084000000017</v>
      </c>
    </row>
    <row r="90" spans="1:33" ht="23.25" customHeight="1" x14ac:dyDescent="0.2">
      <c r="A90" s="59" t="s">
        <v>93</v>
      </c>
      <c r="B90" s="87"/>
      <c r="C90" s="70"/>
      <c r="D90" s="111"/>
      <c r="E90" s="134"/>
      <c r="F90" s="134"/>
      <c r="G90" s="134"/>
      <c r="H90" s="134"/>
      <c r="I90" s="134"/>
      <c r="J90" s="134"/>
      <c r="K90" s="90"/>
      <c r="L90" s="90"/>
      <c r="M90" s="111"/>
      <c r="N90" s="111"/>
      <c r="O90" s="134"/>
      <c r="P90" s="134"/>
      <c r="Q90" s="134"/>
      <c r="R90" s="134"/>
      <c r="S90" s="134"/>
      <c r="T90" s="134"/>
      <c r="U90" s="134"/>
      <c r="V90" s="135"/>
      <c r="W90" s="134"/>
      <c r="X90" s="80"/>
      <c r="Y90" s="134"/>
      <c r="Z90" s="80"/>
      <c r="AA90" s="80">
        <f t="shared" si="2"/>
        <v>0</v>
      </c>
      <c r="AB90" s="80">
        <f t="shared" si="3"/>
        <v>0</v>
      </c>
      <c r="AC90" s="136"/>
      <c r="AD90">
        <v>0.1</v>
      </c>
      <c r="AE90" s="134"/>
      <c r="AG90" s="134"/>
    </row>
    <row r="91" spans="1:33" x14ac:dyDescent="0.2">
      <c r="A91" s="86"/>
      <c r="B91" s="87"/>
      <c r="C91" s="87" t="s">
        <v>58</v>
      </c>
      <c r="D91" s="137">
        <v>1</v>
      </c>
      <c r="E91" s="134"/>
      <c r="F91" s="134"/>
      <c r="G91" s="134"/>
      <c r="H91" s="134"/>
      <c r="I91" s="134"/>
      <c r="J91" s="138">
        <v>16304.212980000004</v>
      </c>
      <c r="K91" s="74">
        <f>ROUND('26.08.22'!K91*1.04,2)</f>
        <v>23402.77</v>
      </c>
      <c r="L91" s="105" t="s">
        <v>94</v>
      </c>
      <c r="M91" s="139">
        <v>20</v>
      </c>
      <c r="N91" s="137"/>
      <c r="O91" s="78">
        <f>ROUND((K91*M91/100),2)</f>
        <v>4680.55</v>
      </c>
      <c r="P91" s="78">
        <f>ROUND(K91*1.24,2)</f>
        <v>29019.43</v>
      </c>
      <c r="Q91" s="78">
        <f>K91*T91</f>
        <v>36040.265800000001</v>
      </c>
      <c r="R91" s="79">
        <f>K91+O91+P91+Q91</f>
        <v>93143.015799999994</v>
      </c>
      <c r="S91" s="78">
        <f>ROUND(K91*S$12,2)</f>
        <v>5850.69</v>
      </c>
      <c r="T91" s="78">
        <v>1.54</v>
      </c>
      <c r="U91" s="78">
        <f>K91+O91+P91+Q91+S91</f>
        <v>98993.705799999996</v>
      </c>
      <c r="V91" s="79">
        <f t="shared" ref="V91:V154" si="67">R91*0.87</f>
        <v>81034.423746</v>
      </c>
      <c r="W91" s="78">
        <f t="shared" ref="W91:W154" si="68">U91*0.87</f>
        <v>86124.524045999991</v>
      </c>
      <c r="X91" s="80">
        <v>3</v>
      </c>
      <c r="Y91" s="78">
        <v>3</v>
      </c>
      <c r="Z91" s="80">
        <f t="shared" si="1"/>
        <v>0</v>
      </c>
      <c r="AA91" s="80">
        <f t="shared" si="2"/>
        <v>0</v>
      </c>
      <c r="AB91" s="80">
        <f t="shared" si="3"/>
        <v>70208.31</v>
      </c>
      <c r="AC91" s="80"/>
      <c r="AD91">
        <v>0.1</v>
      </c>
      <c r="AE91" s="78">
        <f t="shared" si="4"/>
        <v>2340.277</v>
      </c>
      <c r="AF91">
        <v>0.2</v>
      </c>
      <c r="AG91" s="78">
        <f t="shared" si="5"/>
        <v>4680.5540000000001</v>
      </c>
    </row>
    <row r="92" spans="1:33" x14ac:dyDescent="0.2">
      <c r="A92" s="86"/>
      <c r="B92" s="87"/>
      <c r="C92" s="107" t="s">
        <v>45</v>
      </c>
      <c r="D92" s="137">
        <v>1</v>
      </c>
      <c r="E92" s="134"/>
      <c r="F92" s="134"/>
      <c r="G92" s="134"/>
      <c r="H92" s="134"/>
      <c r="I92" s="134"/>
      <c r="J92" s="138">
        <v>12467.933060000001</v>
      </c>
      <c r="K92" s="74">
        <f>ROUND('26.08.22'!K92*1.04,2)</f>
        <v>17896.259999999998</v>
      </c>
      <c r="L92" s="75" t="s">
        <v>95</v>
      </c>
      <c r="M92" s="76">
        <v>30</v>
      </c>
      <c r="N92" s="76"/>
      <c r="O92" s="78">
        <f>ROUND((K92*M92/100),2)</f>
        <v>5368.88</v>
      </c>
      <c r="P92" s="78">
        <f>ROUND(K92*1.14,2)</f>
        <v>20401.740000000002</v>
      </c>
      <c r="Q92" s="78">
        <f>K92*T92</f>
        <v>27560.240399999999</v>
      </c>
      <c r="R92" s="79">
        <f>K92+O92+P92+Q92</f>
        <v>71227.1204</v>
      </c>
      <c r="S92" s="78">
        <f>ROUND(K92*S$12,2)</f>
        <v>4474.07</v>
      </c>
      <c r="T92" s="78">
        <v>1.54</v>
      </c>
      <c r="U92" s="78">
        <f>K92+O92+P92+Q92+S92</f>
        <v>75701.190399999992</v>
      </c>
      <c r="V92" s="79">
        <f t="shared" si="67"/>
        <v>61967.594747999996</v>
      </c>
      <c r="W92" s="78">
        <f t="shared" si="68"/>
        <v>65860.03564799999</v>
      </c>
      <c r="X92" s="80">
        <v>3</v>
      </c>
      <c r="Y92" s="78"/>
      <c r="Z92" s="80">
        <f t="shared" ref="Z92:Z155" si="69">X92-Y92</f>
        <v>3</v>
      </c>
      <c r="AA92" s="80">
        <f t="shared" ref="AA92:AA155" si="70">K92*Z92</f>
        <v>53688.78</v>
      </c>
      <c r="AB92" s="80">
        <f t="shared" ref="AB92:AB155" si="71">K92*Y92</f>
        <v>0</v>
      </c>
      <c r="AC92" s="80"/>
      <c r="AD92">
        <v>0.1</v>
      </c>
      <c r="AE92" s="78">
        <f t="shared" ref="AE92:AE155" si="72">K92*AD92</f>
        <v>1789.626</v>
      </c>
      <c r="AF92">
        <v>0.2</v>
      </c>
      <c r="AG92" s="78">
        <f t="shared" ref="AG92:AG131" si="73">AF92*K92</f>
        <v>3579.252</v>
      </c>
    </row>
    <row r="93" spans="1:33" x14ac:dyDescent="0.2">
      <c r="A93" s="86"/>
      <c r="B93" s="87"/>
      <c r="C93" s="87" t="s">
        <v>96</v>
      </c>
      <c r="D93" s="111">
        <f>SUM(D91:D92)</f>
        <v>2</v>
      </c>
      <c r="E93" s="134"/>
      <c r="F93" s="134"/>
      <c r="G93" s="134"/>
      <c r="H93" s="134"/>
      <c r="I93" s="134"/>
      <c r="J93" s="134">
        <v>28772.146040000007</v>
      </c>
      <c r="K93" s="90">
        <f>SUM(K91:K92)</f>
        <v>41299.03</v>
      </c>
      <c r="L93" s="90"/>
      <c r="M93" s="90"/>
      <c r="N93" s="90">
        <f t="shared" ref="N93:W93" si="74">SUM(N91:N92)</f>
        <v>0</v>
      </c>
      <c r="O93" s="90">
        <f t="shared" si="74"/>
        <v>10049.43</v>
      </c>
      <c r="P93" s="90">
        <f t="shared" si="74"/>
        <v>49421.17</v>
      </c>
      <c r="Q93" s="90">
        <f t="shared" si="74"/>
        <v>63600.506200000003</v>
      </c>
      <c r="R93" s="90">
        <f t="shared" si="74"/>
        <v>164370.13620000001</v>
      </c>
      <c r="S93" s="90">
        <f t="shared" si="74"/>
        <v>10324.759999999998</v>
      </c>
      <c r="T93" s="90"/>
      <c r="U93" s="90">
        <f t="shared" si="74"/>
        <v>174694.89619999999</v>
      </c>
      <c r="V93" s="90">
        <f t="shared" si="74"/>
        <v>143002.01849399999</v>
      </c>
      <c r="W93" s="90">
        <f t="shared" si="74"/>
        <v>151984.559694</v>
      </c>
      <c r="X93" s="80"/>
      <c r="Y93" s="90"/>
      <c r="Z93" s="80"/>
      <c r="AA93" s="80">
        <f t="shared" si="70"/>
        <v>0</v>
      </c>
      <c r="AB93" s="80">
        <f t="shared" si="71"/>
        <v>0</v>
      </c>
      <c r="AC93" s="91"/>
      <c r="AD93">
        <v>0.1</v>
      </c>
      <c r="AE93" s="89">
        <f t="shared" si="72"/>
        <v>4129.9030000000002</v>
      </c>
      <c r="AF93">
        <v>0.2</v>
      </c>
      <c r="AG93" s="89">
        <f t="shared" si="73"/>
        <v>8259.8060000000005</v>
      </c>
    </row>
    <row r="94" spans="1:33" ht="32.25" customHeight="1" x14ac:dyDescent="0.2">
      <c r="A94" s="59" t="s">
        <v>97</v>
      </c>
      <c r="B94" s="93"/>
      <c r="C94" s="93"/>
      <c r="D94" s="111"/>
      <c r="E94" s="95"/>
      <c r="F94" s="95"/>
      <c r="G94" s="95"/>
      <c r="H94" s="95"/>
      <c r="I94" s="95"/>
      <c r="J94" s="95"/>
      <c r="K94" s="90"/>
      <c r="L94" s="90"/>
      <c r="M94" s="97"/>
      <c r="N94" s="97"/>
      <c r="O94" s="98"/>
      <c r="P94" s="99" t="s">
        <v>40</v>
      </c>
      <c r="Q94" s="66" t="s">
        <v>57</v>
      </c>
      <c r="R94" s="98"/>
      <c r="S94" s="98"/>
      <c r="T94" s="99"/>
      <c r="U94" s="98"/>
      <c r="V94" s="100"/>
      <c r="W94" s="98"/>
      <c r="X94" s="80"/>
      <c r="Y94" s="98"/>
      <c r="Z94" s="80"/>
      <c r="AA94" s="80">
        <f t="shared" si="70"/>
        <v>0</v>
      </c>
      <c r="AB94" s="80">
        <f t="shared" si="71"/>
        <v>0</v>
      </c>
      <c r="AC94" s="101"/>
      <c r="AD94">
        <v>0.1</v>
      </c>
      <c r="AE94" s="98"/>
      <c r="AG94" s="98"/>
    </row>
    <row r="95" spans="1:33" x14ac:dyDescent="0.2">
      <c r="A95" s="102"/>
      <c r="B95" s="87"/>
      <c r="C95" s="87" t="s">
        <v>58</v>
      </c>
      <c r="D95" s="108">
        <v>1</v>
      </c>
      <c r="E95" s="118">
        <v>8500</v>
      </c>
      <c r="F95" s="74">
        <f t="shared" ref="F95:F104" si="75">ROUND(E95*F$12,2)</f>
        <v>9350</v>
      </c>
      <c r="G95" s="74">
        <f>F95*1.1*1.1+0.5</f>
        <v>11314.000000000002</v>
      </c>
      <c r="H95" s="74">
        <v>13983.03</v>
      </c>
      <c r="I95" s="74">
        <f t="shared" ref="I95:I104" si="76">H95*$I$12</f>
        <v>15381.333000000002</v>
      </c>
      <c r="J95" s="74">
        <v>16304.212980000004</v>
      </c>
      <c r="K95" s="74">
        <f>ROUND('26.08.22'!K95*1.04,2)</f>
        <v>23402.77</v>
      </c>
      <c r="L95" s="105" t="s">
        <v>98</v>
      </c>
      <c r="M95" s="76">
        <v>30</v>
      </c>
      <c r="N95" s="76"/>
      <c r="O95" s="78">
        <f>ROUND((K95*M95/100),2)</f>
        <v>7020.83</v>
      </c>
      <c r="P95" s="78">
        <f>ROUND(K95*1.24,2)</f>
        <v>29019.43</v>
      </c>
      <c r="Q95" s="78">
        <f>K95*T95</f>
        <v>36040.265800000001</v>
      </c>
      <c r="R95" s="79">
        <f>K95+O95+P95+Q95</f>
        <v>95483.295799999993</v>
      </c>
      <c r="S95" s="78">
        <f>ROUND(K95*S$12,2)</f>
        <v>5850.69</v>
      </c>
      <c r="T95" s="78">
        <v>1.54</v>
      </c>
      <c r="U95" s="78">
        <f>K95+O95+P95+Q95+S95</f>
        <v>101333.98579999999</v>
      </c>
      <c r="V95" s="79">
        <f t="shared" si="67"/>
        <v>83070.46734599999</v>
      </c>
      <c r="W95" s="78">
        <f t="shared" si="68"/>
        <v>88160.567645999996</v>
      </c>
      <c r="X95" s="80">
        <v>3</v>
      </c>
      <c r="Y95" s="78"/>
      <c r="Z95" s="80">
        <f t="shared" si="69"/>
        <v>3</v>
      </c>
      <c r="AA95" s="80">
        <f t="shared" si="70"/>
        <v>70208.31</v>
      </c>
      <c r="AB95" s="80">
        <f t="shared" si="71"/>
        <v>0</v>
      </c>
      <c r="AC95" s="80"/>
      <c r="AD95">
        <v>0.1</v>
      </c>
      <c r="AE95" s="78">
        <f t="shared" si="72"/>
        <v>2340.277</v>
      </c>
      <c r="AF95">
        <v>0.2</v>
      </c>
      <c r="AG95" s="78">
        <f t="shared" si="73"/>
        <v>4680.5540000000001</v>
      </c>
    </row>
    <row r="96" spans="1:33" ht="21.75" customHeight="1" x14ac:dyDescent="0.2">
      <c r="A96" s="102"/>
      <c r="B96" s="107"/>
      <c r="C96" s="82" t="s">
        <v>99</v>
      </c>
      <c r="D96" s="72">
        <v>1</v>
      </c>
      <c r="E96" s="73">
        <v>7700</v>
      </c>
      <c r="F96" s="74">
        <f t="shared" si="75"/>
        <v>8470</v>
      </c>
      <c r="G96" s="74">
        <f>F96*1.1*1.1+0.3</f>
        <v>10249</v>
      </c>
      <c r="H96" s="74">
        <v>12666.98</v>
      </c>
      <c r="I96" s="74">
        <f t="shared" si="76"/>
        <v>13933.678</v>
      </c>
      <c r="J96" s="74">
        <v>14769.698680000001</v>
      </c>
      <c r="K96" s="74">
        <f>ROUND('26.08.22'!K96*1.04,2)</f>
        <v>21200.16</v>
      </c>
      <c r="L96" s="75" t="s">
        <v>103</v>
      </c>
      <c r="M96" s="83">
        <v>30</v>
      </c>
      <c r="N96" s="76"/>
      <c r="O96" s="78">
        <f t="shared" ref="O96:O104" si="77">ROUND((K96*M96/100),2)</f>
        <v>6360.05</v>
      </c>
      <c r="P96" s="78">
        <f>ROUND(K96*1.14,2)</f>
        <v>24168.18</v>
      </c>
      <c r="Q96" s="78">
        <f t="shared" ref="Q96:Q104" si="78">K96*T96</f>
        <v>32648.2464</v>
      </c>
      <c r="R96" s="79">
        <f t="shared" ref="R96:R130" si="79">K96+O96+P96+Q96</f>
        <v>84376.636400000003</v>
      </c>
      <c r="S96" s="78">
        <f t="shared" ref="S96:S130" si="80">ROUND(K96*S$12,2)</f>
        <v>5300.04</v>
      </c>
      <c r="T96" s="78">
        <v>1.54</v>
      </c>
      <c r="U96" s="78">
        <f t="shared" ref="U96:U130" si="81">K96+O96+P96+Q96+S96</f>
        <v>89676.676399999997</v>
      </c>
      <c r="V96" s="79">
        <f t="shared" si="67"/>
        <v>73407.673668000003</v>
      </c>
      <c r="W96" s="78">
        <f t="shared" si="68"/>
        <v>78018.708467999997</v>
      </c>
      <c r="X96" s="80">
        <v>3</v>
      </c>
      <c r="Y96" s="78"/>
      <c r="Z96" s="80">
        <f t="shared" si="69"/>
        <v>3</v>
      </c>
      <c r="AA96" s="80">
        <f t="shared" si="70"/>
        <v>63600.479999999996</v>
      </c>
      <c r="AB96" s="80">
        <f t="shared" si="71"/>
        <v>0</v>
      </c>
      <c r="AC96" s="80"/>
      <c r="AD96">
        <v>0.1</v>
      </c>
      <c r="AE96" s="78">
        <f t="shared" si="72"/>
        <v>2120.0160000000001</v>
      </c>
      <c r="AF96">
        <v>0.2</v>
      </c>
      <c r="AG96" s="78">
        <f t="shared" si="73"/>
        <v>4240.0320000000002</v>
      </c>
    </row>
    <row r="97" spans="1:33" x14ac:dyDescent="0.2">
      <c r="A97" s="102">
        <f>K98/2</f>
        <v>8948.1299999999992</v>
      </c>
      <c r="B97" s="107"/>
      <c r="C97" s="107" t="s">
        <v>45</v>
      </c>
      <c r="D97" s="109">
        <v>1</v>
      </c>
      <c r="E97" s="73">
        <v>6500</v>
      </c>
      <c r="F97" s="74">
        <f t="shared" si="75"/>
        <v>7150</v>
      </c>
      <c r="G97" s="74">
        <f>F97*1.1*1.1+0.5</f>
        <v>8652.0000000000018</v>
      </c>
      <c r="H97" s="74">
        <v>10692.91</v>
      </c>
      <c r="I97" s="74">
        <f t="shared" si="76"/>
        <v>11762.201000000001</v>
      </c>
      <c r="J97" s="74">
        <v>12467.933060000001</v>
      </c>
      <c r="K97" s="74">
        <f>ROUND('26.08.22'!K97*1.04,2)</f>
        <v>17896.259999999998</v>
      </c>
      <c r="L97" s="75" t="s">
        <v>100</v>
      </c>
      <c r="M97" s="76">
        <v>30</v>
      </c>
      <c r="N97" s="76"/>
      <c r="O97" s="78">
        <f t="shared" si="77"/>
        <v>5368.88</v>
      </c>
      <c r="P97" s="78">
        <f t="shared" ref="P97:P104" si="82">ROUND(K97*1.14,2)</f>
        <v>20401.740000000002</v>
      </c>
      <c r="Q97" s="78">
        <f>K97*T97</f>
        <v>27560.240399999999</v>
      </c>
      <c r="R97" s="79">
        <f t="shared" si="79"/>
        <v>71227.1204</v>
      </c>
      <c r="S97" s="78">
        <f t="shared" si="80"/>
        <v>4474.07</v>
      </c>
      <c r="T97" s="78">
        <v>1.54</v>
      </c>
      <c r="U97" s="78">
        <f t="shared" si="81"/>
        <v>75701.190399999992</v>
      </c>
      <c r="V97" s="79">
        <f t="shared" si="67"/>
        <v>61967.594747999996</v>
      </c>
      <c r="W97" s="78">
        <f t="shared" si="68"/>
        <v>65860.03564799999</v>
      </c>
      <c r="X97" s="80">
        <v>3</v>
      </c>
      <c r="Y97" s="78">
        <v>2</v>
      </c>
      <c r="Z97" s="80">
        <f t="shared" si="69"/>
        <v>1</v>
      </c>
      <c r="AA97" s="80">
        <f t="shared" si="70"/>
        <v>17896.259999999998</v>
      </c>
      <c r="AB97" s="80">
        <f t="shared" si="71"/>
        <v>35792.519999999997</v>
      </c>
      <c r="AC97" s="80"/>
      <c r="AD97">
        <v>0.1</v>
      </c>
      <c r="AE97" s="78">
        <f t="shared" si="72"/>
        <v>1789.626</v>
      </c>
      <c r="AF97">
        <v>0.2</v>
      </c>
      <c r="AG97" s="78">
        <f t="shared" si="73"/>
        <v>3579.252</v>
      </c>
    </row>
    <row r="98" spans="1:33" x14ac:dyDescent="0.2">
      <c r="A98" s="102"/>
      <c r="B98" s="107"/>
      <c r="C98" s="107" t="s">
        <v>45</v>
      </c>
      <c r="D98" s="109">
        <v>1</v>
      </c>
      <c r="E98" s="73"/>
      <c r="F98" s="74"/>
      <c r="G98" s="74"/>
      <c r="H98" s="74"/>
      <c r="I98" s="74"/>
      <c r="J98" s="74"/>
      <c r="K98" s="74">
        <f>ROUND('26.08.22'!K98*1.04,2)</f>
        <v>17896.259999999998</v>
      </c>
      <c r="L98" s="75" t="s">
        <v>101</v>
      </c>
      <c r="M98" s="76">
        <v>10</v>
      </c>
      <c r="N98" s="76"/>
      <c r="O98" s="78">
        <f t="shared" si="77"/>
        <v>1789.63</v>
      </c>
      <c r="P98" s="78">
        <f t="shared" si="82"/>
        <v>20401.740000000002</v>
      </c>
      <c r="Q98" s="78">
        <f t="shared" si="78"/>
        <v>27560.240399999999</v>
      </c>
      <c r="R98" s="79">
        <f t="shared" si="79"/>
        <v>67647.8704</v>
      </c>
      <c r="S98" s="78">
        <f t="shared" si="80"/>
        <v>4474.07</v>
      </c>
      <c r="T98" s="78">
        <v>1.54</v>
      </c>
      <c r="U98" s="78">
        <f t="shared" si="81"/>
        <v>72121.940399999992</v>
      </c>
      <c r="V98" s="79">
        <f t="shared" si="67"/>
        <v>58853.647248000001</v>
      </c>
      <c r="W98" s="78">
        <f t="shared" si="68"/>
        <v>62746.088147999995</v>
      </c>
      <c r="X98" s="80"/>
      <c r="Y98" s="78"/>
      <c r="Z98" s="80"/>
      <c r="AA98" s="80"/>
      <c r="AB98" s="80"/>
      <c r="AC98" s="80"/>
      <c r="AE98" s="78"/>
      <c r="AG98" s="78"/>
    </row>
    <row r="99" spans="1:33" x14ac:dyDescent="0.2">
      <c r="A99" s="102"/>
      <c r="B99" s="107"/>
      <c r="C99" s="107" t="s">
        <v>45</v>
      </c>
      <c r="D99" s="109">
        <v>1</v>
      </c>
      <c r="E99" s="73">
        <v>6500</v>
      </c>
      <c r="F99" s="74">
        <f>ROUND(E99*F$12,2)</f>
        <v>7150</v>
      </c>
      <c r="G99" s="74">
        <f>F99*1.1*1.1+0.5</f>
        <v>8652.0000000000018</v>
      </c>
      <c r="H99" s="74">
        <v>10692.91</v>
      </c>
      <c r="I99" s="74">
        <f>H99*$I$12</f>
        <v>11762.201000000001</v>
      </c>
      <c r="J99" s="74">
        <v>12467.933060000001</v>
      </c>
      <c r="K99" s="74">
        <f>ROUND('26.08.22'!K99*1.04,2)</f>
        <v>17896.259999999998</v>
      </c>
      <c r="L99" s="75" t="s">
        <v>102</v>
      </c>
      <c r="M99" s="83">
        <v>20</v>
      </c>
      <c r="N99" s="76"/>
      <c r="O99" s="78">
        <f>ROUND((K99*M99/100),2)</f>
        <v>3579.25</v>
      </c>
      <c r="P99" s="78">
        <f>ROUND(K99*1.14,2)</f>
        <v>20401.740000000002</v>
      </c>
      <c r="Q99" s="78">
        <f>K99*T99</f>
        <v>27560.240399999999</v>
      </c>
      <c r="R99" s="79">
        <f>K99+O99+P99+Q99</f>
        <v>69437.490399999995</v>
      </c>
      <c r="S99" s="78">
        <f>ROUND(K99*S$12,2)</f>
        <v>4474.07</v>
      </c>
      <c r="T99" s="78">
        <v>1.54</v>
      </c>
      <c r="U99" s="78">
        <f>K99+O99+P99+Q99+S99</f>
        <v>73911.560399999988</v>
      </c>
      <c r="V99" s="79">
        <f>R99*0.87</f>
        <v>60410.616647999996</v>
      </c>
      <c r="W99" s="78">
        <f>U99*0.87</f>
        <v>64303.05754799999</v>
      </c>
      <c r="X99" s="80">
        <v>3</v>
      </c>
      <c r="Y99" s="78">
        <v>3</v>
      </c>
      <c r="Z99" s="80">
        <f>X99-Y99</f>
        <v>0</v>
      </c>
      <c r="AA99" s="80">
        <f>K99*Z99</f>
        <v>0</v>
      </c>
      <c r="AB99" s="80">
        <f>K99*Y99</f>
        <v>53688.78</v>
      </c>
      <c r="AC99" s="80"/>
      <c r="AD99">
        <v>0.1</v>
      </c>
      <c r="AE99" s="78">
        <f>K99*AD99</f>
        <v>1789.626</v>
      </c>
      <c r="AF99">
        <v>0.2</v>
      </c>
      <c r="AG99" s="78">
        <f>AF99*K99</f>
        <v>3579.252</v>
      </c>
    </row>
    <row r="100" spans="1:33" x14ac:dyDescent="0.2">
      <c r="A100" s="102"/>
      <c r="B100" s="107"/>
      <c r="C100" s="107" t="s">
        <v>45</v>
      </c>
      <c r="D100" s="109">
        <v>1</v>
      </c>
      <c r="E100" s="73">
        <v>6500</v>
      </c>
      <c r="F100" s="74">
        <f>ROUND(E100*F$12,2)</f>
        <v>7150</v>
      </c>
      <c r="G100" s="74">
        <f>F100*1.1*1.1+0.5</f>
        <v>8652.0000000000018</v>
      </c>
      <c r="H100" s="74">
        <v>10692.91</v>
      </c>
      <c r="I100" s="74">
        <f>H100*$I$12</f>
        <v>11762.201000000001</v>
      </c>
      <c r="J100" s="74">
        <v>12467.933060000001</v>
      </c>
      <c r="K100" s="74">
        <v>17896.259999999998</v>
      </c>
      <c r="L100" s="105" t="s">
        <v>208</v>
      </c>
      <c r="M100" s="83">
        <v>30</v>
      </c>
      <c r="N100" s="83"/>
      <c r="O100" s="74">
        <f>ROUND((K100*M100/100),2)</f>
        <v>5368.88</v>
      </c>
      <c r="P100" s="74">
        <f>ROUND(K100*1.14,2)</f>
        <v>20401.740000000002</v>
      </c>
      <c r="Q100" s="74">
        <f>K100*T100</f>
        <v>27560.240399999999</v>
      </c>
      <c r="R100" s="79">
        <f>K100+O100+P100+Q100</f>
        <v>71227.1204</v>
      </c>
      <c r="S100" s="78">
        <f>ROUND(K100*S$12,2)</f>
        <v>4474.07</v>
      </c>
      <c r="T100" s="78">
        <v>1.54</v>
      </c>
      <c r="U100" s="78">
        <f>K100+O100+P100+Q100+S100</f>
        <v>75701.190399999992</v>
      </c>
      <c r="V100" s="79">
        <f>R100*0.87</f>
        <v>61967.594747999996</v>
      </c>
      <c r="W100" s="78">
        <f>U100*0.87</f>
        <v>65860.03564799999</v>
      </c>
      <c r="X100" s="80">
        <v>3</v>
      </c>
      <c r="Y100" s="78"/>
      <c r="Z100" s="80">
        <f>X100-Y100</f>
        <v>3</v>
      </c>
      <c r="AA100" s="80">
        <f>K100*Z100</f>
        <v>53688.78</v>
      </c>
      <c r="AB100" s="80">
        <f>K100*Y100</f>
        <v>0</v>
      </c>
      <c r="AC100" s="80"/>
      <c r="AD100">
        <v>0.1</v>
      </c>
      <c r="AE100" s="78">
        <f>K100*AD100</f>
        <v>1789.626</v>
      </c>
      <c r="AF100">
        <v>0.2</v>
      </c>
      <c r="AG100" s="78">
        <f>AF100*K100</f>
        <v>3579.252</v>
      </c>
    </row>
    <row r="101" spans="1:33" x14ac:dyDescent="0.2">
      <c r="A101" s="102"/>
      <c r="B101" s="107"/>
      <c r="C101" s="107" t="s">
        <v>45</v>
      </c>
      <c r="D101" s="109">
        <v>1</v>
      </c>
      <c r="E101" s="73">
        <v>6500</v>
      </c>
      <c r="F101" s="74">
        <f>ROUND(E101*F$12,2)</f>
        <v>7150</v>
      </c>
      <c r="G101" s="74">
        <f>F101*1.1*1.1+0.5</f>
        <v>8652.0000000000018</v>
      </c>
      <c r="H101" s="74">
        <v>10692.91</v>
      </c>
      <c r="I101" s="74">
        <f>H101*$I$12</f>
        <v>11762.201000000001</v>
      </c>
      <c r="J101" s="74">
        <v>12467.933060000001</v>
      </c>
      <c r="K101" s="74">
        <f>ROUND('26.08.22'!K101*1.04,2)</f>
        <v>17896.259999999998</v>
      </c>
      <c r="L101" s="105" t="s">
        <v>104</v>
      </c>
      <c r="M101" s="83">
        <v>20</v>
      </c>
      <c r="N101" s="76"/>
      <c r="O101" s="78">
        <f>ROUND((K101*M101/100),2)</f>
        <v>3579.25</v>
      </c>
      <c r="P101" s="78">
        <f>ROUND(K101*1.14,2)</f>
        <v>20401.740000000002</v>
      </c>
      <c r="Q101" s="78">
        <f>K101*T101</f>
        <v>27560.240399999999</v>
      </c>
      <c r="R101" s="79">
        <f>K101+O101+P101+Q101</f>
        <v>69437.490399999995</v>
      </c>
      <c r="S101" s="78">
        <f>ROUND(K101*S$12,2)</f>
        <v>4474.07</v>
      </c>
      <c r="T101" s="78">
        <v>1.54</v>
      </c>
      <c r="U101" s="78">
        <f>K101+O101+P101+Q101+S101</f>
        <v>73911.560399999988</v>
      </c>
      <c r="V101" s="79">
        <f>R101*0.87</f>
        <v>60410.616647999996</v>
      </c>
      <c r="W101" s="78">
        <f>U101*0.87</f>
        <v>64303.05754799999</v>
      </c>
      <c r="X101" s="80">
        <v>3</v>
      </c>
      <c r="Y101" s="78"/>
      <c r="Z101" s="80">
        <f>X101-Y101</f>
        <v>3</v>
      </c>
      <c r="AA101" s="80">
        <f>K101*Z101</f>
        <v>53688.78</v>
      </c>
      <c r="AB101" s="80">
        <f>K101*Y101</f>
        <v>0</v>
      </c>
      <c r="AC101" s="80"/>
      <c r="AD101">
        <v>0.1</v>
      </c>
      <c r="AE101" s="78">
        <f>K101*AD101</f>
        <v>1789.626</v>
      </c>
      <c r="AF101">
        <v>0.2</v>
      </c>
      <c r="AG101" s="78">
        <f>AF101*K101</f>
        <v>3579.252</v>
      </c>
    </row>
    <row r="102" spans="1:33" x14ac:dyDescent="0.2">
      <c r="A102" s="86" t="s">
        <v>0</v>
      </c>
      <c r="B102" s="107"/>
      <c r="C102" s="107" t="s">
        <v>48</v>
      </c>
      <c r="D102" s="109">
        <v>1</v>
      </c>
      <c r="E102" s="73">
        <v>5600</v>
      </c>
      <c r="F102" s="74">
        <f t="shared" si="75"/>
        <v>6160</v>
      </c>
      <c r="G102" s="74">
        <f>F102*1.1*1.1+0.4</f>
        <v>7454.0000000000009</v>
      </c>
      <c r="H102" s="74">
        <v>9212.35</v>
      </c>
      <c r="I102" s="74">
        <f t="shared" si="76"/>
        <v>10133.585000000001</v>
      </c>
      <c r="J102" s="74">
        <v>10741.600100000001</v>
      </c>
      <c r="K102" s="74">
        <f>ROUND('26.08.22'!K102*1.04,2)</f>
        <v>15418.33</v>
      </c>
      <c r="L102" s="105" t="s">
        <v>197</v>
      </c>
      <c r="M102" s="83">
        <v>30</v>
      </c>
      <c r="N102" s="83"/>
      <c r="O102" s="78">
        <f t="shared" si="77"/>
        <v>4625.5</v>
      </c>
      <c r="P102" s="78">
        <f t="shared" si="82"/>
        <v>17576.900000000001</v>
      </c>
      <c r="Q102" s="78">
        <f t="shared" si="78"/>
        <v>22202.395199999999</v>
      </c>
      <c r="R102" s="79">
        <f t="shared" si="79"/>
        <v>59823.125200000002</v>
      </c>
      <c r="S102" s="78">
        <f t="shared" si="80"/>
        <v>3854.58</v>
      </c>
      <c r="T102" s="78">
        <v>1.44</v>
      </c>
      <c r="U102" s="78">
        <f t="shared" si="81"/>
        <v>63677.705200000004</v>
      </c>
      <c r="V102" s="79">
        <f t="shared" si="67"/>
        <v>52046.118924000002</v>
      </c>
      <c r="W102" s="78">
        <f t="shared" si="68"/>
        <v>55399.603524000006</v>
      </c>
      <c r="X102" s="80">
        <v>3</v>
      </c>
      <c r="Y102" s="78"/>
      <c r="Z102" s="80">
        <f t="shared" si="69"/>
        <v>3</v>
      </c>
      <c r="AA102" s="80">
        <f t="shared" si="70"/>
        <v>46254.99</v>
      </c>
      <c r="AB102" s="80">
        <f t="shared" si="71"/>
        <v>0</v>
      </c>
      <c r="AC102" s="80"/>
      <c r="AD102">
        <v>0.1</v>
      </c>
      <c r="AE102" s="78">
        <f t="shared" si="72"/>
        <v>1541.8330000000001</v>
      </c>
      <c r="AF102">
        <v>0.2</v>
      </c>
      <c r="AG102" s="78">
        <f t="shared" si="73"/>
        <v>3083.6660000000002</v>
      </c>
    </row>
    <row r="103" spans="1:33" ht="12" customHeight="1" x14ac:dyDescent="0.2">
      <c r="A103" s="102"/>
      <c r="B103" s="107"/>
      <c r="C103" s="107" t="s">
        <v>48</v>
      </c>
      <c r="D103" s="109">
        <v>1</v>
      </c>
      <c r="E103" s="73">
        <v>5600</v>
      </c>
      <c r="F103" s="74">
        <f t="shared" si="75"/>
        <v>6160</v>
      </c>
      <c r="G103" s="74">
        <f>F103*1.1*1.1+0.4</f>
        <v>7454.0000000000009</v>
      </c>
      <c r="H103" s="74">
        <v>9212.35</v>
      </c>
      <c r="I103" s="74">
        <f t="shared" si="76"/>
        <v>10133.585000000001</v>
      </c>
      <c r="J103" s="74">
        <v>10741.600100000001</v>
      </c>
      <c r="K103" s="74">
        <f>ROUND('26.08.22'!K103*1.04,2)</f>
        <v>15418.33</v>
      </c>
      <c r="L103" s="75" t="s">
        <v>105</v>
      </c>
      <c r="M103" s="76">
        <v>30</v>
      </c>
      <c r="N103" s="76"/>
      <c r="O103" s="78">
        <f t="shared" si="77"/>
        <v>4625.5</v>
      </c>
      <c r="P103" s="78">
        <f t="shared" si="82"/>
        <v>17576.900000000001</v>
      </c>
      <c r="Q103" s="78">
        <f t="shared" si="78"/>
        <v>22202.395199999999</v>
      </c>
      <c r="R103" s="79">
        <f t="shared" si="79"/>
        <v>59823.125200000002</v>
      </c>
      <c r="S103" s="78">
        <f t="shared" si="80"/>
        <v>3854.58</v>
      </c>
      <c r="T103" s="78">
        <v>1.44</v>
      </c>
      <c r="U103" s="78">
        <f t="shared" si="81"/>
        <v>63677.705200000004</v>
      </c>
      <c r="V103" s="79">
        <f t="shared" si="67"/>
        <v>52046.118924000002</v>
      </c>
      <c r="W103" s="78">
        <f t="shared" si="68"/>
        <v>55399.603524000006</v>
      </c>
      <c r="X103" s="80">
        <v>3</v>
      </c>
      <c r="Y103" s="78">
        <v>3</v>
      </c>
      <c r="Z103" s="80">
        <f t="shared" si="69"/>
        <v>0</v>
      </c>
      <c r="AA103" s="80">
        <f t="shared" si="70"/>
        <v>0</v>
      </c>
      <c r="AB103" s="80">
        <f t="shared" si="71"/>
        <v>46254.99</v>
      </c>
      <c r="AC103" s="80"/>
      <c r="AD103">
        <v>0.1</v>
      </c>
      <c r="AE103" s="78">
        <f t="shared" si="72"/>
        <v>1541.8330000000001</v>
      </c>
      <c r="AF103">
        <v>0.2</v>
      </c>
      <c r="AG103" s="78">
        <f t="shared" si="73"/>
        <v>3083.6660000000002</v>
      </c>
    </row>
    <row r="104" spans="1:33" x14ac:dyDescent="0.2">
      <c r="A104" s="102"/>
      <c r="B104" s="107"/>
      <c r="C104" s="107" t="s">
        <v>45</v>
      </c>
      <c r="D104" s="109">
        <v>1</v>
      </c>
      <c r="E104" s="73">
        <v>5600</v>
      </c>
      <c r="F104" s="74">
        <f t="shared" si="75"/>
        <v>6160</v>
      </c>
      <c r="G104" s="74">
        <f>F104*1.1*1.1+0.4</f>
        <v>7454.0000000000009</v>
      </c>
      <c r="H104" s="74">
        <v>9212.35</v>
      </c>
      <c r="I104" s="74">
        <f t="shared" si="76"/>
        <v>10133.585000000001</v>
      </c>
      <c r="J104" s="74">
        <v>10741.600100000001</v>
      </c>
      <c r="K104" s="74">
        <f>ROUND('26.08.22'!K104*1.04,2)</f>
        <v>17896.259999999998</v>
      </c>
      <c r="L104" s="75" t="s">
        <v>106</v>
      </c>
      <c r="M104" s="83">
        <v>30</v>
      </c>
      <c r="N104" s="76"/>
      <c r="O104" s="78">
        <f t="shared" si="77"/>
        <v>5368.88</v>
      </c>
      <c r="P104" s="78">
        <f t="shared" si="82"/>
        <v>20401.740000000002</v>
      </c>
      <c r="Q104" s="78">
        <f t="shared" si="78"/>
        <v>27560.240399999999</v>
      </c>
      <c r="R104" s="79">
        <f t="shared" si="79"/>
        <v>71227.1204</v>
      </c>
      <c r="S104" s="78">
        <f t="shared" si="80"/>
        <v>4474.07</v>
      </c>
      <c r="T104" s="78">
        <v>1.54</v>
      </c>
      <c r="U104" s="78">
        <f t="shared" si="81"/>
        <v>75701.190399999992</v>
      </c>
      <c r="V104" s="79">
        <f t="shared" si="67"/>
        <v>61967.594747999996</v>
      </c>
      <c r="W104" s="78">
        <f t="shared" si="68"/>
        <v>65860.03564799999</v>
      </c>
      <c r="X104" s="80">
        <v>3</v>
      </c>
      <c r="Y104" s="78">
        <v>3</v>
      </c>
      <c r="Z104" s="80">
        <f t="shared" si="69"/>
        <v>0</v>
      </c>
      <c r="AA104" s="80">
        <f t="shared" si="70"/>
        <v>0</v>
      </c>
      <c r="AB104" s="80">
        <f t="shared" si="71"/>
        <v>53688.78</v>
      </c>
      <c r="AC104" s="80"/>
      <c r="AD104">
        <v>0.1</v>
      </c>
      <c r="AE104" s="78">
        <f t="shared" si="72"/>
        <v>1789.626</v>
      </c>
      <c r="AF104">
        <v>0.2</v>
      </c>
      <c r="AG104" s="78">
        <f t="shared" si="73"/>
        <v>3579.252</v>
      </c>
    </row>
    <row r="105" spans="1:33" x14ac:dyDescent="0.2">
      <c r="A105" s="102"/>
      <c r="B105" s="87"/>
      <c r="C105" s="87" t="s">
        <v>96</v>
      </c>
      <c r="D105" s="111">
        <f>SUM(D95:D104)</f>
        <v>10</v>
      </c>
      <c r="E105" s="95">
        <f t="shared" ref="E105:I105" si="83">SUM(E95:E104)</f>
        <v>59000</v>
      </c>
      <c r="F105" s="95">
        <f t="shared" si="83"/>
        <v>64900</v>
      </c>
      <c r="G105" s="95">
        <f t="shared" si="83"/>
        <v>78533</v>
      </c>
      <c r="H105" s="95">
        <f t="shared" si="83"/>
        <v>97058.700000000026</v>
      </c>
      <c r="I105" s="95">
        <f t="shared" si="83"/>
        <v>106764.57000000002</v>
      </c>
      <c r="J105" s="95">
        <v>113170.44420000001</v>
      </c>
      <c r="K105" s="90">
        <f>SUM(K95:K104)</f>
        <v>182817.14999999997</v>
      </c>
      <c r="L105" s="90"/>
      <c r="M105" s="90"/>
      <c r="N105" s="90">
        <f t="shared" ref="N105" si="84">SUM(N95:N104)</f>
        <v>0</v>
      </c>
      <c r="O105" s="90">
        <f>SUM(O95:O104)</f>
        <v>47686.65</v>
      </c>
      <c r="P105" s="90">
        <f t="shared" ref="P105:W105" si="85">SUM(P95:P104)</f>
        <v>210751.84999999998</v>
      </c>
      <c r="Q105" s="90">
        <f t="shared" si="85"/>
        <v>278454.745</v>
      </c>
      <c r="R105" s="90">
        <f t="shared" si="85"/>
        <v>719710.39500000002</v>
      </c>
      <c r="S105" s="90">
        <f t="shared" si="85"/>
        <v>45704.310000000005</v>
      </c>
      <c r="T105" s="90">
        <f t="shared" si="85"/>
        <v>15.2</v>
      </c>
      <c r="U105" s="90">
        <f t="shared" si="85"/>
        <v>765414.70499999973</v>
      </c>
      <c r="V105" s="90">
        <f t="shared" si="85"/>
        <v>626148.04365000001</v>
      </c>
      <c r="W105" s="90">
        <f t="shared" si="85"/>
        <v>665910.79335000005</v>
      </c>
      <c r="X105" s="80"/>
      <c r="Y105" s="90"/>
      <c r="Z105" s="80"/>
      <c r="AA105" s="80">
        <f t="shared" si="70"/>
        <v>0</v>
      </c>
      <c r="AB105" s="80">
        <f t="shared" si="71"/>
        <v>0</v>
      </c>
      <c r="AC105" s="91"/>
      <c r="AD105">
        <v>0.1</v>
      </c>
      <c r="AE105" s="95">
        <f t="shared" si="72"/>
        <v>18281.714999999997</v>
      </c>
      <c r="AF105">
        <v>0.2</v>
      </c>
      <c r="AG105" s="95">
        <f t="shared" si="73"/>
        <v>36563.429999999993</v>
      </c>
    </row>
    <row r="106" spans="1:33" ht="19.5" customHeight="1" x14ac:dyDescent="0.2">
      <c r="A106" s="59" t="s">
        <v>107</v>
      </c>
      <c r="B106" s="93"/>
      <c r="C106" s="93"/>
      <c r="D106" s="94"/>
      <c r="E106" s="95"/>
      <c r="F106" s="95"/>
      <c r="G106" s="95"/>
      <c r="H106" s="95"/>
      <c r="I106" s="95"/>
      <c r="J106" s="95"/>
      <c r="K106" s="90"/>
      <c r="L106" s="96"/>
      <c r="M106" s="97"/>
      <c r="N106" s="97"/>
      <c r="O106" s="98"/>
      <c r="P106" s="99" t="s">
        <v>108</v>
      </c>
      <c r="Q106" s="66" t="s">
        <v>109</v>
      </c>
      <c r="R106" s="98"/>
      <c r="S106" s="98"/>
      <c r="T106" s="99"/>
      <c r="U106" s="98"/>
      <c r="V106" s="100"/>
      <c r="W106" s="98"/>
      <c r="X106" s="80"/>
      <c r="Y106" s="98"/>
      <c r="Z106" s="80"/>
      <c r="AA106" s="80">
        <f t="shared" si="70"/>
        <v>0</v>
      </c>
      <c r="AB106" s="80">
        <f t="shared" si="71"/>
        <v>0</v>
      </c>
      <c r="AC106" s="101"/>
      <c r="AD106">
        <v>0.1</v>
      </c>
      <c r="AE106" s="98"/>
      <c r="AG106" s="98"/>
    </row>
    <row r="107" spans="1:33" x14ac:dyDescent="0.2">
      <c r="A107" s="102"/>
      <c r="B107" s="87"/>
      <c r="C107" s="87" t="s">
        <v>58</v>
      </c>
      <c r="D107" s="72">
        <v>1</v>
      </c>
      <c r="E107" s="73">
        <v>8500</v>
      </c>
      <c r="F107" s="74">
        <f t="shared" ref="F107:F116" si="86">ROUND(E107*F$12,2)</f>
        <v>9350</v>
      </c>
      <c r="G107" s="74">
        <f>F107*1.1*1.1+0.5</f>
        <v>11314.000000000002</v>
      </c>
      <c r="H107" s="74">
        <v>13983.03</v>
      </c>
      <c r="I107" s="74">
        <f t="shared" ref="I107:I116" si="87">H107*$I$12</f>
        <v>15381.333000000002</v>
      </c>
      <c r="J107" s="74">
        <v>16304.212980000004</v>
      </c>
      <c r="K107" s="74">
        <f>ROUND('26.08.22'!K107*1.04,2)</f>
        <v>23402.77</v>
      </c>
      <c r="L107" s="105" t="s">
        <v>110</v>
      </c>
      <c r="M107" s="76">
        <v>30</v>
      </c>
      <c r="N107" s="76"/>
      <c r="O107" s="78">
        <f>ROUND((K107*M107/100),2)</f>
        <v>7020.83</v>
      </c>
      <c r="P107" s="78">
        <f>ROUND(K107*1.24,2)</f>
        <v>29019.43</v>
      </c>
      <c r="Q107" s="78">
        <f>K107*T107</f>
        <v>36040.265800000001</v>
      </c>
      <c r="R107" s="79">
        <f t="shared" si="79"/>
        <v>95483.295799999993</v>
      </c>
      <c r="S107" s="78">
        <f t="shared" si="80"/>
        <v>5850.69</v>
      </c>
      <c r="T107" s="78">
        <v>1.54</v>
      </c>
      <c r="U107" s="78">
        <f t="shared" si="81"/>
        <v>101333.98579999999</v>
      </c>
      <c r="V107" s="79">
        <f t="shared" si="67"/>
        <v>83070.46734599999</v>
      </c>
      <c r="W107" s="78">
        <f t="shared" si="68"/>
        <v>88160.567645999996</v>
      </c>
      <c r="X107" s="80">
        <v>3</v>
      </c>
      <c r="Y107" s="78">
        <v>3</v>
      </c>
      <c r="Z107" s="80">
        <f t="shared" si="69"/>
        <v>0</v>
      </c>
      <c r="AA107" s="80">
        <f t="shared" si="70"/>
        <v>0</v>
      </c>
      <c r="AB107" s="80">
        <f t="shared" si="71"/>
        <v>70208.31</v>
      </c>
      <c r="AC107" s="80"/>
      <c r="AD107">
        <v>0.1</v>
      </c>
      <c r="AE107" s="78">
        <f t="shared" si="72"/>
        <v>2340.277</v>
      </c>
      <c r="AF107">
        <v>0.2</v>
      </c>
      <c r="AG107" s="78">
        <f t="shared" si="73"/>
        <v>4680.5540000000001</v>
      </c>
    </row>
    <row r="108" spans="1:33" ht="16.5" customHeight="1" x14ac:dyDescent="0.2">
      <c r="A108" s="102"/>
      <c r="B108" s="87"/>
      <c r="C108" s="82" t="s">
        <v>99</v>
      </c>
      <c r="D108" s="72">
        <v>1</v>
      </c>
      <c r="E108" s="73">
        <v>7700</v>
      </c>
      <c r="F108" s="74">
        <f t="shared" si="86"/>
        <v>8470</v>
      </c>
      <c r="G108" s="74">
        <f>F108*1.1*1.1+0.3</f>
        <v>10249</v>
      </c>
      <c r="H108" s="74">
        <v>12666.98</v>
      </c>
      <c r="I108" s="74">
        <f t="shared" si="87"/>
        <v>13933.678</v>
      </c>
      <c r="J108" s="74">
        <v>14769.698680000001</v>
      </c>
      <c r="K108" s="74">
        <f>ROUND('26.08.22'!K108*1.04,2)</f>
        <v>21200.16</v>
      </c>
      <c r="L108" s="75" t="s">
        <v>111</v>
      </c>
      <c r="M108" s="76">
        <v>30</v>
      </c>
      <c r="N108" s="76"/>
      <c r="O108" s="78">
        <f t="shared" ref="O108:O130" si="88">ROUND((K108*M108/100),2)</f>
        <v>6360.05</v>
      </c>
      <c r="P108" s="78">
        <f>ROUND(K108*1.14,2)</f>
        <v>24168.18</v>
      </c>
      <c r="Q108" s="78">
        <f t="shared" ref="Q108:Q130" si="89">K108*T108</f>
        <v>32648.2464</v>
      </c>
      <c r="R108" s="79">
        <f t="shared" si="79"/>
        <v>84376.636400000003</v>
      </c>
      <c r="S108" s="78">
        <f t="shared" si="80"/>
        <v>5300.04</v>
      </c>
      <c r="T108" s="78">
        <v>1.54</v>
      </c>
      <c r="U108" s="78">
        <f t="shared" si="81"/>
        <v>89676.676399999997</v>
      </c>
      <c r="V108" s="79">
        <f t="shared" si="67"/>
        <v>73407.673668000003</v>
      </c>
      <c r="W108" s="78">
        <f t="shared" si="68"/>
        <v>78018.708467999997</v>
      </c>
      <c r="X108" s="80">
        <v>3</v>
      </c>
      <c r="Y108" s="78">
        <v>3</v>
      </c>
      <c r="Z108" s="80">
        <f t="shared" si="69"/>
        <v>0</v>
      </c>
      <c r="AA108" s="80">
        <f t="shared" si="70"/>
        <v>0</v>
      </c>
      <c r="AB108" s="80">
        <f t="shared" si="71"/>
        <v>63600.479999999996</v>
      </c>
      <c r="AC108" s="80"/>
      <c r="AD108">
        <v>0.1</v>
      </c>
      <c r="AE108" s="78">
        <f t="shared" si="72"/>
        <v>2120.0160000000001</v>
      </c>
      <c r="AF108">
        <v>0.2</v>
      </c>
      <c r="AG108" s="78">
        <f t="shared" si="73"/>
        <v>4240.0320000000002</v>
      </c>
    </row>
    <row r="109" spans="1:33" x14ac:dyDescent="0.2">
      <c r="A109" s="102"/>
      <c r="B109" s="107"/>
      <c r="C109" s="107" t="s">
        <v>48</v>
      </c>
      <c r="D109" s="109">
        <v>1</v>
      </c>
      <c r="E109" s="73">
        <v>5600</v>
      </c>
      <c r="F109" s="74">
        <f t="shared" si="86"/>
        <v>6160</v>
      </c>
      <c r="G109" s="74">
        <f>F109*1.1*1.1+0.4</f>
        <v>7454.0000000000009</v>
      </c>
      <c r="H109" s="74">
        <v>9212.35</v>
      </c>
      <c r="I109" s="74">
        <f t="shared" si="87"/>
        <v>10133.585000000001</v>
      </c>
      <c r="J109" s="74">
        <v>10741.600100000001</v>
      </c>
      <c r="K109" s="74">
        <f>ROUND('26.08.22'!K109*1.04,2)</f>
        <v>15418.33</v>
      </c>
      <c r="L109" s="105" t="s">
        <v>196</v>
      </c>
      <c r="M109" s="76">
        <v>10</v>
      </c>
      <c r="N109" s="76"/>
      <c r="O109" s="78">
        <f t="shared" si="88"/>
        <v>1541.83</v>
      </c>
      <c r="P109" s="78">
        <f>ROUND(K109*1.14,2)</f>
        <v>17576.900000000001</v>
      </c>
      <c r="Q109" s="78">
        <f t="shared" si="89"/>
        <v>22202.395199999999</v>
      </c>
      <c r="R109" s="79">
        <f t="shared" si="79"/>
        <v>56739.455199999997</v>
      </c>
      <c r="S109" s="78">
        <f t="shared" si="80"/>
        <v>3854.58</v>
      </c>
      <c r="T109" s="78">
        <v>1.44</v>
      </c>
      <c r="U109" s="78">
        <f t="shared" si="81"/>
        <v>60594.035199999998</v>
      </c>
      <c r="V109" s="79">
        <f t="shared" si="67"/>
        <v>49363.326023999995</v>
      </c>
      <c r="W109" s="78">
        <f t="shared" si="68"/>
        <v>52716.810623999998</v>
      </c>
      <c r="X109" s="80">
        <v>3</v>
      </c>
      <c r="Y109" s="78">
        <v>3</v>
      </c>
      <c r="Z109" s="80">
        <f t="shared" si="69"/>
        <v>0</v>
      </c>
      <c r="AA109" s="80">
        <f t="shared" si="70"/>
        <v>0</v>
      </c>
      <c r="AB109" s="80">
        <f t="shared" si="71"/>
        <v>46254.99</v>
      </c>
      <c r="AC109" s="80"/>
      <c r="AD109">
        <v>0.1</v>
      </c>
      <c r="AE109" s="78">
        <f t="shared" si="72"/>
        <v>1541.8330000000001</v>
      </c>
      <c r="AF109">
        <v>0.2</v>
      </c>
      <c r="AG109" s="78">
        <f t="shared" si="73"/>
        <v>3083.6660000000002</v>
      </c>
    </row>
    <row r="110" spans="1:33" x14ac:dyDescent="0.2">
      <c r="A110" s="140"/>
      <c r="B110" s="107"/>
      <c r="C110" s="107" t="s">
        <v>48</v>
      </c>
      <c r="D110" s="109">
        <v>1</v>
      </c>
      <c r="E110" s="73">
        <v>5600</v>
      </c>
      <c r="F110" s="74">
        <f t="shared" si="86"/>
        <v>6160</v>
      </c>
      <c r="G110" s="74">
        <f>F110*1.1*1.1+0.4</f>
        <v>7454.0000000000009</v>
      </c>
      <c r="H110" s="74">
        <v>9212.35</v>
      </c>
      <c r="I110" s="74">
        <f t="shared" si="87"/>
        <v>10133.585000000001</v>
      </c>
      <c r="J110" s="74">
        <v>10741.600100000001</v>
      </c>
      <c r="K110" s="74">
        <f>ROUND('26.08.22'!K110*1.04,2)</f>
        <v>15418.33</v>
      </c>
      <c r="L110" s="141" t="s">
        <v>112</v>
      </c>
      <c r="M110" s="83">
        <v>20</v>
      </c>
      <c r="N110" s="142"/>
      <c r="O110" s="78">
        <f t="shared" si="88"/>
        <v>3083.67</v>
      </c>
      <c r="P110" s="78">
        <f>ROUND(K110*1.14,2)</f>
        <v>17576.900000000001</v>
      </c>
      <c r="Q110" s="78">
        <f t="shared" si="89"/>
        <v>22202.395199999999</v>
      </c>
      <c r="R110" s="79">
        <f t="shared" si="79"/>
        <v>58281.2952</v>
      </c>
      <c r="S110" s="78">
        <f t="shared" si="80"/>
        <v>3854.58</v>
      </c>
      <c r="T110" s="78">
        <v>1.44</v>
      </c>
      <c r="U110" s="78">
        <f t="shared" si="81"/>
        <v>62135.875200000002</v>
      </c>
      <c r="V110" s="79">
        <f t="shared" si="67"/>
        <v>50704.726823999998</v>
      </c>
      <c r="W110" s="78">
        <f t="shared" si="68"/>
        <v>54058.211424000001</v>
      </c>
      <c r="X110" s="80">
        <v>3</v>
      </c>
      <c r="Y110" s="78">
        <v>3</v>
      </c>
      <c r="Z110" s="80">
        <f t="shared" si="69"/>
        <v>0</v>
      </c>
      <c r="AA110" s="80">
        <f t="shared" si="70"/>
        <v>0</v>
      </c>
      <c r="AB110" s="80">
        <f t="shared" si="71"/>
        <v>46254.99</v>
      </c>
      <c r="AC110" s="80"/>
      <c r="AD110">
        <v>0.1</v>
      </c>
      <c r="AE110" s="78">
        <f t="shared" si="72"/>
        <v>1541.8330000000001</v>
      </c>
      <c r="AF110">
        <v>0.2</v>
      </c>
      <c r="AG110" s="78">
        <f t="shared" si="73"/>
        <v>3083.6660000000002</v>
      </c>
    </row>
    <row r="111" spans="1:33" x14ac:dyDescent="0.2">
      <c r="A111" s="102"/>
      <c r="B111" s="107"/>
      <c r="C111" s="107" t="s">
        <v>48</v>
      </c>
      <c r="D111" s="109">
        <v>1</v>
      </c>
      <c r="E111" s="73">
        <v>5600</v>
      </c>
      <c r="F111" s="74">
        <f t="shared" si="86"/>
        <v>6160</v>
      </c>
      <c r="G111" s="74">
        <f>F111*1.1*1.1+0.4</f>
        <v>7454.0000000000009</v>
      </c>
      <c r="H111" s="74">
        <v>9212.35</v>
      </c>
      <c r="I111" s="74">
        <f t="shared" si="87"/>
        <v>10133.585000000001</v>
      </c>
      <c r="J111" s="74">
        <v>10741.600100000001</v>
      </c>
      <c r="K111" s="74">
        <f>ROUND('26.08.22'!K111*1.04,2)</f>
        <v>15418.33</v>
      </c>
      <c r="L111" s="105" t="s">
        <v>113</v>
      </c>
      <c r="M111" s="76">
        <v>20</v>
      </c>
      <c r="N111" s="76"/>
      <c r="O111" s="78">
        <f t="shared" si="88"/>
        <v>3083.67</v>
      </c>
      <c r="P111" s="78">
        <f>ROUND(K111*1.14,2)</f>
        <v>17576.900000000001</v>
      </c>
      <c r="Q111" s="78">
        <f t="shared" si="89"/>
        <v>22202.395199999999</v>
      </c>
      <c r="R111" s="79">
        <f t="shared" si="79"/>
        <v>58281.2952</v>
      </c>
      <c r="S111" s="78">
        <f t="shared" si="80"/>
        <v>3854.58</v>
      </c>
      <c r="T111" s="78">
        <v>1.44</v>
      </c>
      <c r="U111" s="78">
        <f t="shared" si="81"/>
        <v>62135.875200000002</v>
      </c>
      <c r="V111" s="79">
        <f t="shared" si="67"/>
        <v>50704.726823999998</v>
      </c>
      <c r="W111" s="78">
        <f t="shared" si="68"/>
        <v>54058.211424000001</v>
      </c>
      <c r="X111" s="80">
        <v>3</v>
      </c>
      <c r="Y111" s="78">
        <v>1</v>
      </c>
      <c r="Z111" s="80">
        <f t="shared" si="69"/>
        <v>2</v>
      </c>
      <c r="AA111" s="80">
        <f t="shared" si="70"/>
        <v>30836.66</v>
      </c>
      <c r="AB111" s="80">
        <f t="shared" si="71"/>
        <v>15418.33</v>
      </c>
      <c r="AC111" s="80"/>
      <c r="AD111">
        <v>0.1</v>
      </c>
      <c r="AE111" s="78">
        <f t="shared" si="72"/>
        <v>1541.8330000000001</v>
      </c>
      <c r="AF111">
        <v>0.2</v>
      </c>
      <c r="AG111" s="78">
        <f t="shared" si="73"/>
        <v>3083.6660000000002</v>
      </c>
    </row>
    <row r="112" spans="1:33" x14ac:dyDescent="0.2">
      <c r="A112" s="102"/>
      <c r="B112" s="107"/>
      <c r="C112" s="107" t="s">
        <v>45</v>
      </c>
      <c r="D112" s="109">
        <v>1</v>
      </c>
      <c r="E112" s="73">
        <v>5600</v>
      </c>
      <c r="F112" s="74">
        <v>7150</v>
      </c>
      <c r="G112" s="74">
        <f>F112*1.1*1.1+0.5</f>
        <v>8652.0000000000018</v>
      </c>
      <c r="H112" s="74">
        <v>10692.91</v>
      </c>
      <c r="I112" s="74">
        <f t="shared" si="87"/>
        <v>11762.201000000001</v>
      </c>
      <c r="J112" s="74">
        <v>12467.933060000001</v>
      </c>
      <c r="K112" s="74">
        <f>ROUND('26.08.22'!K112*1.04,2)</f>
        <v>17896.259999999998</v>
      </c>
      <c r="L112" s="105" t="s">
        <v>114</v>
      </c>
      <c r="M112" s="83">
        <v>20</v>
      </c>
      <c r="N112" s="76"/>
      <c r="O112" s="78">
        <f t="shared" si="88"/>
        <v>3579.25</v>
      </c>
      <c r="P112" s="78">
        <f>ROUND(K112*1.14,2)</f>
        <v>20401.740000000002</v>
      </c>
      <c r="Q112" s="78">
        <f t="shared" si="89"/>
        <v>27560.240399999999</v>
      </c>
      <c r="R112" s="79">
        <f t="shared" si="79"/>
        <v>69437.490399999995</v>
      </c>
      <c r="S112" s="78">
        <f t="shared" si="80"/>
        <v>4474.07</v>
      </c>
      <c r="T112" s="78">
        <v>1.54</v>
      </c>
      <c r="U112" s="78">
        <f t="shared" si="81"/>
        <v>73911.560399999988</v>
      </c>
      <c r="V112" s="79">
        <f t="shared" si="67"/>
        <v>60410.616647999996</v>
      </c>
      <c r="W112" s="78">
        <f t="shared" si="68"/>
        <v>64303.05754799999</v>
      </c>
      <c r="X112" s="80">
        <v>3</v>
      </c>
      <c r="Y112" s="78">
        <v>3</v>
      </c>
      <c r="Z112" s="80">
        <f t="shared" si="69"/>
        <v>0</v>
      </c>
      <c r="AA112" s="80">
        <f t="shared" si="70"/>
        <v>0</v>
      </c>
      <c r="AB112" s="80">
        <f t="shared" si="71"/>
        <v>53688.78</v>
      </c>
      <c r="AC112" s="80"/>
      <c r="AD112">
        <v>0.1</v>
      </c>
      <c r="AE112" s="78">
        <f t="shared" si="72"/>
        <v>1789.626</v>
      </c>
      <c r="AF112">
        <v>0.2</v>
      </c>
      <c r="AG112" s="78">
        <f t="shared" si="73"/>
        <v>3579.252</v>
      </c>
    </row>
    <row r="113" spans="1:33" x14ac:dyDescent="0.2">
      <c r="A113" s="86"/>
      <c r="B113" s="107"/>
      <c r="C113" s="107" t="s">
        <v>115</v>
      </c>
      <c r="D113" s="143">
        <v>1</v>
      </c>
      <c r="E113" s="118">
        <v>4500</v>
      </c>
      <c r="F113" s="74">
        <f t="shared" si="86"/>
        <v>4950</v>
      </c>
      <c r="G113" s="74">
        <f>F113*1.1*1.1+0.5</f>
        <v>5990.0000000000009</v>
      </c>
      <c r="H113" s="74">
        <v>7402.79</v>
      </c>
      <c r="I113" s="74">
        <f t="shared" si="87"/>
        <v>8143.0690000000004</v>
      </c>
      <c r="J113" s="74">
        <v>8631.6531400000003</v>
      </c>
      <c r="K113" s="74">
        <f>ROUND('26.08.22'!K113*1.04,2)</f>
        <v>12389.73</v>
      </c>
      <c r="L113" s="105" t="s">
        <v>221</v>
      </c>
      <c r="M113" s="83">
        <v>0</v>
      </c>
      <c r="N113" s="83"/>
      <c r="O113" s="78">
        <f t="shared" si="88"/>
        <v>0</v>
      </c>
      <c r="P113" s="78">
        <f>ROUND(K113*1.54,2)</f>
        <v>19080.18</v>
      </c>
      <c r="Q113" s="78">
        <f t="shared" si="89"/>
        <v>17841.211199999998</v>
      </c>
      <c r="R113" s="79">
        <f t="shared" si="79"/>
        <v>49311.121199999994</v>
      </c>
      <c r="S113" s="78">
        <f t="shared" si="80"/>
        <v>3097.43</v>
      </c>
      <c r="T113" s="78">
        <v>1.44</v>
      </c>
      <c r="U113" s="78">
        <f t="shared" si="81"/>
        <v>52408.551199999994</v>
      </c>
      <c r="V113" s="79">
        <f t="shared" si="67"/>
        <v>42900.675443999993</v>
      </c>
      <c r="W113" s="78">
        <f t="shared" si="68"/>
        <v>45595.439543999993</v>
      </c>
      <c r="X113" s="80">
        <v>3</v>
      </c>
      <c r="Y113" s="78"/>
      <c r="Z113" s="80">
        <f t="shared" si="69"/>
        <v>3</v>
      </c>
      <c r="AA113" s="80">
        <f t="shared" si="70"/>
        <v>37169.19</v>
      </c>
      <c r="AB113" s="80">
        <f t="shared" si="71"/>
        <v>0</v>
      </c>
      <c r="AC113" s="80"/>
      <c r="AD113">
        <v>0.1</v>
      </c>
      <c r="AE113" s="78">
        <f t="shared" si="72"/>
        <v>1238.973</v>
      </c>
      <c r="AF113">
        <v>0.2</v>
      </c>
      <c r="AG113" s="78">
        <f t="shared" si="73"/>
        <v>2477.9459999999999</v>
      </c>
    </row>
    <row r="114" spans="1:33" x14ac:dyDescent="0.2">
      <c r="A114" s="86"/>
      <c r="B114" s="107"/>
      <c r="C114" s="107" t="s">
        <v>117</v>
      </c>
      <c r="D114" s="143">
        <v>1</v>
      </c>
      <c r="E114" s="118">
        <v>4500</v>
      </c>
      <c r="F114" s="74">
        <f t="shared" si="86"/>
        <v>4950</v>
      </c>
      <c r="G114" s="74">
        <f>F114*1.1*1.1+0.5</f>
        <v>5990.0000000000009</v>
      </c>
      <c r="H114" s="74">
        <v>7402.79</v>
      </c>
      <c r="I114" s="74">
        <f t="shared" si="87"/>
        <v>8143.0690000000004</v>
      </c>
      <c r="J114" s="74">
        <v>8631.6531400000003</v>
      </c>
      <c r="K114" s="74">
        <f>ROUND('26.08.22'!K114*1.04,2)</f>
        <v>12389.73</v>
      </c>
      <c r="L114" s="105" t="s">
        <v>116</v>
      </c>
      <c r="M114" s="83">
        <v>0</v>
      </c>
      <c r="N114" s="83"/>
      <c r="O114" s="78">
        <f t="shared" si="88"/>
        <v>0</v>
      </c>
      <c r="P114" s="78">
        <f>ROUND(K114*1.34,2)</f>
        <v>16602.240000000002</v>
      </c>
      <c r="Q114" s="78">
        <f t="shared" si="89"/>
        <v>17841.211199999998</v>
      </c>
      <c r="R114" s="79">
        <f t="shared" si="79"/>
        <v>46833.181199999999</v>
      </c>
      <c r="S114" s="78">
        <f t="shared" si="80"/>
        <v>3097.43</v>
      </c>
      <c r="T114" s="78">
        <v>1.44</v>
      </c>
      <c r="U114" s="78">
        <f t="shared" si="81"/>
        <v>49930.611199999999</v>
      </c>
      <c r="V114" s="79">
        <f t="shared" si="67"/>
        <v>40744.867643999998</v>
      </c>
      <c r="W114" s="78">
        <f t="shared" si="68"/>
        <v>43439.631743999998</v>
      </c>
      <c r="X114" s="80">
        <v>3</v>
      </c>
      <c r="Y114" s="78">
        <v>3</v>
      </c>
      <c r="Z114" s="80">
        <f t="shared" si="69"/>
        <v>0</v>
      </c>
      <c r="AA114" s="80">
        <f t="shared" si="70"/>
        <v>0</v>
      </c>
      <c r="AB114" s="80">
        <f t="shared" si="71"/>
        <v>37169.19</v>
      </c>
      <c r="AC114" s="80"/>
      <c r="AD114">
        <v>0.1</v>
      </c>
      <c r="AE114" s="78">
        <f t="shared" si="72"/>
        <v>1238.973</v>
      </c>
      <c r="AF114">
        <v>0.2</v>
      </c>
      <c r="AG114" s="78">
        <f t="shared" si="73"/>
        <v>2477.9459999999999</v>
      </c>
    </row>
    <row r="115" spans="1:33" hidden="1" x14ac:dyDescent="0.2">
      <c r="A115" s="86"/>
      <c r="B115" s="107"/>
      <c r="C115" s="107" t="s">
        <v>117</v>
      </c>
      <c r="D115" s="143">
        <v>0</v>
      </c>
      <c r="E115" s="118">
        <v>4500</v>
      </c>
      <c r="F115" s="74">
        <f t="shared" si="86"/>
        <v>4950</v>
      </c>
      <c r="G115" s="74">
        <f>F115*1.1*1.1+0.5</f>
        <v>5990.0000000000009</v>
      </c>
      <c r="H115" s="74">
        <v>7402.79</v>
      </c>
      <c r="I115" s="74">
        <f t="shared" si="87"/>
        <v>8143.0690000000004</v>
      </c>
      <c r="J115" s="74">
        <v>8631.6531400000003</v>
      </c>
      <c r="K115" s="74">
        <f>ROUND('26.08.22'!K115*1.04,2)</f>
        <v>0</v>
      </c>
      <c r="L115" s="105"/>
      <c r="M115" s="83">
        <v>0</v>
      </c>
      <c r="N115" s="83"/>
      <c r="O115" s="78">
        <f t="shared" si="88"/>
        <v>0</v>
      </c>
      <c r="P115" s="78">
        <f>ROUND(K115*1.34,2)</f>
        <v>0</v>
      </c>
      <c r="Q115" s="78">
        <f t="shared" si="89"/>
        <v>0</v>
      </c>
      <c r="R115" s="79">
        <f t="shared" si="79"/>
        <v>0</v>
      </c>
      <c r="S115" s="78">
        <f t="shared" si="80"/>
        <v>0</v>
      </c>
      <c r="T115" s="78">
        <v>1.44</v>
      </c>
      <c r="U115" s="78">
        <f t="shared" si="81"/>
        <v>0</v>
      </c>
      <c r="V115" s="79">
        <f t="shared" si="67"/>
        <v>0</v>
      </c>
      <c r="W115" s="78">
        <f t="shared" si="68"/>
        <v>0</v>
      </c>
      <c r="X115" s="80">
        <v>3</v>
      </c>
      <c r="Y115" s="78">
        <v>3</v>
      </c>
      <c r="Z115" s="80">
        <f t="shared" si="69"/>
        <v>0</v>
      </c>
      <c r="AA115" s="80">
        <f t="shared" si="70"/>
        <v>0</v>
      </c>
      <c r="AB115" s="80">
        <f t="shared" si="71"/>
        <v>0</v>
      </c>
      <c r="AC115" s="80"/>
      <c r="AD115">
        <v>0.1</v>
      </c>
      <c r="AE115" s="78">
        <f t="shared" si="72"/>
        <v>0</v>
      </c>
      <c r="AF115">
        <v>0.2</v>
      </c>
      <c r="AG115" s="78">
        <f t="shared" si="73"/>
        <v>0</v>
      </c>
    </row>
    <row r="116" spans="1:33" x14ac:dyDescent="0.2">
      <c r="A116" s="86"/>
      <c r="B116" s="107"/>
      <c r="C116" s="107" t="s">
        <v>117</v>
      </c>
      <c r="D116" s="143">
        <v>1</v>
      </c>
      <c r="E116" s="118">
        <v>4500</v>
      </c>
      <c r="F116" s="74">
        <f t="shared" si="86"/>
        <v>4950</v>
      </c>
      <c r="G116" s="74">
        <f>F116*1.1*1.1+0.5</f>
        <v>5990.0000000000009</v>
      </c>
      <c r="H116" s="74">
        <v>7402.79</v>
      </c>
      <c r="I116" s="74">
        <f t="shared" si="87"/>
        <v>8143.0690000000004</v>
      </c>
      <c r="J116" s="74">
        <v>8631.6531400000003</v>
      </c>
      <c r="K116" s="74">
        <f>ROUND('26.08.22'!K116*1.04,2)</f>
        <v>12389.73</v>
      </c>
      <c r="L116" s="105" t="s">
        <v>118</v>
      </c>
      <c r="M116" s="83">
        <v>0</v>
      </c>
      <c r="N116" s="83"/>
      <c r="O116" s="78">
        <f t="shared" si="88"/>
        <v>0</v>
      </c>
      <c r="P116" s="78">
        <f>ROUND(K116*1.34,2)</f>
        <v>16602.240000000002</v>
      </c>
      <c r="Q116" s="78">
        <f t="shared" si="89"/>
        <v>17841.211199999998</v>
      </c>
      <c r="R116" s="79">
        <f t="shared" si="79"/>
        <v>46833.181199999999</v>
      </c>
      <c r="S116" s="78">
        <f t="shared" si="80"/>
        <v>3097.43</v>
      </c>
      <c r="T116" s="78">
        <v>1.44</v>
      </c>
      <c r="U116" s="78">
        <f t="shared" si="81"/>
        <v>49930.611199999999</v>
      </c>
      <c r="V116" s="79">
        <f t="shared" si="67"/>
        <v>40744.867643999998</v>
      </c>
      <c r="W116" s="78">
        <f t="shared" si="68"/>
        <v>43439.631743999998</v>
      </c>
      <c r="X116" s="80">
        <v>3</v>
      </c>
      <c r="Y116" s="78">
        <v>3</v>
      </c>
      <c r="Z116" s="80">
        <f t="shared" si="69"/>
        <v>0</v>
      </c>
      <c r="AA116" s="80">
        <f t="shared" si="70"/>
        <v>0</v>
      </c>
      <c r="AB116" s="80">
        <f t="shared" si="71"/>
        <v>37169.19</v>
      </c>
      <c r="AC116" s="80"/>
      <c r="AD116">
        <v>0.1</v>
      </c>
      <c r="AE116" s="78">
        <f t="shared" si="72"/>
        <v>1238.973</v>
      </c>
      <c r="AF116">
        <v>0.2</v>
      </c>
      <c r="AG116" s="78">
        <f t="shared" si="73"/>
        <v>2477.9459999999999</v>
      </c>
    </row>
    <row r="117" spans="1:33" x14ac:dyDescent="0.2">
      <c r="A117" s="86"/>
      <c r="B117" s="87"/>
      <c r="C117" s="87" t="s">
        <v>51</v>
      </c>
      <c r="D117" s="111">
        <f>SUM(D107:D116)</f>
        <v>9</v>
      </c>
      <c r="E117" s="95">
        <f t="shared" ref="E117:I117" si="90">SUM(E107:E116)</f>
        <v>56600</v>
      </c>
      <c r="F117" s="95">
        <f t="shared" si="90"/>
        <v>63250</v>
      </c>
      <c r="G117" s="95">
        <f t="shared" si="90"/>
        <v>76537</v>
      </c>
      <c r="H117" s="95">
        <f t="shared" si="90"/>
        <v>94591.129999999976</v>
      </c>
      <c r="I117" s="95">
        <f t="shared" si="90"/>
        <v>104050.24300000002</v>
      </c>
      <c r="J117" s="95">
        <v>121034.85768000003</v>
      </c>
      <c r="K117" s="90">
        <f>SUM(K107:K116)</f>
        <v>145923.37</v>
      </c>
      <c r="L117" s="90"/>
      <c r="M117" s="90"/>
      <c r="N117" s="90">
        <f t="shared" ref="N117" si="91">SUM(N107:N116)</f>
        <v>0</v>
      </c>
      <c r="O117" s="90">
        <f>SUM(O107:O116)</f>
        <v>24669.300000000003</v>
      </c>
      <c r="P117" s="90">
        <f t="shared" ref="P117:W117" si="92">SUM(P107:P116)</f>
        <v>178604.71</v>
      </c>
      <c r="Q117" s="90">
        <f t="shared" si="92"/>
        <v>216379.57179999998</v>
      </c>
      <c r="R117" s="90">
        <f t="shared" si="92"/>
        <v>565576.95180000004</v>
      </c>
      <c r="S117" s="90">
        <f t="shared" si="92"/>
        <v>36480.83</v>
      </c>
      <c r="T117" s="90">
        <f t="shared" si="92"/>
        <v>14.699999999999996</v>
      </c>
      <c r="U117" s="90">
        <f t="shared" si="92"/>
        <v>602057.78180000011</v>
      </c>
      <c r="V117" s="90">
        <f t="shared" si="92"/>
        <v>492051.94806599995</v>
      </c>
      <c r="W117" s="90">
        <f t="shared" si="92"/>
        <v>523790.270166</v>
      </c>
      <c r="X117" s="80"/>
      <c r="Y117" s="90"/>
      <c r="Z117" s="80"/>
      <c r="AA117" s="80">
        <f t="shared" si="70"/>
        <v>0</v>
      </c>
      <c r="AB117" s="80">
        <f t="shared" si="71"/>
        <v>0</v>
      </c>
      <c r="AC117" s="91"/>
      <c r="AD117">
        <v>0.1</v>
      </c>
      <c r="AE117" s="112">
        <f t="shared" si="72"/>
        <v>14592.337</v>
      </c>
      <c r="AF117">
        <v>0.2</v>
      </c>
      <c r="AG117" s="112">
        <f t="shared" si="73"/>
        <v>29184.673999999999</v>
      </c>
    </row>
    <row r="118" spans="1:33" ht="19.5" customHeight="1" x14ac:dyDescent="0.2">
      <c r="A118" s="71" t="s">
        <v>119</v>
      </c>
      <c r="B118" s="93"/>
      <c r="C118" s="93"/>
      <c r="D118" s="94"/>
      <c r="E118" s="95"/>
      <c r="F118" s="95"/>
      <c r="G118" s="95"/>
      <c r="H118" s="95"/>
      <c r="I118" s="95"/>
      <c r="J118" s="95"/>
      <c r="K118" s="90"/>
      <c r="L118" s="96"/>
      <c r="M118" s="96"/>
      <c r="N118" s="96"/>
      <c r="O118" s="96"/>
      <c r="P118" s="99" t="s">
        <v>108</v>
      </c>
      <c r="Q118" s="96"/>
      <c r="R118" s="96"/>
      <c r="S118" s="96"/>
      <c r="T118" s="99"/>
      <c r="U118" s="96"/>
      <c r="V118" s="100"/>
      <c r="W118" s="96"/>
      <c r="X118" s="80"/>
      <c r="Y118" s="96"/>
      <c r="Z118" s="80"/>
      <c r="AA118" s="80">
        <f t="shared" si="70"/>
        <v>0</v>
      </c>
      <c r="AB118" s="80">
        <f t="shared" si="71"/>
        <v>0</v>
      </c>
      <c r="AC118" s="144"/>
      <c r="AD118">
        <v>0.1</v>
      </c>
      <c r="AE118" s="96"/>
      <c r="AG118" s="96"/>
    </row>
    <row r="119" spans="1:33" x14ac:dyDescent="0.2">
      <c r="A119" s="133"/>
      <c r="B119" s="87"/>
      <c r="C119" s="87" t="s">
        <v>120</v>
      </c>
      <c r="D119" s="109">
        <v>1</v>
      </c>
      <c r="E119" s="73">
        <v>7500</v>
      </c>
      <c r="F119" s="74">
        <f>ROUND(E119*F$12,2)</f>
        <v>8250</v>
      </c>
      <c r="G119" s="74">
        <f>F119*1.1*1.1+0.5</f>
        <v>9983</v>
      </c>
      <c r="H119" s="74">
        <v>12337.98</v>
      </c>
      <c r="I119" s="74">
        <f>H119*$I$12</f>
        <v>13571.778</v>
      </c>
      <c r="J119" s="74">
        <v>14386.084680000002</v>
      </c>
      <c r="K119" s="74">
        <f>ROUND('26.08.22'!K119*1.04,2)</f>
        <v>20649.54</v>
      </c>
      <c r="L119" s="105" t="s">
        <v>121</v>
      </c>
      <c r="M119" s="83">
        <v>15</v>
      </c>
      <c r="N119" s="76"/>
      <c r="O119" s="78">
        <f t="shared" si="88"/>
        <v>3097.43</v>
      </c>
      <c r="P119" s="78">
        <f>ROUND(K119*1.14,2)</f>
        <v>23540.48</v>
      </c>
      <c r="Q119" s="78">
        <f t="shared" si="89"/>
        <v>31800.2916</v>
      </c>
      <c r="R119" s="79">
        <f t="shared" si="79"/>
        <v>79087.741599999994</v>
      </c>
      <c r="S119" s="78">
        <f t="shared" si="80"/>
        <v>5162.3900000000003</v>
      </c>
      <c r="T119" s="78">
        <v>1.54</v>
      </c>
      <c r="U119" s="78">
        <f t="shared" si="81"/>
        <v>84250.131599999993</v>
      </c>
      <c r="V119" s="79">
        <f t="shared" si="67"/>
        <v>68806.335191999999</v>
      </c>
      <c r="W119" s="78">
        <f t="shared" si="68"/>
        <v>73297.614491999993</v>
      </c>
      <c r="X119" s="80">
        <v>3</v>
      </c>
      <c r="Y119" s="78">
        <v>3</v>
      </c>
      <c r="Z119" s="80">
        <f t="shared" si="69"/>
        <v>0</v>
      </c>
      <c r="AA119" s="80">
        <f t="shared" si="70"/>
        <v>0</v>
      </c>
      <c r="AB119" s="80">
        <f t="shared" si="71"/>
        <v>61948.62</v>
      </c>
      <c r="AC119" s="80"/>
      <c r="AD119">
        <v>0.1</v>
      </c>
      <c r="AE119" s="78">
        <f t="shared" si="72"/>
        <v>2064.9540000000002</v>
      </c>
      <c r="AF119">
        <v>0.2</v>
      </c>
      <c r="AG119" s="78">
        <f t="shared" si="73"/>
        <v>4129.9080000000004</v>
      </c>
    </row>
    <row r="120" spans="1:33" x14ac:dyDescent="0.2">
      <c r="A120" s="102"/>
      <c r="B120" s="107"/>
      <c r="C120" s="107" t="s">
        <v>184</v>
      </c>
      <c r="D120" s="109">
        <v>1</v>
      </c>
      <c r="E120" s="73">
        <v>5600</v>
      </c>
      <c r="F120" s="74">
        <v>7150</v>
      </c>
      <c r="G120" s="74">
        <f>F120*1.1*1.1+0.5</f>
        <v>8652.0000000000018</v>
      </c>
      <c r="H120" s="74">
        <v>10692.91</v>
      </c>
      <c r="I120" s="74">
        <f>H120*$I$12</f>
        <v>11762.201000000001</v>
      </c>
      <c r="J120" s="74">
        <v>12467.933060000001</v>
      </c>
      <c r="K120" s="74">
        <f>ROUND('26.08.22'!K120*1.04,2)</f>
        <v>17896.259999999998</v>
      </c>
      <c r="L120" s="75" t="s">
        <v>186</v>
      </c>
      <c r="M120" s="83">
        <v>10</v>
      </c>
      <c r="N120" s="76"/>
      <c r="O120" s="78">
        <f t="shared" si="88"/>
        <v>1789.63</v>
      </c>
      <c r="P120" s="78">
        <f>ROUND(K120*1.14,2)</f>
        <v>20401.740000000002</v>
      </c>
      <c r="Q120" s="78">
        <f t="shared" si="89"/>
        <v>27560.240399999999</v>
      </c>
      <c r="R120" s="79">
        <f t="shared" si="79"/>
        <v>67647.8704</v>
      </c>
      <c r="S120" s="78">
        <f t="shared" si="80"/>
        <v>4474.07</v>
      </c>
      <c r="T120" s="78">
        <v>1.54</v>
      </c>
      <c r="U120" s="78">
        <f t="shared" si="81"/>
        <v>72121.940399999992</v>
      </c>
      <c r="V120" s="79">
        <f t="shared" si="67"/>
        <v>58853.647248000001</v>
      </c>
      <c r="W120" s="78">
        <f t="shared" si="68"/>
        <v>62746.088147999995</v>
      </c>
      <c r="X120" s="80">
        <v>3</v>
      </c>
      <c r="Y120" s="78"/>
      <c r="Z120" s="80">
        <f t="shared" si="69"/>
        <v>3</v>
      </c>
      <c r="AA120" s="80">
        <f t="shared" si="70"/>
        <v>53688.78</v>
      </c>
      <c r="AB120" s="80">
        <f t="shared" si="71"/>
        <v>0</v>
      </c>
      <c r="AC120" s="80"/>
      <c r="AD120">
        <v>0.1</v>
      </c>
      <c r="AE120" s="78">
        <f t="shared" si="72"/>
        <v>1789.626</v>
      </c>
      <c r="AF120">
        <v>0.2</v>
      </c>
      <c r="AG120" s="78">
        <f t="shared" si="73"/>
        <v>3579.252</v>
      </c>
    </row>
    <row r="121" spans="1:33" x14ac:dyDescent="0.2">
      <c r="A121" s="86"/>
      <c r="B121" s="87"/>
      <c r="C121" s="87" t="s">
        <v>51</v>
      </c>
      <c r="D121" s="111">
        <f>SUM(D119:D120)</f>
        <v>2</v>
      </c>
      <c r="E121" s="111">
        <f t="shared" ref="E121:N121" si="93">SUM(E119:E120)</f>
        <v>13100</v>
      </c>
      <c r="F121" s="111">
        <f t="shared" si="93"/>
        <v>15400</v>
      </c>
      <c r="G121" s="111">
        <f t="shared" si="93"/>
        <v>18635</v>
      </c>
      <c r="H121" s="111">
        <f t="shared" si="93"/>
        <v>23030.89</v>
      </c>
      <c r="I121" s="111">
        <f t="shared" si="93"/>
        <v>25333.978999999999</v>
      </c>
      <c r="J121" s="111">
        <f t="shared" si="93"/>
        <v>26854.017740000003</v>
      </c>
      <c r="K121" s="90">
        <f>SUM(K119:K120)</f>
        <v>38545.800000000003</v>
      </c>
      <c r="L121" s="90"/>
      <c r="M121" s="90"/>
      <c r="N121" s="90">
        <f t="shared" si="93"/>
        <v>0</v>
      </c>
      <c r="O121" s="90">
        <f>SUM(O119:O120)</f>
        <v>4887.0599999999995</v>
      </c>
      <c r="P121" s="90">
        <f t="shared" ref="P121:W121" si="94">SUM(P119:P120)</f>
        <v>43942.22</v>
      </c>
      <c r="Q121" s="90">
        <f t="shared" si="94"/>
        <v>59360.531999999999</v>
      </c>
      <c r="R121" s="90">
        <f t="shared" si="94"/>
        <v>146735.61199999999</v>
      </c>
      <c r="S121" s="90">
        <f t="shared" si="94"/>
        <v>9636.4599999999991</v>
      </c>
      <c r="T121" s="90">
        <f t="shared" si="94"/>
        <v>3.08</v>
      </c>
      <c r="U121" s="90">
        <f t="shared" si="94"/>
        <v>156372.07199999999</v>
      </c>
      <c r="V121" s="90">
        <f t="shared" si="94"/>
        <v>127659.98243999999</v>
      </c>
      <c r="W121" s="90">
        <f t="shared" si="94"/>
        <v>136043.70263999997</v>
      </c>
      <c r="X121" s="80"/>
      <c r="Y121" s="90"/>
      <c r="Z121" s="80"/>
      <c r="AA121" s="80">
        <f t="shared" si="70"/>
        <v>0</v>
      </c>
      <c r="AB121" s="80">
        <f t="shared" si="71"/>
        <v>0</v>
      </c>
      <c r="AC121" s="91"/>
      <c r="AD121">
        <v>0.1</v>
      </c>
      <c r="AE121" s="112">
        <f t="shared" si="72"/>
        <v>3854.5800000000004</v>
      </c>
      <c r="AF121">
        <v>0.2</v>
      </c>
      <c r="AG121" s="112">
        <f t="shared" si="73"/>
        <v>7709.1600000000008</v>
      </c>
    </row>
    <row r="122" spans="1:33" ht="28.5" customHeight="1" x14ac:dyDescent="0.2">
      <c r="A122" s="71" t="s">
        <v>122</v>
      </c>
      <c r="B122" s="93"/>
      <c r="C122" s="93"/>
      <c r="D122" s="94"/>
      <c r="E122" s="95"/>
      <c r="F122" s="95"/>
      <c r="G122" s="95"/>
      <c r="H122" s="95"/>
      <c r="I122" s="95"/>
      <c r="J122" s="95"/>
      <c r="K122" s="90"/>
      <c r="L122" s="90"/>
      <c r="M122" s="90"/>
      <c r="N122" s="90"/>
      <c r="O122" s="90"/>
      <c r="P122" s="99" t="s">
        <v>40</v>
      </c>
      <c r="Q122" s="90"/>
      <c r="R122" s="90"/>
      <c r="S122" s="90"/>
      <c r="T122" s="99"/>
      <c r="U122" s="90"/>
      <c r="V122" s="100"/>
      <c r="W122" s="90"/>
      <c r="X122" s="80"/>
      <c r="Y122" s="90"/>
      <c r="Z122" s="80"/>
      <c r="AA122" s="80">
        <f t="shared" si="70"/>
        <v>0</v>
      </c>
      <c r="AB122" s="80">
        <f t="shared" si="71"/>
        <v>0</v>
      </c>
      <c r="AC122" s="91"/>
      <c r="AD122">
        <v>0.1</v>
      </c>
      <c r="AE122" s="90"/>
      <c r="AG122" s="90"/>
    </row>
    <row r="123" spans="1:33" x14ac:dyDescent="0.2">
      <c r="A123" s="102"/>
      <c r="B123" s="87"/>
      <c r="C123" s="87" t="s">
        <v>58</v>
      </c>
      <c r="D123" s="72">
        <v>1</v>
      </c>
      <c r="E123" s="73">
        <v>8500</v>
      </c>
      <c r="F123" s="74">
        <f t="shared" ref="F123:F128" si="95">ROUND(E123*F$12,2)</f>
        <v>9350</v>
      </c>
      <c r="G123" s="74">
        <f>F123*1.1*1.1+0.5</f>
        <v>11314.000000000002</v>
      </c>
      <c r="H123" s="74">
        <v>13983.03</v>
      </c>
      <c r="I123" s="74">
        <f t="shared" ref="I123:I130" si="96">H123*$I$12</f>
        <v>15381.333000000002</v>
      </c>
      <c r="J123" s="74">
        <v>16304.212980000004</v>
      </c>
      <c r="K123" s="74">
        <f>ROUND('26.08.22'!K123*1.04,2)</f>
        <v>23402.77</v>
      </c>
      <c r="L123" s="75" t="s">
        <v>218</v>
      </c>
      <c r="M123" s="76">
        <v>30</v>
      </c>
      <c r="N123" s="76"/>
      <c r="O123" s="78">
        <f t="shared" si="88"/>
        <v>7020.83</v>
      </c>
      <c r="P123" s="78">
        <f>ROUND(K123*1.24,2)</f>
        <v>29019.43</v>
      </c>
      <c r="Q123" s="78">
        <f t="shared" si="89"/>
        <v>36040.265800000001</v>
      </c>
      <c r="R123" s="79">
        <f t="shared" si="79"/>
        <v>95483.295799999993</v>
      </c>
      <c r="S123" s="78">
        <f t="shared" si="80"/>
        <v>5850.69</v>
      </c>
      <c r="T123" s="78">
        <v>1.54</v>
      </c>
      <c r="U123" s="78">
        <f t="shared" si="81"/>
        <v>101333.98579999999</v>
      </c>
      <c r="V123" s="79">
        <f t="shared" si="67"/>
        <v>83070.46734599999</v>
      </c>
      <c r="W123" s="78">
        <f t="shared" si="68"/>
        <v>88160.567645999996</v>
      </c>
      <c r="X123" s="80">
        <v>3</v>
      </c>
      <c r="Y123" s="78">
        <v>3</v>
      </c>
      <c r="Z123" s="80">
        <f t="shared" si="69"/>
        <v>0</v>
      </c>
      <c r="AA123" s="80">
        <f t="shared" si="70"/>
        <v>0</v>
      </c>
      <c r="AB123" s="80">
        <f t="shared" si="71"/>
        <v>70208.31</v>
      </c>
      <c r="AC123" s="80"/>
      <c r="AD123">
        <v>0.1</v>
      </c>
      <c r="AE123" s="78">
        <f t="shared" si="72"/>
        <v>2340.277</v>
      </c>
      <c r="AF123">
        <v>0.2</v>
      </c>
      <c r="AG123" s="78">
        <f t="shared" si="73"/>
        <v>4680.5540000000001</v>
      </c>
    </row>
    <row r="124" spans="1:33" ht="17.25" customHeight="1" x14ac:dyDescent="0.2">
      <c r="A124" s="102"/>
      <c r="B124" s="107"/>
      <c r="C124" s="82" t="s">
        <v>123</v>
      </c>
      <c r="D124" s="72">
        <v>1</v>
      </c>
      <c r="E124" s="73">
        <v>7700</v>
      </c>
      <c r="F124" s="74">
        <f t="shared" si="95"/>
        <v>8470</v>
      </c>
      <c r="G124" s="74">
        <f>F124*1.1*1.1+0.3</f>
        <v>10249</v>
      </c>
      <c r="H124" s="74">
        <v>12666.98</v>
      </c>
      <c r="I124" s="74">
        <f t="shared" si="96"/>
        <v>13933.678</v>
      </c>
      <c r="J124" s="74">
        <v>14769.698680000001</v>
      </c>
      <c r="K124" s="74">
        <f>ROUND('26.08.22'!K124*1.04,2)</f>
        <v>21200.16</v>
      </c>
      <c r="L124" s="75" t="s">
        <v>124</v>
      </c>
      <c r="M124" s="69">
        <v>30</v>
      </c>
      <c r="N124" s="76"/>
      <c r="O124" s="78">
        <f>ROUND((K124*M124/100),2)</f>
        <v>6360.05</v>
      </c>
      <c r="P124" s="78">
        <f>ROUND(K124*1.14,2)</f>
        <v>24168.18</v>
      </c>
      <c r="Q124" s="78">
        <f t="shared" si="89"/>
        <v>32648.2464</v>
      </c>
      <c r="R124" s="79">
        <f t="shared" si="79"/>
        <v>84376.636400000003</v>
      </c>
      <c r="S124" s="78">
        <f t="shared" si="80"/>
        <v>5300.04</v>
      </c>
      <c r="T124" s="78">
        <v>1.54</v>
      </c>
      <c r="U124" s="78">
        <f t="shared" si="81"/>
        <v>89676.676399999997</v>
      </c>
      <c r="V124" s="79">
        <f t="shared" si="67"/>
        <v>73407.673668000003</v>
      </c>
      <c r="W124" s="78">
        <f t="shared" si="68"/>
        <v>78018.708467999997</v>
      </c>
      <c r="X124" s="80">
        <v>3</v>
      </c>
      <c r="Y124" s="78">
        <v>3</v>
      </c>
      <c r="Z124" s="80">
        <f t="shared" si="69"/>
        <v>0</v>
      </c>
      <c r="AA124" s="80">
        <f t="shared" si="70"/>
        <v>0</v>
      </c>
      <c r="AB124" s="80">
        <f t="shared" si="71"/>
        <v>63600.479999999996</v>
      </c>
      <c r="AC124" s="80"/>
      <c r="AD124">
        <v>0.1</v>
      </c>
      <c r="AE124" s="78">
        <f t="shared" si="72"/>
        <v>2120.0160000000001</v>
      </c>
      <c r="AF124">
        <v>0.2</v>
      </c>
      <c r="AG124" s="78">
        <f t="shared" si="73"/>
        <v>4240.0320000000002</v>
      </c>
    </row>
    <row r="125" spans="1:33" x14ac:dyDescent="0.2">
      <c r="A125" s="102"/>
      <c r="B125" s="107"/>
      <c r="C125" s="107" t="s">
        <v>45</v>
      </c>
      <c r="D125" s="109">
        <v>1</v>
      </c>
      <c r="E125" s="73">
        <v>6500</v>
      </c>
      <c r="F125" s="74">
        <f t="shared" si="95"/>
        <v>7150</v>
      </c>
      <c r="G125" s="74">
        <f>F125*1.1*1.1+0.5</f>
        <v>8652.0000000000018</v>
      </c>
      <c r="H125" s="74">
        <v>10692.91</v>
      </c>
      <c r="I125" s="74">
        <f t="shared" si="96"/>
        <v>11762.201000000001</v>
      </c>
      <c r="J125" s="74">
        <v>12467.933060000001</v>
      </c>
      <c r="K125" s="74">
        <f>ROUND('26.08.22'!K125*1.04,2)</f>
        <v>17896.259999999998</v>
      </c>
      <c r="L125" s="75" t="s">
        <v>180</v>
      </c>
      <c r="M125" s="83">
        <v>20</v>
      </c>
      <c r="N125" s="76"/>
      <c r="O125" s="78">
        <f t="shared" si="88"/>
        <v>3579.25</v>
      </c>
      <c r="P125" s="78">
        <f t="shared" ref="P125:P130" si="97">ROUND(K125*1.14,2)</f>
        <v>20401.740000000002</v>
      </c>
      <c r="Q125" s="78">
        <f t="shared" si="89"/>
        <v>27560.240399999999</v>
      </c>
      <c r="R125" s="79">
        <f t="shared" si="79"/>
        <v>69437.490399999995</v>
      </c>
      <c r="S125" s="78">
        <f t="shared" si="80"/>
        <v>4474.07</v>
      </c>
      <c r="T125" s="78">
        <v>1.54</v>
      </c>
      <c r="U125" s="78">
        <f t="shared" si="81"/>
        <v>73911.560399999988</v>
      </c>
      <c r="V125" s="79">
        <f t="shared" si="67"/>
        <v>60410.616647999996</v>
      </c>
      <c r="W125" s="78">
        <f t="shared" si="68"/>
        <v>64303.05754799999</v>
      </c>
      <c r="X125" s="80">
        <v>3</v>
      </c>
      <c r="Y125" s="78">
        <v>3</v>
      </c>
      <c r="Z125" s="80">
        <f t="shared" si="69"/>
        <v>0</v>
      </c>
      <c r="AA125" s="80">
        <f t="shared" si="70"/>
        <v>0</v>
      </c>
      <c r="AB125" s="80">
        <f t="shared" si="71"/>
        <v>53688.78</v>
      </c>
      <c r="AC125" s="80"/>
      <c r="AD125">
        <v>0.1</v>
      </c>
      <c r="AE125" s="78">
        <f t="shared" si="72"/>
        <v>1789.626</v>
      </c>
      <c r="AF125">
        <v>0.2</v>
      </c>
      <c r="AG125" s="78">
        <f t="shared" si="73"/>
        <v>3579.252</v>
      </c>
    </row>
    <row r="126" spans="1:33" x14ac:dyDescent="0.2">
      <c r="A126" s="102"/>
      <c r="B126" s="107"/>
      <c r="C126" s="107" t="s">
        <v>45</v>
      </c>
      <c r="D126" s="109">
        <v>1</v>
      </c>
      <c r="E126" s="73">
        <v>6500</v>
      </c>
      <c r="F126" s="74">
        <f t="shared" si="95"/>
        <v>7150</v>
      </c>
      <c r="G126" s="74">
        <f>F126*1.1*1.1+0.5</f>
        <v>8652.0000000000018</v>
      </c>
      <c r="H126" s="74">
        <v>10692.91</v>
      </c>
      <c r="I126" s="74">
        <f t="shared" si="96"/>
        <v>11762.201000000001</v>
      </c>
      <c r="J126" s="74">
        <v>12467.933060000001</v>
      </c>
      <c r="K126" s="74">
        <f>ROUND('26.08.22'!K126*1.04,2)</f>
        <v>17896.259999999998</v>
      </c>
      <c r="L126" s="75" t="s">
        <v>125</v>
      </c>
      <c r="M126" s="76">
        <v>30</v>
      </c>
      <c r="N126" s="76"/>
      <c r="O126" s="78">
        <f t="shared" si="88"/>
        <v>5368.88</v>
      </c>
      <c r="P126" s="78">
        <f t="shared" si="97"/>
        <v>20401.740000000002</v>
      </c>
      <c r="Q126" s="78">
        <f t="shared" si="89"/>
        <v>27560.240399999999</v>
      </c>
      <c r="R126" s="79">
        <f t="shared" si="79"/>
        <v>71227.1204</v>
      </c>
      <c r="S126" s="78">
        <f t="shared" si="80"/>
        <v>4474.07</v>
      </c>
      <c r="T126" s="78">
        <v>1.54</v>
      </c>
      <c r="U126" s="78">
        <f t="shared" si="81"/>
        <v>75701.190399999992</v>
      </c>
      <c r="V126" s="79">
        <f t="shared" si="67"/>
        <v>61967.594747999996</v>
      </c>
      <c r="W126" s="78">
        <f t="shared" si="68"/>
        <v>65860.03564799999</v>
      </c>
      <c r="X126" s="80">
        <v>3</v>
      </c>
      <c r="Y126" s="78">
        <v>3</v>
      </c>
      <c r="Z126" s="80">
        <f t="shared" si="69"/>
        <v>0</v>
      </c>
      <c r="AA126" s="80">
        <f t="shared" si="70"/>
        <v>0</v>
      </c>
      <c r="AB126" s="80">
        <f t="shared" si="71"/>
        <v>53688.78</v>
      </c>
      <c r="AC126" s="80"/>
      <c r="AD126">
        <v>0.1</v>
      </c>
      <c r="AE126" s="78">
        <f t="shared" si="72"/>
        <v>1789.626</v>
      </c>
      <c r="AF126">
        <v>0.2</v>
      </c>
      <c r="AG126" s="78">
        <f t="shared" si="73"/>
        <v>3579.252</v>
      </c>
    </row>
    <row r="127" spans="1:33" x14ac:dyDescent="0.2">
      <c r="A127" s="102"/>
      <c r="B127" s="107"/>
      <c r="C127" s="107" t="s">
        <v>45</v>
      </c>
      <c r="D127" s="109">
        <v>1</v>
      </c>
      <c r="E127" s="73">
        <v>6500</v>
      </c>
      <c r="F127" s="74">
        <f t="shared" si="95"/>
        <v>7150</v>
      </c>
      <c r="G127" s="74">
        <f>F127*1.1*1.1+0.5</f>
        <v>8652.0000000000018</v>
      </c>
      <c r="H127" s="74">
        <v>10692.91</v>
      </c>
      <c r="I127" s="74">
        <f t="shared" si="96"/>
        <v>11762.201000000001</v>
      </c>
      <c r="J127" s="74">
        <v>12467.933060000001</v>
      </c>
      <c r="K127" s="74">
        <f>ROUND('26.08.22'!K127*1.04,2)</f>
        <v>17896.259999999998</v>
      </c>
      <c r="L127" s="105" t="s">
        <v>126</v>
      </c>
      <c r="M127" s="145">
        <v>30</v>
      </c>
      <c r="N127" s="76"/>
      <c r="O127" s="78">
        <f t="shared" si="88"/>
        <v>5368.88</v>
      </c>
      <c r="P127" s="78">
        <f t="shared" si="97"/>
        <v>20401.740000000002</v>
      </c>
      <c r="Q127" s="78">
        <f t="shared" si="89"/>
        <v>27560.240399999999</v>
      </c>
      <c r="R127" s="79">
        <f t="shared" si="79"/>
        <v>71227.1204</v>
      </c>
      <c r="S127" s="78">
        <f t="shared" si="80"/>
        <v>4474.07</v>
      </c>
      <c r="T127" s="78">
        <v>1.54</v>
      </c>
      <c r="U127" s="78">
        <f t="shared" si="81"/>
        <v>75701.190399999992</v>
      </c>
      <c r="V127" s="79">
        <f t="shared" si="67"/>
        <v>61967.594747999996</v>
      </c>
      <c r="W127" s="78">
        <f t="shared" si="68"/>
        <v>65860.03564799999</v>
      </c>
      <c r="X127" s="80">
        <v>3</v>
      </c>
      <c r="Y127" s="78">
        <v>3</v>
      </c>
      <c r="Z127" s="80">
        <f t="shared" si="69"/>
        <v>0</v>
      </c>
      <c r="AA127" s="80">
        <f t="shared" si="70"/>
        <v>0</v>
      </c>
      <c r="AB127" s="80">
        <f t="shared" si="71"/>
        <v>53688.78</v>
      </c>
      <c r="AC127" s="80"/>
      <c r="AD127">
        <v>0.1</v>
      </c>
      <c r="AE127" s="78">
        <f t="shared" si="72"/>
        <v>1789.626</v>
      </c>
      <c r="AF127">
        <v>0.2</v>
      </c>
      <c r="AG127" s="78">
        <f t="shared" si="73"/>
        <v>3579.252</v>
      </c>
    </row>
    <row r="128" spans="1:33" x14ac:dyDescent="0.2">
      <c r="A128" s="102" t="s">
        <v>127</v>
      </c>
      <c r="B128" s="107"/>
      <c r="C128" s="107" t="s">
        <v>48</v>
      </c>
      <c r="D128" s="109">
        <v>1</v>
      </c>
      <c r="E128" s="73">
        <v>5600</v>
      </c>
      <c r="F128" s="74">
        <f t="shared" si="95"/>
        <v>6160</v>
      </c>
      <c r="G128" s="74">
        <f>F128*1.1*1.1+0.4</f>
        <v>7454.0000000000009</v>
      </c>
      <c r="H128" s="74">
        <v>9212.35</v>
      </c>
      <c r="I128" s="74">
        <f t="shared" si="96"/>
        <v>10133.585000000001</v>
      </c>
      <c r="J128" s="74">
        <v>10741.600100000001</v>
      </c>
      <c r="K128" s="74">
        <f>ROUND('26.08.22'!K128*1.04,2)</f>
        <v>15418.33</v>
      </c>
      <c r="L128" s="75" t="s">
        <v>227</v>
      </c>
      <c r="M128" s="145">
        <v>30</v>
      </c>
      <c r="N128" s="76"/>
      <c r="O128" s="78">
        <f>ROUND((K128*M128/100),2)</f>
        <v>4625.5</v>
      </c>
      <c r="P128" s="78">
        <f t="shared" si="97"/>
        <v>17576.900000000001</v>
      </c>
      <c r="Q128" s="78">
        <f t="shared" si="89"/>
        <v>22202.395199999999</v>
      </c>
      <c r="R128" s="79">
        <f t="shared" si="79"/>
        <v>59823.125200000002</v>
      </c>
      <c r="S128" s="78">
        <f t="shared" si="80"/>
        <v>3854.58</v>
      </c>
      <c r="T128" s="78">
        <v>1.44</v>
      </c>
      <c r="U128" s="78">
        <f t="shared" si="81"/>
        <v>63677.705200000004</v>
      </c>
      <c r="V128" s="79">
        <f t="shared" si="67"/>
        <v>52046.118924000002</v>
      </c>
      <c r="W128" s="78">
        <f t="shared" si="68"/>
        <v>55399.603524000006</v>
      </c>
      <c r="X128" s="80">
        <v>3</v>
      </c>
      <c r="Y128" s="78"/>
      <c r="Z128" s="80">
        <v>1</v>
      </c>
      <c r="AA128" s="80">
        <f t="shared" si="70"/>
        <v>15418.33</v>
      </c>
      <c r="AB128" s="80">
        <f t="shared" si="71"/>
        <v>0</v>
      </c>
      <c r="AC128" s="80"/>
      <c r="AD128">
        <v>0.1</v>
      </c>
      <c r="AE128" s="78">
        <f t="shared" si="72"/>
        <v>1541.8330000000001</v>
      </c>
      <c r="AF128">
        <v>0.2</v>
      </c>
      <c r="AG128" s="78">
        <f t="shared" si="73"/>
        <v>3083.6660000000002</v>
      </c>
    </row>
    <row r="129" spans="1:33" x14ac:dyDescent="0.2">
      <c r="A129" s="102"/>
      <c r="B129" s="107"/>
      <c r="C129" s="107" t="s">
        <v>45</v>
      </c>
      <c r="D129" s="109">
        <v>1</v>
      </c>
      <c r="E129" s="73"/>
      <c r="F129" s="74"/>
      <c r="G129" s="74"/>
      <c r="H129" s="74">
        <v>9212.35</v>
      </c>
      <c r="I129" s="74">
        <f t="shared" si="96"/>
        <v>10133.585000000001</v>
      </c>
      <c r="J129" s="74">
        <v>10741.600100000001</v>
      </c>
      <c r="K129" s="74">
        <f>ROUND('26.08.22'!K129*1.04,2)</f>
        <v>17896.259999999998</v>
      </c>
      <c r="L129" s="180" t="s">
        <v>191</v>
      </c>
      <c r="M129" s="146">
        <v>30</v>
      </c>
      <c r="N129" s="76"/>
      <c r="O129" s="78">
        <f>ROUND((K129*M129/100),2)</f>
        <v>5368.88</v>
      </c>
      <c r="P129" s="78">
        <f t="shared" si="97"/>
        <v>20401.740000000002</v>
      </c>
      <c r="Q129" s="78">
        <f t="shared" si="89"/>
        <v>27560.240399999999</v>
      </c>
      <c r="R129" s="79">
        <f t="shared" si="79"/>
        <v>71227.1204</v>
      </c>
      <c r="S129" s="78">
        <f t="shared" si="80"/>
        <v>4474.07</v>
      </c>
      <c r="T129" s="78">
        <v>1.54</v>
      </c>
      <c r="U129" s="78">
        <f t="shared" si="81"/>
        <v>75701.190399999992</v>
      </c>
      <c r="V129" s="79">
        <f t="shared" si="67"/>
        <v>61967.594747999996</v>
      </c>
      <c r="W129" s="78">
        <f t="shared" si="68"/>
        <v>65860.03564799999</v>
      </c>
      <c r="X129" s="80">
        <v>3</v>
      </c>
      <c r="Y129" s="124"/>
      <c r="Z129" s="80">
        <v>1</v>
      </c>
      <c r="AA129" s="80">
        <f t="shared" si="70"/>
        <v>17896.259999999998</v>
      </c>
      <c r="AB129" s="80">
        <f t="shared" si="71"/>
        <v>0</v>
      </c>
      <c r="AC129" s="80"/>
      <c r="AD129">
        <v>0.1</v>
      </c>
      <c r="AE129" s="78">
        <f t="shared" si="72"/>
        <v>1789.626</v>
      </c>
      <c r="AF129">
        <v>0.2</v>
      </c>
      <c r="AG129" s="78">
        <f t="shared" si="73"/>
        <v>3579.252</v>
      </c>
    </row>
    <row r="130" spans="1:33" x14ac:dyDescent="0.2">
      <c r="A130" s="102"/>
      <c r="B130" s="107"/>
      <c r="C130" s="107" t="s">
        <v>48</v>
      </c>
      <c r="D130" s="143">
        <v>1</v>
      </c>
      <c r="E130" s="118"/>
      <c r="F130" s="74"/>
      <c r="G130" s="74"/>
      <c r="H130" s="74">
        <v>9212.35</v>
      </c>
      <c r="I130" s="74">
        <f t="shared" si="96"/>
        <v>10133.585000000001</v>
      </c>
      <c r="J130" s="74">
        <v>10741.600100000001</v>
      </c>
      <c r="K130" s="74">
        <f>ROUND('26.08.22'!K130*1.04,2)</f>
        <v>15418.33</v>
      </c>
      <c r="L130" s="180" t="s">
        <v>219</v>
      </c>
      <c r="M130" s="145">
        <v>20</v>
      </c>
      <c r="N130" s="83"/>
      <c r="O130" s="78">
        <f t="shared" si="88"/>
        <v>3083.67</v>
      </c>
      <c r="P130" s="78">
        <f t="shared" si="97"/>
        <v>17576.900000000001</v>
      </c>
      <c r="Q130" s="78">
        <f t="shared" si="89"/>
        <v>22202.395199999999</v>
      </c>
      <c r="R130" s="79">
        <f t="shared" si="79"/>
        <v>58281.2952</v>
      </c>
      <c r="S130" s="78">
        <f t="shared" si="80"/>
        <v>3854.58</v>
      </c>
      <c r="T130" s="78">
        <v>1.44</v>
      </c>
      <c r="U130" s="78">
        <f t="shared" si="81"/>
        <v>62135.875200000002</v>
      </c>
      <c r="V130" s="79">
        <f t="shared" si="67"/>
        <v>50704.726823999998</v>
      </c>
      <c r="W130" s="78">
        <f t="shared" si="68"/>
        <v>54058.211424000001</v>
      </c>
      <c r="X130" s="80">
        <v>3</v>
      </c>
      <c r="Y130" s="124"/>
      <c r="Z130" s="80">
        <v>1</v>
      </c>
      <c r="AA130" s="80">
        <f t="shared" si="70"/>
        <v>15418.33</v>
      </c>
      <c r="AB130" s="80">
        <f t="shared" si="71"/>
        <v>0</v>
      </c>
      <c r="AC130" s="80"/>
      <c r="AD130">
        <v>0.1</v>
      </c>
      <c r="AE130" s="78">
        <f t="shared" si="72"/>
        <v>1541.8330000000001</v>
      </c>
      <c r="AF130">
        <v>0.2</v>
      </c>
      <c r="AG130" s="78">
        <f t="shared" si="73"/>
        <v>3083.6660000000002</v>
      </c>
    </row>
    <row r="131" spans="1:33" x14ac:dyDescent="0.2">
      <c r="A131" s="102"/>
      <c r="B131" s="87"/>
      <c r="C131" s="87" t="s">
        <v>51</v>
      </c>
      <c r="D131" s="111">
        <f>SUM(D123:D130)</f>
        <v>8</v>
      </c>
      <c r="E131" s="95">
        <f>SUM(E123:E128)</f>
        <v>41300</v>
      </c>
      <c r="F131" s="95">
        <f>SUM(F123:F128)</f>
        <v>45430</v>
      </c>
      <c r="G131" s="95">
        <f>SUM(G123:G128)</f>
        <v>54973</v>
      </c>
      <c r="H131" s="95">
        <f>SUM(H123:H130)</f>
        <v>86365.790000000023</v>
      </c>
      <c r="I131" s="95">
        <f>SUM(I123:I130)</f>
        <v>95002.369000000021</v>
      </c>
      <c r="J131" s="95">
        <v>100702.51114</v>
      </c>
      <c r="K131" s="231">
        <f>SUM(K123:K130)</f>
        <v>147024.62999999998</v>
      </c>
      <c r="L131" s="148"/>
      <c r="M131" s="148"/>
      <c r="N131" s="148">
        <f t="shared" ref="N131" si="98">SUM(N123:N130)</f>
        <v>0</v>
      </c>
      <c r="O131" s="148">
        <f>SUM(O123:O130)</f>
        <v>40775.94</v>
      </c>
      <c r="P131" s="148">
        <f t="shared" ref="P131:W131" si="99">SUM(P123:P130)</f>
        <v>169948.37</v>
      </c>
      <c r="Q131" s="148">
        <f t="shared" si="99"/>
        <v>223334.26420000001</v>
      </c>
      <c r="R131" s="148">
        <f t="shared" si="99"/>
        <v>581083.20420000004</v>
      </c>
      <c r="S131" s="148">
        <f t="shared" si="99"/>
        <v>36756.17</v>
      </c>
      <c r="T131" s="148">
        <f t="shared" si="99"/>
        <v>12.12</v>
      </c>
      <c r="U131" s="148">
        <f t="shared" si="99"/>
        <v>617839.37419999996</v>
      </c>
      <c r="V131" s="148">
        <f t="shared" si="99"/>
        <v>505542.38765399996</v>
      </c>
      <c r="W131" s="148">
        <f t="shared" si="99"/>
        <v>537520.25555399992</v>
      </c>
      <c r="X131" s="80"/>
      <c r="Y131" s="148"/>
      <c r="Z131" s="80"/>
      <c r="AA131" s="80">
        <f t="shared" si="70"/>
        <v>0</v>
      </c>
      <c r="AB131" s="80">
        <f t="shared" si="71"/>
        <v>0</v>
      </c>
      <c r="AC131" s="149"/>
      <c r="AD131">
        <v>0.1</v>
      </c>
      <c r="AE131" s="150">
        <f t="shared" si="72"/>
        <v>14702.462999999998</v>
      </c>
      <c r="AF131">
        <v>0.2</v>
      </c>
      <c r="AG131" s="150">
        <f t="shared" si="73"/>
        <v>29404.925999999996</v>
      </c>
    </row>
    <row r="132" spans="1:33" ht="33.75" customHeight="1" x14ac:dyDescent="0.2">
      <c r="A132" s="102"/>
      <c r="B132" s="151"/>
      <c r="C132" s="151" t="s">
        <v>128</v>
      </c>
      <c r="D132" s="152">
        <f>D16+D24+D51+D55+D89+D105+D117+D131+D93+D121</f>
        <v>87</v>
      </c>
      <c r="E132" s="152">
        <f t="shared" ref="E132:J132" si="100">E16+E24+E51+E55+E89+E105+E117+E131+E93+E121</f>
        <v>322200</v>
      </c>
      <c r="F132" s="152">
        <f t="shared" si="100"/>
        <v>355300</v>
      </c>
      <c r="G132" s="152">
        <f t="shared" si="100"/>
        <v>563440</v>
      </c>
      <c r="H132" s="152">
        <f t="shared" si="100"/>
        <v>765283.27000000014</v>
      </c>
      <c r="I132" s="152">
        <f t="shared" si="100"/>
        <v>841811.59700000018</v>
      </c>
      <c r="J132" s="152">
        <f t="shared" si="100"/>
        <v>921092.43886000011</v>
      </c>
      <c r="K132" s="152">
        <f>K16+K24+K51+K55+K89+K105+K117+K131+K93+K121</f>
        <v>1642050.33</v>
      </c>
      <c r="L132" s="154"/>
      <c r="M132" s="154"/>
      <c r="N132" s="154">
        <f t="shared" ref="N132" si="101">N16+N24+N51+N55+N89+N105+N117+N131+N93+N121</f>
        <v>0</v>
      </c>
      <c r="O132" s="154">
        <f>O16+O24+O51+O55+O89+O105+O117+O131+O93+O121</f>
        <v>425641.85</v>
      </c>
      <c r="P132" s="154">
        <f t="shared" ref="P132:W132" si="102">P16+P24+P51+P55+P89+P105+P117+P131+P93+P121</f>
        <v>1913979.95</v>
      </c>
      <c r="Q132" s="154">
        <f t="shared" si="102"/>
        <v>2471627.1198000005</v>
      </c>
      <c r="R132" s="154">
        <f t="shared" si="102"/>
        <v>6409632.3697999995</v>
      </c>
      <c r="S132" s="154">
        <f t="shared" si="102"/>
        <v>410512.77</v>
      </c>
      <c r="T132" s="154">
        <f t="shared" si="102"/>
        <v>133.64000000000001</v>
      </c>
      <c r="U132" s="154">
        <f t="shared" si="102"/>
        <v>6815671.0697999988</v>
      </c>
      <c r="V132" s="154">
        <f t="shared" si="102"/>
        <v>5576380.1617259998</v>
      </c>
      <c r="W132" s="154">
        <f t="shared" si="102"/>
        <v>5929633.8307259986</v>
      </c>
      <c r="X132" s="80"/>
      <c r="Y132" s="154"/>
      <c r="Z132" s="80"/>
      <c r="AA132" s="80">
        <f t="shared" si="70"/>
        <v>0</v>
      </c>
      <c r="AB132" s="80">
        <f t="shared" si="71"/>
        <v>0</v>
      </c>
      <c r="AC132" s="155"/>
      <c r="AD132">
        <v>0.1</v>
      </c>
      <c r="AE132" s="154">
        <f>AE16+AE24+AE51+AE55+AE89+AE105+AE117+AE131+AE93+AE121</f>
        <v>182101.29299999998</v>
      </c>
      <c r="AF132" s="154"/>
      <c r="AG132" s="154">
        <f>AG16+AG24+AG51+AG55+AG89+AG105+AG117+AG131+AG93+AG121</f>
        <v>346306.32599999994</v>
      </c>
    </row>
    <row r="133" spans="1:33" x14ac:dyDescent="0.2">
      <c r="A133" s="156" t="s">
        <v>129</v>
      </c>
      <c r="B133" s="157"/>
      <c r="C133" s="157"/>
      <c r="D133" s="158"/>
      <c r="E133" s="159"/>
      <c r="F133" s="159"/>
      <c r="G133" s="159"/>
      <c r="H133" s="159"/>
      <c r="I133" s="159"/>
      <c r="J133" s="159"/>
      <c r="K133" s="74"/>
      <c r="L133" s="160"/>
      <c r="M133" s="161"/>
      <c r="N133" s="161"/>
      <c r="O133" s="159"/>
      <c r="P133" s="159"/>
      <c r="Q133" s="162"/>
      <c r="R133" s="162"/>
      <c r="S133" s="162"/>
      <c r="T133" s="159"/>
      <c r="U133" s="159"/>
      <c r="V133" s="163"/>
      <c r="W133" s="159"/>
      <c r="X133" s="80"/>
      <c r="Y133" s="159"/>
      <c r="Z133" s="80"/>
      <c r="AA133" s="80">
        <f t="shared" si="70"/>
        <v>0</v>
      </c>
      <c r="AB133" s="80">
        <f t="shared" si="71"/>
        <v>0</v>
      </c>
      <c r="AC133" s="164"/>
      <c r="AD133">
        <v>0.1</v>
      </c>
      <c r="AE133" s="159"/>
      <c r="AG133" s="159"/>
    </row>
    <row r="134" spans="1:33" x14ac:dyDescent="0.2">
      <c r="A134" s="165"/>
      <c r="B134" s="166"/>
      <c r="C134" s="166"/>
      <c r="D134" s="167"/>
      <c r="E134" s="168"/>
      <c r="F134" s="168"/>
      <c r="G134" s="168"/>
      <c r="H134" s="168"/>
      <c r="I134" s="168"/>
      <c r="J134" s="168"/>
      <c r="K134" s="74"/>
      <c r="L134" s="169"/>
      <c r="M134" s="170"/>
      <c r="N134" s="170"/>
      <c r="O134" s="168"/>
      <c r="P134" s="168"/>
      <c r="Q134" s="168"/>
      <c r="R134" s="168"/>
      <c r="S134" s="168"/>
      <c r="T134" s="168"/>
      <c r="U134" s="168"/>
      <c r="V134" s="171"/>
      <c r="W134" s="168"/>
      <c r="X134" s="80"/>
      <c r="Y134" s="168"/>
      <c r="Z134" s="80"/>
      <c r="AA134" s="80">
        <f t="shared" si="70"/>
        <v>0</v>
      </c>
      <c r="AB134" s="80">
        <f t="shared" si="71"/>
        <v>0</v>
      </c>
      <c r="AC134" s="164"/>
      <c r="AD134">
        <v>0.1</v>
      </c>
      <c r="AE134" s="168"/>
      <c r="AG134" s="168"/>
    </row>
    <row r="135" spans="1:33" ht="27" customHeight="1" x14ac:dyDescent="0.2">
      <c r="A135" s="172" t="s">
        <v>130</v>
      </c>
      <c r="B135" s="173"/>
      <c r="C135" s="173"/>
      <c r="D135" s="174"/>
      <c r="E135" s="175"/>
      <c r="F135" s="175"/>
      <c r="G135" s="175"/>
      <c r="H135" s="175"/>
      <c r="I135" s="175"/>
      <c r="J135" s="175"/>
      <c r="K135" s="90"/>
      <c r="L135" s="176"/>
      <c r="M135" s="173"/>
      <c r="N135" s="173"/>
      <c r="O135" s="173"/>
      <c r="P135" s="177"/>
      <c r="Q135" s="178"/>
      <c r="R135" s="178"/>
      <c r="S135" s="178"/>
      <c r="T135" s="177"/>
      <c r="U135" s="173"/>
      <c r="V135" s="179"/>
      <c r="W135" s="173"/>
      <c r="X135" s="80"/>
      <c r="Y135" s="173"/>
      <c r="Z135" s="80"/>
      <c r="AA135" s="80">
        <f t="shared" si="70"/>
        <v>0</v>
      </c>
      <c r="AB135" s="80">
        <f t="shared" si="71"/>
        <v>0</v>
      </c>
      <c r="AC135" s="68"/>
      <c r="AD135">
        <v>0.1</v>
      </c>
      <c r="AE135" s="173"/>
      <c r="AG135" s="173"/>
    </row>
    <row r="136" spans="1:33" ht="26.25" customHeight="1" x14ac:dyDescent="0.2">
      <c r="A136" s="71" t="s">
        <v>131</v>
      </c>
      <c r="B136" s="97"/>
      <c r="C136" s="97"/>
      <c r="D136" s="94"/>
      <c r="E136" s="95"/>
      <c r="F136" s="95"/>
      <c r="G136" s="95"/>
      <c r="H136" s="95"/>
      <c r="I136" s="95"/>
      <c r="J136" s="95"/>
      <c r="K136" s="90"/>
      <c r="L136" s="96"/>
      <c r="M136" s="97"/>
      <c r="N136" s="97"/>
      <c r="O136" s="98"/>
      <c r="P136" s="130">
        <v>1.1399999999999999</v>
      </c>
      <c r="Q136" s="66" t="s">
        <v>132</v>
      </c>
      <c r="R136" s="66" t="s">
        <v>280</v>
      </c>
      <c r="S136" s="66" t="s">
        <v>281</v>
      </c>
      <c r="T136" s="130"/>
      <c r="U136" s="98"/>
      <c r="V136" s="100"/>
      <c r="W136" s="98"/>
      <c r="X136" s="80"/>
      <c r="Y136" s="98"/>
      <c r="Z136" s="80"/>
      <c r="AA136" s="80">
        <f t="shared" si="70"/>
        <v>0</v>
      </c>
      <c r="AB136" s="80">
        <f t="shared" si="71"/>
        <v>0</v>
      </c>
      <c r="AC136" s="101"/>
      <c r="AD136">
        <v>0.1</v>
      </c>
      <c r="AE136" s="98"/>
      <c r="AG136" s="98"/>
    </row>
    <row r="137" spans="1:33" x14ac:dyDescent="0.2">
      <c r="A137" s="102"/>
      <c r="B137" s="87"/>
      <c r="C137" s="87" t="s">
        <v>133</v>
      </c>
      <c r="D137" s="72">
        <v>1</v>
      </c>
      <c r="E137" s="73">
        <v>7500</v>
      </c>
      <c r="F137" s="74">
        <f t="shared" ref="F137:F142" si="103">ROUND(E137*F$12,2)</f>
        <v>8250</v>
      </c>
      <c r="G137" s="74">
        <f>F137*1.1*1.1+0.5</f>
        <v>9983</v>
      </c>
      <c r="H137" s="74">
        <v>12337.98</v>
      </c>
      <c r="I137" s="74">
        <f t="shared" ref="I137:I142" si="104">H137*$I$12</f>
        <v>13571.778</v>
      </c>
      <c r="J137" s="74">
        <v>14386.084680000002</v>
      </c>
      <c r="K137" s="74">
        <f>ROUND('26.08.22'!K137*1.04,2)</f>
        <v>20649.54</v>
      </c>
      <c r="L137" s="105" t="s">
        <v>134</v>
      </c>
      <c r="M137" s="76">
        <v>30</v>
      </c>
      <c r="N137" s="76"/>
      <c r="O137" s="78">
        <f>ROUND((K137*M137/100),2)</f>
        <v>6194.86</v>
      </c>
      <c r="P137" s="78">
        <f>ROUND(K137*1.14,2)</f>
        <v>23540.48</v>
      </c>
      <c r="Q137" s="78">
        <f>K137*T137</f>
        <v>29735.337599999999</v>
      </c>
      <c r="R137" s="79">
        <f>K137+O137+P137+Q137</f>
        <v>80120.217600000004</v>
      </c>
      <c r="S137" s="78">
        <f>ROUND(K137*S$12,2)</f>
        <v>5162.3900000000003</v>
      </c>
      <c r="T137" s="78">
        <v>1.44</v>
      </c>
      <c r="U137" s="78">
        <f>K137+O137+P137+Q137+S137</f>
        <v>85282.607600000003</v>
      </c>
      <c r="V137" s="79">
        <f t="shared" si="67"/>
        <v>69704.589311999996</v>
      </c>
      <c r="W137" s="78">
        <f t="shared" si="68"/>
        <v>74195.868612000006</v>
      </c>
      <c r="X137" s="80">
        <v>3</v>
      </c>
      <c r="Y137" s="78">
        <v>2</v>
      </c>
      <c r="Z137" s="80">
        <f t="shared" si="69"/>
        <v>1</v>
      </c>
      <c r="AA137" s="80">
        <f t="shared" si="70"/>
        <v>20649.54</v>
      </c>
      <c r="AB137" s="80">
        <f t="shared" si="71"/>
        <v>41299.08</v>
      </c>
      <c r="AC137" s="80"/>
      <c r="AD137">
        <v>0.1</v>
      </c>
      <c r="AE137" s="78">
        <f t="shared" si="72"/>
        <v>2064.9540000000002</v>
      </c>
      <c r="AF137">
        <v>0.1</v>
      </c>
      <c r="AG137" s="78">
        <f>K137*AF137</f>
        <v>2064.9540000000002</v>
      </c>
    </row>
    <row r="138" spans="1:33" ht="21" customHeight="1" x14ac:dyDescent="0.2">
      <c r="A138" s="102"/>
      <c r="B138" s="122"/>
      <c r="C138" s="122" t="s">
        <v>90</v>
      </c>
      <c r="D138" s="72">
        <v>1</v>
      </c>
      <c r="E138" s="73">
        <v>6000</v>
      </c>
      <c r="F138" s="74">
        <f t="shared" si="103"/>
        <v>6600</v>
      </c>
      <c r="G138" s="74">
        <f>F138*1.1*1.1</f>
        <v>7986.0000000000018</v>
      </c>
      <c r="H138" s="74">
        <v>9870.3799999999992</v>
      </c>
      <c r="I138" s="74">
        <f t="shared" si="104"/>
        <v>10857.418</v>
      </c>
      <c r="J138" s="74">
        <v>11508.863080000001</v>
      </c>
      <c r="K138" s="74">
        <f>ROUND('26.08.22'!K138*1.04,2)</f>
        <v>16519.63</v>
      </c>
      <c r="L138" s="180" t="s">
        <v>135</v>
      </c>
      <c r="M138" s="83">
        <v>30</v>
      </c>
      <c r="N138" s="76"/>
      <c r="O138" s="78">
        <f t="shared" ref="O138:O184" si="105">ROUND((K138*M138/100),2)</f>
        <v>4955.8900000000003</v>
      </c>
      <c r="P138" s="78">
        <f t="shared" ref="P138:P184" si="106">ROUND(K138*1.14,2)</f>
        <v>18832.38</v>
      </c>
      <c r="Q138" s="78">
        <f t="shared" ref="Q138:Q184" si="107">K138*T138</f>
        <v>16354.433700000001</v>
      </c>
      <c r="R138" s="79">
        <f t="shared" ref="R138:R184" si="108">K138+O138+P138+Q138</f>
        <v>56662.333700000003</v>
      </c>
      <c r="S138" s="78">
        <f t="shared" ref="S138:S184" si="109">ROUND(K138*S$12,2)</f>
        <v>4129.91</v>
      </c>
      <c r="T138" s="78">
        <v>0.99</v>
      </c>
      <c r="U138" s="78">
        <f t="shared" ref="U138:U184" si="110">K138+O138+P138+Q138+S138</f>
        <v>60792.243700000006</v>
      </c>
      <c r="V138" s="79">
        <f t="shared" si="67"/>
        <v>49296.230319000002</v>
      </c>
      <c r="W138" s="78">
        <f t="shared" si="68"/>
        <v>52889.252019000007</v>
      </c>
      <c r="X138" s="80">
        <v>3</v>
      </c>
      <c r="Y138" s="78">
        <v>3</v>
      </c>
      <c r="Z138" s="80">
        <f t="shared" si="69"/>
        <v>0</v>
      </c>
      <c r="AA138" s="80">
        <f t="shared" si="70"/>
        <v>0</v>
      </c>
      <c r="AB138" s="80">
        <f t="shared" si="71"/>
        <v>49558.89</v>
      </c>
      <c r="AC138" s="80"/>
      <c r="AD138">
        <v>0.1</v>
      </c>
      <c r="AE138" s="78">
        <f t="shared" si="72"/>
        <v>1651.9630000000002</v>
      </c>
      <c r="AF138">
        <v>0.1</v>
      </c>
      <c r="AG138" s="78">
        <f t="shared" ref="AG138:AG184" si="111">K138*AF138</f>
        <v>1651.9630000000002</v>
      </c>
    </row>
    <row r="139" spans="1:33" ht="15.75" customHeight="1" x14ac:dyDescent="0.2">
      <c r="A139" s="102"/>
      <c r="B139" s="122"/>
      <c r="C139" s="107" t="s">
        <v>48</v>
      </c>
      <c r="D139" s="109">
        <v>1</v>
      </c>
      <c r="E139" s="73">
        <v>5000</v>
      </c>
      <c r="F139" s="74">
        <f t="shared" si="103"/>
        <v>5500</v>
      </c>
      <c r="G139" s="74">
        <f>F139*1.1*1.1</f>
        <v>6655.0000000000018</v>
      </c>
      <c r="H139" s="74">
        <v>8225.31</v>
      </c>
      <c r="I139" s="74">
        <f t="shared" si="104"/>
        <v>9047.8410000000003</v>
      </c>
      <c r="J139" s="74">
        <v>9590.7114600000004</v>
      </c>
      <c r="K139" s="74">
        <f>ROUND('26.08.22'!K139*1.04,2)</f>
        <v>13766.34</v>
      </c>
      <c r="L139" s="75" t="s">
        <v>211</v>
      </c>
      <c r="M139" s="83">
        <v>30</v>
      </c>
      <c r="N139" s="76"/>
      <c r="O139" s="78">
        <f t="shared" si="105"/>
        <v>4129.8999999999996</v>
      </c>
      <c r="P139" s="78">
        <f t="shared" si="106"/>
        <v>15693.63</v>
      </c>
      <c r="Q139" s="78">
        <f t="shared" si="107"/>
        <v>12252.042600000001</v>
      </c>
      <c r="R139" s="79">
        <f t="shared" si="108"/>
        <v>45841.912599999996</v>
      </c>
      <c r="S139" s="78">
        <f t="shared" si="109"/>
        <v>3441.59</v>
      </c>
      <c r="T139" s="78">
        <v>0.89</v>
      </c>
      <c r="U139" s="78">
        <f t="shared" si="110"/>
        <v>49283.502599999993</v>
      </c>
      <c r="V139" s="79">
        <f t="shared" si="67"/>
        <v>39882.463961999994</v>
      </c>
      <c r="W139" s="78">
        <f t="shared" si="68"/>
        <v>42876.647261999991</v>
      </c>
      <c r="X139" s="80">
        <v>3</v>
      </c>
      <c r="Y139" s="78">
        <v>3</v>
      </c>
      <c r="Z139" s="80">
        <f t="shared" si="69"/>
        <v>0</v>
      </c>
      <c r="AA139" s="80">
        <f t="shared" si="70"/>
        <v>0</v>
      </c>
      <c r="AB139" s="80">
        <f t="shared" si="71"/>
        <v>41299.020000000004</v>
      </c>
      <c r="AC139" s="80"/>
      <c r="AD139">
        <v>0.1</v>
      </c>
      <c r="AE139" s="78">
        <f t="shared" si="72"/>
        <v>1376.634</v>
      </c>
      <c r="AF139">
        <v>0.1</v>
      </c>
      <c r="AG139" s="78">
        <f t="shared" si="111"/>
        <v>1376.634</v>
      </c>
    </row>
    <row r="140" spans="1:33" ht="25.5" x14ac:dyDescent="0.2">
      <c r="A140" s="102"/>
      <c r="B140" s="107"/>
      <c r="C140" s="131" t="s">
        <v>136</v>
      </c>
      <c r="D140" s="109">
        <v>1</v>
      </c>
      <c r="E140" s="73">
        <v>5000</v>
      </c>
      <c r="F140" s="74">
        <f t="shared" si="103"/>
        <v>5500</v>
      </c>
      <c r="G140" s="74">
        <f>F140*1.1*1.1</f>
        <v>6655.0000000000018</v>
      </c>
      <c r="H140" s="74">
        <v>8225.31</v>
      </c>
      <c r="I140" s="74">
        <f t="shared" si="104"/>
        <v>9047.8410000000003</v>
      </c>
      <c r="J140" s="74">
        <v>9590.7114600000004</v>
      </c>
      <c r="K140" s="74">
        <f>ROUND('26.08.22'!K140*1.04,2)</f>
        <v>16519.63</v>
      </c>
      <c r="L140" s="75"/>
      <c r="M140" s="83"/>
      <c r="N140" s="76"/>
      <c r="O140" s="78">
        <f t="shared" si="105"/>
        <v>0</v>
      </c>
      <c r="P140" s="78">
        <f t="shared" si="106"/>
        <v>18832.38</v>
      </c>
      <c r="Q140" s="78">
        <f t="shared" si="107"/>
        <v>16354.433700000001</v>
      </c>
      <c r="R140" s="79">
        <f t="shared" si="108"/>
        <v>51706.443700000003</v>
      </c>
      <c r="S140" s="78">
        <f t="shared" si="109"/>
        <v>4129.91</v>
      </c>
      <c r="T140" s="78">
        <v>0.99</v>
      </c>
      <c r="U140" s="78">
        <f t="shared" si="110"/>
        <v>55836.353700000007</v>
      </c>
      <c r="V140" s="79">
        <f t="shared" si="67"/>
        <v>44984.606019000006</v>
      </c>
      <c r="W140" s="78">
        <f t="shared" si="68"/>
        <v>48577.627719000004</v>
      </c>
      <c r="X140" s="80">
        <v>3</v>
      </c>
      <c r="Y140" s="78">
        <v>3</v>
      </c>
      <c r="Z140" s="80">
        <f t="shared" si="69"/>
        <v>0</v>
      </c>
      <c r="AA140" s="80">
        <f t="shared" si="70"/>
        <v>0</v>
      </c>
      <c r="AB140" s="80">
        <f t="shared" si="71"/>
        <v>49558.89</v>
      </c>
      <c r="AC140" s="80"/>
      <c r="AD140">
        <v>0.1</v>
      </c>
      <c r="AE140" s="78">
        <f t="shared" si="72"/>
        <v>1651.9630000000002</v>
      </c>
      <c r="AF140">
        <v>0.1</v>
      </c>
      <c r="AG140" s="78">
        <f t="shared" si="111"/>
        <v>1651.9630000000002</v>
      </c>
    </row>
    <row r="141" spans="1:33" ht="30.75" customHeight="1" x14ac:dyDescent="0.2">
      <c r="A141" s="102"/>
      <c r="B141" s="107"/>
      <c r="C141" s="131" t="s">
        <v>136</v>
      </c>
      <c r="D141" s="109">
        <v>1</v>
      </c>
      <c r="E141" s="73">
        <v>5000</v>
      </c>
      <c r="F141" s="74">
        <f t="shared" si="103"/>
        <v>5500</v>
      </c>
      <c r="G141" s="74">
        <f>F141*1.1*1.1</f>
        <v>6655.0000000000018</v>
      </c>
      <c r="H141" s="74">
        <v>8225.31</v>
      </c>
      <c r="I141" s="74">
        <f t="shared" si="104"/>
        <v>9047.8410000000003</v>
      </c>
      <c r="J141" s="74">
        <v>9590.7114600000004</v>
      </c>
      <c r="K141" s="74">
        <f>ROUND('26.08.22'!K141*1.04,2)</f>
        <v>16519.63</v>
      </c>
      <c r="L141" s="75" t="s">
        <v>137</v>
      </c>
      <c r="M141" s="83">
        <v>30</v>
      </c>
      <c r="N141" s="76"/>
      <c r="O141" s="78">
        <f t="shared" si="105"/>
        <v>4955.8900000000003</v>
      </c>
      <c r="P141" s="78">
        <f t="shared" si="106"/>
        <v>18832.38</v>
      </c>
      <c r="Q141" s="78">
        <f t="shared" si="107"/>
        <v>16354.433700000001</v>
      </c>
      <c r="R141" s="79">
        <f t="shared" si="108"/>
        <v>56662.333700000003</v>
      </c>
      <c r="S141" s="78">
        <f t="shared" si="109"/>
        <v>4129.91</v>
      </c>
      <c r="T141" s="78">
        <v>0.99</v>
      </c>
      <c r="U141" s="78">
        <f t="shared" si="110"/>
        <v>60792.243700000006</v>
      </c>
      <c r="V141" s="79">
        <f t="shared" si="67"/>
        <v>49296.230319000002</v>
      </c>
      <c r="W141" s="78">
        <f t="shared" si="68"/>
        <v>52889.252019000007</v>
      </c>
      <c r="X141" s="80">
        <v>3</v>
      </c>
      <c r="Y141" s="78">
        <v>3</v>
      </c>
      <c r="Z141" s="80">
        <f t="shared" si="69"/>
        <v>0</v>
      </c>
      <c r="AA141" s="80">
        <f t="shared" si="70"/>
        <v>0</v>
      </c>
      <c r="AB141" s="80">
        <f t="shared" si="71"/>
        <v>49558.89</v>
      </c>
      <c r="AC141" s="80"/>
      <c r="AD141">
        <v>0.1</v>
      </c>
      <c r="AE141" s="78">
        <f t="shared" si="72"/>
        <v>1651.9630000000002</v>
      </c>
      <c r="AF141">
        <v>0.1</v>
      </c>
      <c r="AG141" s="78">
        <f t="shared" si="111"/>
        <v>1651.9630000000002</v>
      </c>
    </row>
    <row r="142" spans="1:33" x14ac:dyDescent="0.2">
      <c r="A142" s="102"/>
      <c r="B142" s="107"/>
      <c r="C142" s="107" t="s">
        <v>138</v>
      </c>
      <c r="D142" s="109">
        <v>1</v>
      </c>
      <c r="E142" s="73">
        <v>4500</v>
      </c>
      <c r="F142" s="74">
        <f t="shared" si="103"/>
        <v>4950</v>
      </c>
      <c r="G142" s="74">
        <f>F142*1.1*1.1+0.5</f>
        <v>5990.0000000000009</v>
      </c>
      <c r="H142" s="74">
        <v>7402.79</v>
      </c>
      <c r="I142" s="74">
        <f t="shared" si="104"/>
        <v>8143.0690000000004</v>
      </c>
      <c r="J142" s="74">
        <v>8631.6531400000003</v>
      </c>
      <c r="K142" s="74">
        <f>ROUND('26.08.22'!K142*1.04,2)</f>
        <v>12389.73</v>
      </c>
      <c r="L142" s="75" t="s">
        <v>139</v>
      </c>
      <c r="M142" s="76">
        <v>0</v>
      </c>
      <c r="N142" s="76"/>
      <c r="O142" s="78">
        <f>ROUND((K142*M142/100),2)</f>
        <v>0</v>
      </c>
      <c r="P142" s="78">
        <f t="shared" si="106"/>
        <v>14124.29</v>
      </c>
      <c r="Q142" s="78">
        <f t="shared" si="107"/>
        <v>6690.4542000000001</v>
      </c>
      <c r="R142" s="79">
        <f t="shared" si="108"/>
        <v>33204.474199999997</v>
      </c>
      <c r="S142" s="78">
        <f t="shared" si="109"/>
        <v>3097.43</v>
      </c>
      <c r="T142" s="78">
        <v>0.54</v>
      </c>
      <c r="U142" s="78">
        <f t="shared" si="110"/>
        <v>36301.904199999997</v>
      </c>
      <c r="V142" s="79">
        <f t="shared" si="67"/>
        <v>28887.892553999998</v>
      </c>
      <c r="W142" s="78">
        <f t="shared" si="68"/>
        <v>31582.656653999999</v>
      </c>
      <c r="X142" s="80">
        <v>3</v>
      </c>
      <c r="Y142" s="78"/>
      <c r="Z142" s="80">
        <f t="shared" si="69"/>
        <v>3</v>
      </c>
      <c r="AA142" s="80">
        <f t="shared" si="70"/>
        <v>37169.19</v>
      </c>
      <c r="AB142" s="80">
        <f t="shared" si="71"/>
        <v>0</v>
      </c>
      <c r="AC142" s="80"/>
      <c r="AD142">
        <v>0.1</v>
      </c>
      <c r="AE142" s="78">
        <f t="shared" si="72"/>
        <v>1238.973</v>
      </c>
      <c r="AF142">
        <v>0.1</v>
      </c>
      <c r="AG142" s="78">
        <f t="shared" si="111"/>
        <v>1238.973</v>
      </c>
    </row>
    <row r="143" spans="1:33" x14ac:dyDescent="0.2">
      <c r="A143" s="107"/>
      <c r="B143" s="181"/>
      <c r="C143" s="181" t="s">
        <v>140</v>
      </c>
      <c r="D143" s="111">
        <f>SUM(D137:D142)</f>
        <v>6</v>
      </c>
      <c r="E143" s="89">
        <f t="shared" ref="E143:I143" si="112">SUM(E137:E142)</f>
        <v>33000</v>
      </c>
      <c r="F143" s="89">
        <f t="shared" si="112"/>
        <v>36300</v>
      </c>
      <c r="G143" s="89">
        <f t="shared" si="112"/>
        <v>43924</v>
      </c>
      <c r="H143" s="89">
        <f t="shared" si="112"/>
        <v>54287.079999999994</v>
      </c>
      <c r="I143" s="89">
        <f t="shared" si="112"/>
        <v>59715.788</v>
      </c>
      <c r="J143" s="89">
        <v>53708.023820000002</v>
      </c>
      <c r="K143" s="90">
        <f>SUM(K137:K142)</f>
        <v>96364.5</v>
      </c>
      <c r="L143" s="90"/>
      <c r="M143" s="90"/>
      <c r="N143" s="90">
        <f t="shared" ref="N143" si="113">SUM(N137:N142)</f>
        <v>0</v>
      </c>
      <c r="O143" s="90">
        <f>SUM(O137:O142)</f>
        <v>20236.54</v>
      </c>
      <c r="P143" s="90">
        <f t="shared" ref="P143:W143" si="114">SUM(P137:P142)</f>
        <v>109855.54000000001</v>
      </c>
      <c r="Q143" s="90">
        <f t="shared" si="114"/>
        <v>97741.135500000004</v>
      </c>
      <c r="R143" s="90">
        <f t="shared" si="114"/>
        <v>324197.71549999999</v>
      </c>
      <c r="S143" s="90">
        <f t="shared" si="114"/>
        <v>24091.14</v>
      </c>
      <c r="T143" s="90">
        <f t="shared" si="114"/>
        <v>5.84</v>
      </c>
      <c r="U143" s="90">
        <f t="shared" si="114"/>
        <v>348288.85550000001</v>
      </c>
      <c r="V143" s="90">
        <f t="shared" si="114"/>
        <v>282052.01248499996</v>
      </c>
      <c r="W143" s="90">
        <f t="shared" si="114"/>
        <v>303011.30428500002</v>
      </c>
      <c r="X143" s="80"/>
      <c r="Y143" s="90"/>
      <c r="Z143" s="80"/>
      <c r="AA143" s="80">
        <f t="shared" si="70"/>
        <v>0</v>
      </c>
      <c r="AB143" s="80">
        <f t="shared" si="71"/>
        <v>0</v>
      </c>
      <c r="AC143" s="91"/>
      <c r="AD143">
        <v>0.1</v>
      </c>
      <c r="AE143" s="90">
        <f t="shared" si="72"/>
        <v>9636.4500000000007</v>
      </c>
      <c r="AF143">
        <v>0.1</v>
      </c>
      <c r="AG143" s="90">
        <f t="shared" si="111"/>
        <v>9636.4500000000007</v>
      </c>
    </row>
    <row r="144" spans="1:33" ht="24.75" customHeight="1" x14ac:dyDescent="0.2">
      <c r="A144" s="71" t="s">
        <v>141</v>
      </c>
      <c r="B144" s="97"/>
      <c r="C144" s="97"/>
      <c r="D144" s="94"/>
      <c r="E144" s="95"/>
      <c r="F144" s="95"/>
      <c r="G144" s="95"/>
      <c r="H144" s="95"/>
      <c r="I144" s="95"/>
      <c r="J144" s="95"/>
      <c r="K144" s="90"/>
      <c r="L144" s="90"/>
      <c r="M144" s="90"/>
      <c r="N144" s="90"/>
      <c r="O144" s="90"/>
      <c r="P144" s="130">
        <v>1.1399999999999999</v>
      </c>
      <c r="Q144" s="90"/>
      <c r="R144" s="90"/>
      <c r="S144" s="90"/>
      <c r="T144" s="90"/>
      <c r="U144" s="90"/>
      <c r="V144" s="79"/>
      <c r="W144" s="90"/>
      <c r="X144" s="80"/>
      <c r="Y144" s="90"/>
      <c r="Z144" s="80"/>
      <c r="AA144" s="80">
        <f t="shared" si="70"/>
        <v>0</v>
      </c>
      <c r="AB144" s="80">
        <f t="shared" si="71"/>
        <v>0</v>
      </c>
      <c r="AC144" s="91"/>
      <c r="AD144">
        <v>0.1</v>
      </c>
      <c r="AE144" s="90"/>
      <c r="AG144" s="90"/>
    </row>
    <row r="145" spans="1:33" x14ac:dyDescent="0.2">
      <c r="A145" s="102"/>
      <c r="B145" s="87"/>
      <c r="C145" s="87" t="s">
        <v>133</v>
      </c>
      <c r="D145" s="72">
        <v>1</v>
      </c>
      <c r="E145" s="73">
        <v>6500</v>
      </c>
      <c r="F145" s="74">
        <f t="shared" ref="F145:F150" si="115">ROUND(E145*F$12,2)</f>
        <v>7150</v>
      </c>
      <c r="G145" s="74">
        <f>F145*1.1*1.1+0.5</f>
        <v>8652.0000000000018</v>
      </c>
      <c r="H145" s="74">
        <v>10692.91</v>
      </c>
      <c r="I145" s="74">
        <f t="shared" ref="I145:I150" si="116">H145*$I$12</f>
        <v>11762.201000000001</v>
      </c>
      <c r="J145" s="74">
        <v>12467.933060000001</v>
      </c>
      <c r="K145" s="74">
        <f>ROUND('26.08.22'!K145*1.04,2)</f>
        <v>20649.54</v>
      </c>
      <c r="L145" s="75" t="s">
        <v>145</v>
      </c>
      <c r="M145" s="76">
        <v>30</v>
      </c>
      <c r="N145" s="76"/>
      <c r="O145" s="78">
        <f t="shared" si="105"/>
        <v>6194.86</v>
      </c>
      <c r="P145" s="78">
        <f t="shared" si="106"/>
        <v>23540.48</v>
      </c>
      <c r="Q145" s="78">
        <f t="shared" si="107"/>
        <v>29735.337599999999</v>
      </c>
      <c r="R145" s="79">
        <f t="shared" si="108"/>
        <v>80120.217600000004</v>
      </c>
      <c r="S145" s="78">
        <f t="shared" si="109"/>
        <v>5162.3900000000003</v>
      </c>
      <c r="T145" s="78">
        <v>1.44</v>
      </c>
      <c r="U145" s="78">
        <f t="shared" si="110"/>
        <v>85282.607600000003</v>
      </c>
      <c r="V145" s="79">
        <f t="shared" si="67"/>
        <v>69704.589311999996</v>
      </c>
      <c r="W145" s="78">
        <f t="shared" si="68"/>
        <v>74195.868612000006</v>
      </c>
      <c r="X145" s="80">
        <v>3</v>
      </c>
      <c r="Y145" s="78">
        <v>3</v>
      </c>
      <c r="Z145" s="80">
        <f t="shared" si="69"/>
        <v>0</v>
      </c>
      <c r="AA145" s="80">
        <f t="shared" si="70"/>
        <v>0</v>
      </c>
      <c r="AB145" s="80">
        <f t="shared" si="71"/>
        <v>61948.62</v>
      </c>
      <c r="AC145" s="80"/>
      <c r="AD145">
        <v>0.1</v>
      </c>
      <c r="AE145" s="78">
        <f t="shared" si="72"/>
        <v>2064.9540000000002</v>
      </c>
      <c r="AF145">
        <v>0.1</v>
      </c>
      <c r="AG145" s="78">
        <f t="shared" si="111"/>
        <v>2064.9540000000002</v>
      </c>
    </row>
    <row r="146" spans="1:33" ht="29.25" customHeight="1" x14ac:dyDescent="0.2">
      <c r="A146" s="102"/>
      <c r="B146" s="107"/>
      <c r="C146" s="131" t="s">
        <v>136</v>
      </c>
      <c r="D146" s="109">
        <v>1</v>
      </c>
      <c r="E146" s="73">
        <v>5000</v>
      </c>
      <c r="F146" s="74">
        <f t="shared" si="115"/>
        <v>5500</v>
      </c>
      <c r="G146" s="74">
        <f>F146*1.1*1.1</f>
        <v>6655.0000000000018</v>
      </c>
      <c r="H146" s="74">
        <v>8225.31</v>
      </c>
      <c r="I146" s="74">
        <f t="shared" si="116"/>
        <v>9047.8410000000003</v>
      </c>
      <c r="J146" s="74">
        <v>9590.7114600000004</v>
      </c>
      <c r="K146" s="74">
        <f>ROUND('26.08.22'!K146*1.04,2)</f>
        <v>16519.63</v>
      </c>
      <c r="L146" s="75" t="s">
        <v>143</v>
      </c>
      <c r="M146" s="83">
        <v>30</v>
      </c>
      <c r="N146" s="76"/>
      <c r="O146" s="78">
        <f t="shared" si="105"/>
        <v>4955.8900000000003</v>
      </c>
      <c r="P146" s="78">
        <f t="shared" si="106"/>
        <v>18832.38</v>
      </c>
      <c r="Q146" s="78">
        <f t="shared" si="107"/>
        <v>16354.433700000001</v>
      </c>
      <c r="R146" s="79">
        <f t="shared" si="108"/>
        <v>56662.333700000003</v>
      </c>
      <c r="S146" s="78">
        <f t="shared" si="109"/>
        <v>4129.91</v>
      </c>
      <c r="T146" s="78">
        <v>0.99</v>
      </c>
      <c r="U146" s="78">
        <f t="shared" si="110"/>
        <v>60792.243700000006</v>
      </c>
      <c r="V146" s="79">
        <f t="shared" si="67"/>
        <v>49296.230319000002</v>
      </c>
      <c r="W146" s="78">
        <f t="shared" si="68"/>
        <v>52889.252019000007</v>
      </c>
      <c r="X146" s="80">
        <v>3</v>
      </c>
      <c r="Y146" s="78">
        <v>3</v>
      </c>
      <c r="Z146" s="80">
        <f t="shared" si="69"/>
        <v>0</v>
      </c>
      <c r="AA146" s="80">
        <f t="shared" si="70"/>
        <v>0</v>
      </c>
      <c r="AB146" s="80">
        <f t="shared" si="71"/>
        <v>49558.89</v>
      </c>
      <c r="AC146" s="80"/>
      <c r="AD146">
        <v>0.1</v>
      </c>
      <c r="AE146" s="78">
        <f t="shared" si="72"/>
        <v>1651.9630000000002</v>
      </c>
      <c r="AF146">
        <v>0.1</v>
      </c>
      <c r="AG146" s="78">
        <f t="shared" si="111"/>
        <v>1651.9630000000002</v>
      </c>
    </row>
    <row r="147" spans="1:33" ht="26.25" customHeight="1" x14ac:dyDescent="0.2">
      <c r="A147" s="102"/>
      <c r="B147" s="107"/>
      <c r="C147" s="131" t="s">
        <v>136</v>
      </c>
      <c r="D147" s="109">
        <v>1</v>
      </c>
      <c r="E147" s="73">
        <v>5000</v>
      </c>
      <c r="F147" s="74">
        <f t="shared" si="115"/>
        <v>5500</v>
      </c>
      <c r="G147" s="74">
        <f>F147*1.1*1.1</f>
        <v>6655.0000000000018</v>
      </c>
      <c r="H147" s="74">
        <v>8225.31</v>
      </c>
      <c r="I147" s="74">
        <f t="shared" si="116"/>
        <v>9047.8410000000003</v>
      </c>
      <c r="J147" s="74">
        <v>9590.7114600000004</v>
      </c>
      <c r="K147" s="74">
        <f>ROUND('26.08.22'!K147*1.04,2)</f>
        <v>16519.63</v>
      </c>
      <c r="L147" s="75" t="s">
        <v>144</v>
      </c>
      <c r="M147" s="83">
        <v>30</v>
      </c>
      <c r="N147" s="76"/>
      <c r="O147" s="78">
        <f t="shared" si="105"/>
        <v>4955.8900000000003</v>
      </c>
      <c r="P147" s="78">
        <f t="shared" si="106"/>
        <v>18832.38</v>
      </c>
      <c r="Q147" s="78">
        <f t="shared" si="107"/>
        <v>16354.433700000001</v>
      </c>
      <c r="R147" s="79">
        <f t="shared" si="108"/>
        <v>56662.333700000003</v>
      </c>
      <c r="S147" s="78">
        <f t="shared" si="109"/>
        <v>4129.91</v>
      </c>
      <c r="T147" s="78">
        <v>0.99</v>
      </c>
      <c r="U147" s="78">
        <f t="shared" si="110"/>
        <v>60792.243700000006</v>
      </c>
      <c r="V147" s="79">
        <f t="shared" si="67"/>
        <v>49296.230319000002</v>
      </c>
      <c r="W147" s="78">
        <f t="shared" si="68"/>
        <v>52889.252019000007</v>
      </c>
      <c r="X147" s="80">
        <v>3</v>
      </c>
      <c r="Y147" s="78"/>
      <c r="Z147" s="80">
        <f t="shared" si="69"/>
        <v>3</v>
      </c>
      <c r="AA147" s="80">
        <f t="shared" si="70"/>
        <v>49558.89</v>
      </c>
      <c r="AB147" s="80">
        <f t="shared" si="71"/>
        <v>0</v>
      </c>
      <c r="AC147" s="80"/>
      <c r="AD147">
        <v>0.1</v>
      </c>
      <c r="AE147" s="78">
        <f t="shared" si="72"/>
        <v>1651.9630000000002</v>
      </c>
      <c r="AF147">
        <v>0.1</v>
      </c>
      <c r="AG147" s="78">
        <f t="shared" si="111"/>
        <v>1651.9630000000002</v>
      </c>
    </row>
    <row r="148" spans="1:33" ht="14.25" customHeight="1" x14ac:dyDescent="0.2">
      <c r="A148" s="102"/>
      <c r="B148" s="107"/>
      <c r="C148" s="122" t="s">
        <v>90</v>
      </c>
      <c r="D148" s="109">
        <v>1</v>
      </c>
      <c r="E148" s="73">
        <v>5000</v>
      </c>
      <c r="F148" s="74">
        <f t="shared" si="115"/>
        <v>5500</v>
      </c>
      <c r="G148" s="74">
        <f>F148*1.1*1.1</f>
        <v>6655.0000000000018</v>
      </c>
      <c r="H148" s="74">
        <v>8225.31</v>
      </c>
      <c r="I148" s="74">
        <f t="shared" si="116"/>
        <v>9047.8410000000003</v>
      </c>
      <c r="J148" s="74">
        <v>9590.7114600000004</v>
      </c>
      <c r="K148" s="74">
        <f>ROUND('26.08.22'!K148*1.04,2)</f>
        <v>16519.63</v>
      </c>
      <c r="L148" s="75" t="s">
        <v>146</v>
      </c>
      <c r="M148" s="76">
        <v>20</v>
      </c>
      <c r="N148" s="76"/>
      <c r="O148" s="78">
        <f t="shared" si="105"/>
        <v>3303.93</v>
      </c>
      <c r="P148" s="78">
        <f t="shared" si="106"/>
        <v>18832.38</v>
      </c>
      <c r="Q148" s="78">
        <f t="shared" si="107"/>
        <v>16354.433700000001</v>
      </c>
      <c r="R148" s="79">
        <f t="shared" si="108"/>
        <v>55010.373700000004</v>
      </c>
      <c r="S148" s="78">
        <f t="shared" si="109"/>
        <v>4129.91</v>
      </c>
      <c r="T148" s="78">
        <v>0.99</v>
      </c>
      <c r="U148" s="78">
        <f t="shared" si="110"/>
        <v>59140.2837</v>
      </c>
      <c r="V148" s="79">
        <f t="shared" si="67"/>
        <v>47859.025119000005</v>
      </c>
      <c r="W148" s="78">
        <f t="shared" si="68"/>
        <v>51452.046819000003</v>
      </c>
      <c r="X148" s="80">
        <v>3</v>
      </c>
      <c r="Y148" s="78"/>
      <c r="Z148" s="80">
        <f t="shared" si="69"/>
        <v>3</v>
      </c>
      <c r="AA148" s="80">
        <f t="shared" si="70"/>
        <v>49558.89</v>
      </c>
      <c r="AB148" s="80">
        <f t="shared" si="71"/>
        <v>0</v>
      </c>
      <c r="AC148" s="80"/>
      <c r="AD148">
        <v>0.1</v>
      </c>
      <c r="AE148" s="78">
        <f t="shared" si="72"/>
        <v>1651.9630000000002</v>
      </c>
      <c r="AF148">
        <v>0.1</v>
      </c>
      <c r="AG148" s="78">
        <f t="shared" si="111"/>
        <v>1651.9630000000002</v>
      </c>
    </row>
    <row r="149" spans="1:33" ht="14.25" customHeight="1" x14ac:dyDescent="0.2">
      <c r="A149" s="102"/>
      <c r="B149" s="107"/>
      <c r="C149" s="107" t="s">
        <v>48</v>
      </c>
      <c r="D149" s="109">
        <v>1</v>
      </c>
      <c r="E149" s="73">
        <v>5000</v>
      </c>
      <c r="F149" s="74">
        <f t="shared" si="115"/>
        <v>5500</v>
      </c>
      <c r="G149" s="74">
        <f>F149*1.1*1.1</f>
        <v>6655.0000000000018</v>
      </c>
      <c r="H149" s="74">
        <v>8225.31</v>
      </c>
      <c r="I149" s="74">
        <f t="shared" si="116"/>
        <v>9047.8410000000003</v>
      </c>
      <c r="J149" s="74">
        <v>9590.7114600000004</v>
      </c>
      <c r="K149" s="74">
        <f>ROUND('26.08.22'!K149*1.04,2)</f>
        <v>13766.34</v>
      </c>
      <c r="L149" s="75" t="s">
        <v>234</v>
      </c>
      <c r="M149" s="76">
        <v>30</v>
      </c>
      <c r="N149" s="76"/>
      <c r="O149" s="78">
        <f t="shared" si="105"/>
        <v>4129.8999999999996</v>
      </c>
      <c r="P149" s="78">
        <f t="shared" si="106"/>
        <v>15693.63</v>
      </c>
      <c r="Q149" s="78">
        <f t="shared" si="107"/>
        <v>12252.042600000001</v>
      </c>
      <c r="R149" s="79">
        <f t="shared" si="108"/>
        <v>45841.912599999996</v>
      </c>
      <c r="S149" s="78">
        <f t="shared" si="109"/>
        <v>3441.59</v>
      </c>
      <c r="T149" s="78">
        <v>0.89</v>
      </c>
      <c r="U149" s="78">
        <f t="shared" si="110"/>
        <v>49283.502599999993</v>
      </c>
      <c r="V149" s="79">
        <f t="shared" si="67"/>
        <v>39882.463961999994</v>
      </c>
      <c r="W149" s="78">
        <f t="shared" si="68"/>
        <v>42876.647261999991</v>
      </c>
      <c r="X149" s="80">
        <v>3</v>
      </c>
      <c r="Y149" s="78">
        <v>3</v>
      </c>
      <c r="Z149" s="80">
        <f t="shared" si="69"/>
        <v>0</v>
      </c>
      <c r="AA149" s="80">
        <f t="shared" si="70"/>
        <v>0</v>
      </c>
      <c r="AB149" s="80">
        <f t="shared" si="71"/>
        <v>41299.020000000004</v>
      </c>
      <c r="AC149" s="80"/>
      <c r="AD149">
        <v>0.1</v>
      </c>
      <c r="AE149" s="78">
        <f t="shared" si="72"/>
        <v>1376.634</v>
      </c>
      <c r="AF149">
        <v>0.1</v>
      </c>
      <c r="AG149" s="78">
        <f t="shared" si="111"/>
        <v>1376.634</v>
      </c>
    </row>
    <row r="150" spans="1:33" x14ac:dyDescent="0.2">
      <c r="A150" s="102"/>
      <c r="B150" s="107"/>
      <c r="C150" s="107" t="s">
        <v>138</v>
      </c>
      <c r="D150" s="109">
        <v>1</v>
      </c>
      <c r="E150" s="73">
        <v>4500</v>
      </c>
      <c r="F150" s="74">
        <f t="shared" si="115"/>
        <v>4950</v>
      </c>
      <c r="G150" s="74">
        <f>F150*1.1*1.1+0.5</f>
        <v>5990.0000000000009</v>
      </c>
      <c r="H150" s="74">
        <v>7402.79</v>
      </c>
      <c r="I150" s="74">
        <f t="shared" si="116"/>
        <v>8143.0690000000004</v>
      </c>
      <c r="J150" s="74">
        <v>8631.6531400000003</v>
      </c>
      <c r="K150" s="74">
        <f>ROUND('26.08.22'!K150*1.04,2)</f>
        <v>12389.73</v>
      </c>
      <c r="L150" s="75" t="s">
        <v>147</v>
      </c>
      <c r="M150" s="76">
        <v>0</v>
      </c>
      <c r="N150" s="76"/>
      <c r="O150" s="78">
        <f t="shared" si="105"/>
        <v>0</v>
      </c>
      <c r="P150" s="78">
        <f t="shared" si="106"/>
        <v>14124.29</v>
      </c>
      <c r="Q150" s="78">
        <f t="shared" si="107"/>
        <v>6690.4542000000001</v>
      </c>
      <c r="R150" s="79">
        <f t="shared" si="108"/>
        <v>33204.474199999997</v>
      </c>
      <c r="S150" s="78">
        <f t="shared" si="109"/>
        <v>3097.43</v>
      </c>
      <c r="T150" s="78">
        <v>0.54</v>
      </c>
      <c r="U150" s="78">
        <f t="shared" si="110"/>
        <v>36301.904199999997</v>
      </c>
      <c r="V150" s="79">
        <f t="shared" si="67"/>
        <v>28887.892553999998</v>
      </c>
      <c r="W150" s="78">
        <f t="shared" si="68"/>
        <v>31582.656653999999</v>
      </c>
      <c r="X150" s="80">
        <v>3</v>
      </c>
      <c r="Y150" s="78">
        <v>3</v>
      </c>
      <c r="Z150" s="80">
        <f t="shared" si="69"/>
        <v>0</v>
      </c>
      <c r="AA150" s="80">
        <f t="shared" si="70"/>
        <v>0</v>
      </c>
      <c r="AB150" s="80">
        <f t="shared" si="71"/>
        <v>37169.19</v>
      </c>
      <c r="AC150" s="80"/>
      <c r="AD150">
        <v>0.1</v>
      </c>
      <c r="AE150" s="78">
        <f t="shared" si="72"/>
        <v>1238.973</v>
      </c>
      <c r="AF150">
        <v>0.1</v>
      </c>
      <c r="AG150" s="78">
        <f t="shared" si="111"/>
        <v>1238.973</v>
      </c>
    </row>
    <row r="151" spans="1:33" x14ac:dyDescent="0.2">
      <c r="A151" s="107"/>
      <c r="B151" s="181"/>
      <c r="C151" s="181" t="s">
        <v>140</v>
      </c>
      <c r="D151" s="88">
        <f>SUM(D145:D150)</f>
        <v>6</v>
      </c>
      <c r="E151" s="95">
        <f t="shared" ref="E151:I151" si="117">SUM(E145:E150)</f>
        <v>31000</v>
      </c>
      <c r="F151" s="95">
        <f t="shared" si="117"/>
        <v>34100</v>
      </c>
      <c r="G151" s="95">
        <f t="shared" si="117"/>
        <v>41262.000000000007</v>
      </c>
      <c r="H151" s="95">
        <f t="shared" si="117"/>
        <v>50996.939999999995</v>
      </c>
      <c r="I151" s="95">
        <f t="shared" si="117"/>
        <v>56096.634000000005</v>
      </c>
      <c r="J151" s="95">
        <v>40281.00912000001</v>
      </c>
      <c r="K151" s="90">
        <f>SUM(K145:K150)</f>
        <v>96364.5</v>
      </c>
      <c r="L151" s="90"/>
      <c r="M151" s="90"/>
      <c r="N151" s="90">
        <f t="shared" ref="N151" si="118">SUM(N145:N150)</f>
        <v>0</v>
      </c>
      <c r="O151" s="90">
        <f>SUM(O145:O150)</f>
        <v>23540.47</v>
      </c>
      <c r="P151" s="90">
        <f t="shared" ref="P151:W151" si="119">SUM(P145:P150)</f>
        <v>109855.54000000001</v>
      </c>
      <c r="Q151" s="90">
        <f t="shared" si="119"/>
        <v>97741.135500000004</v>
      </c>
      <c r="R151" s="90">
        <f t="shared" si="119"/>
        <v>327501.64549999998</v>
      </c>
      <c r="S151" s="90">
        <f t="shared" si="119"/>
        <v>24091.14</v>
      </c>
      <c r="T151" s="90">
        <f t="shared" si="119"/>
        <v>5.84</v>
      </c>
      <c r="U151" s="90">
        <f t="shared" si="119"/>
        <v>351592.7855</v>
      </c>
      <c r="V151" s="90">
        <f t="shared" si="119"/>
        <v>284926.43158500001</v>
      </c>
      <c r="W151" s="90">
        <f t="shared" si="119"/>
        <v>305885.72338500002</v>
      </c>
      <c r="X151" s="80"/>
      <c r="Y151" s="90"/>
      <c r="Z151" s="80"/>
      <c r="AA151" s="80">
        <f t="shared" si="70"/>
        <v>0</v>
      </c>
      <c r="AB151" s="80">
        <f t="shared" si="71"/>
        <v>0</v>
      </c>
      <c r="AC151" s="91"/>
      <c r="AD151">
        <v>0.1</v>
      </c>
      <c r="AE151" s="90">
        <f t="shared" si="72"/>
        <v>9636.4500000000007</v>
      </c>
      <c r="AF151">
        <v>0.1</v>
      </c>
      <c r="AG151" s="90">
        <f t="shared" si="111"/>
        <v>9636.4500000000007</v>
      </c>
    </row>
    <row r="152" spans="1:33" ht="32.25" customHeight="1" x14ac:dyDescent="0.2">
      <c r="A152" s="71" t="s">
        <v>148</v>
      </c>
      <c r="B152" s="129"/>
      <c r="C152" s="129"/>
      <c r="D152" s="92"/>
      <c r="E152" s="182"/>
      <c r="F152" s="182"/>
      <c r="G152" s="182"/>
      <c r="H152" s="182"/>
      <c r="I152" s="182"/>
      <c r="J152" s="182"/>
      <c r="K152" s="90"/>
      <c r="L152" s="90"/>
      <c r="M152" s="90"/>
      <c r="N152" s="90"/>
      <c r="O152" s="90"/>
      <c r="P152" s="130">
        <v>1.1399999999999999</v>
      </c>
      <c r="Q152" s="90"/>
      <c r="R152" s="90"/>
      <c r="S152" s="90"/>
      <c r="T152" s="130"/>
      <c r="U152" s="90"/>
      <c r="V152" s="79"/>
      <c r="W152" s="90"/>
      <c r="X152" s="80"/>
      <c r="Y152" s="90"/>
      <c r="Z152" s="80"/>
      <c r="AA152" s="80">
        <f t="shared" si="70"/>
        <v>0</v>
      </c>
      <c r="AB152" s="80">
        <f t="shared" si="71"/>
        <v>0</v>
      </c>
      <c r="AC152" s="91"/>
      <c r="AD152">
        <v>0.1</v>
      </c>
      <c r="AE152" s="90"/>
      <c r="AG152" s="90"/>
    </row>
    <row r="153" spans="1:33" x14ac:dyDescent="0.2">
      <c r="A153" s="183"/>
      <c r="B153" s="87"/>
      <c r="C153" s="87" t="s">
        <v>133</v>
      </c>
      <c r="D153" s="72">
        <v>1</v>
      </c>
      <c r="E153" s="73">
        <v>7500</v>
      </c>
      <c r="F153" s="74">
        <f t="shared" ref="F153:F159" si="120">ROUND(E153*F$12,2)</f>
        <v>8250</v>
      </c>
      <c r="G153" s="74">
        <f>F153*1.1*1.1+0.5</f>
        <v>9983</v>
      </c>
      <c r="H153" s="74">
        <v>12337.98</v>
      </c>
      <c r="I153" s="74">
        <f t="shared" ref="I153:I159" si="121">H153*$I$12</f>
        <v>13571.778</v>
      </c>
      <c r="J153" s="74">
        <v>14386.084680000002</v>
      </c>
      <c r="K153" s="74">
        <f>ROUND('26.08.22'!K153*1.04,2)</f>
        <v>20649.54</v>
      </c>
      <c r="L153" s="75" t="s">
        <v>149</v>
      </c>
      <c r="M153" s="69">
        <v>30</v>
      </c>
      <c r="N153" s="76"/>
      <c r="O153" s="78">
        <f t="shared" si="105"/>
        <v>6194.86</v>
      </c>
      <c r="P153" s="78">
        <f t="shared" si="106"/>
        <v>23540.48</v>
      </c>
      <c r="Q153" s="78">
        <f t="shared" si="107"/>
        <v>29735.337599999999</v>
      </c>
      <c r="R153" s="79">
        <f t="shared" si="108"/>
        <v>80120.217600000004</v>
      </c>
      <c r="S153" s="78">
        <f t="shared" si="109"/>
        <v>5162.3900000000003</v>
      </c>
      <c r="T153" s="78">
        <v>1.44</v>
      </c>
      <c r="U153" s="78">
        <f t="shared" si="110"/>
        <v>85282.607600000003</v>
      </c>
      <c r="V153" s="79">
        <f t="shared" si="67"/>
        <v>69704.589311999996</v>
      </c>
      <c r="W153" s="78">
        <f t="shared" si="68"/>
        <v>74195.868612000006</v>
      </c>
      <c r="X153" s="80">
        <v>3</v>
      </c>
      <c r="Y153" s="78">
        <v>3</v>
      </c>
      <c r="Z153" s="80">
        <f t="shared" si="69"/>
        <v>0</v>
      </c>
      <c r="AA153" s="80">
        <f t="shared" si="70"/>
        <v>0</v>
      </c>
      <c r="AB153" s="80">
        <f t="shared" si="71"/>
        <v>61948.62</v>
      </c>
      <c r="AC153" s="80"/>
      <c r="AD153">
        <v>0.1</v>
      </c>
      <c r="AE153" s="78">
        <f t="shared" si="72"/>
        <v>2064.9540000000002</v>
      </c>
      <c r="AF153">
        <v>0.1</v>
      </c>
      <c r="AG153" s="78">
        <f t="shared" si="111"/>
        <v>2064.9540000000002</v>
      </c>
    </row>
    <row r="154" spans="1:33" x14ac:dyDescent="0.2">
      <c r="A154" s="102"/>
      <c r="B154" s="107"/>
      <c r="C154" s="107" t="s">
        <v>150</v>
      </c>
      <c r="D154" s="109">
        <v>1</v>
      </c>
      <c r="E154" s="73">
        <v>5000</v>
      </c>
      <c r="F154" s="74">
        <f t="shared" si="120"/>
        <v>5500</v>
      </c>
      <c r="G154" s="74">
        <f>F154*1.1*1.1</f>
        <v>6655.0000000000018</v>
      </c>
      <c r="H154" s="74">
        <v>8225.31</v>
      </c>
      <c r="I154" s="74">
        <f t="shared" si="121"/>
        <v>9047.8410000000003</v>
      </c>
      <c r="J154" s="74">
        <v>9590.7114600000004</v>
      </c>
      <c r="K154" s="74">
        <f>ROUND('26.08.22'!K154*1.04,2)</f>
        <v>16519.63</v>
      </c>
      <c r="L154" s="110" t="s">
        <v>151</v>
      </c>
      <c r="M154" s="76">
        <v>30</v>
      </c>
      <c r="N154" s="76"/>
      <c r="O154" s="78">
        <f t="shared" si="105"/>
        <v>4955.8900000000003</v>
      </c>
      <c r="P154" s="78">
        <f t="shared" si="106"/>
        <v>18832.38</v>
      </c>
      <c r="Q154" s="78">
        <f t="shared" si="107"/>
        <v>16354.433700000001</v>
      </c>
      <c r="R154" s="79">
        <f t="shared" si="108"/>
        <v>56662.333700000003</v>
      </c>
      <c r="S154" s="78">
        <f t="shared" si="109"/>
        <v>4129.91</v>
      </c>
      <c r="T154" s="78">
        <v>0.99</v>
      </c>
      <c r="U154" s="78">
        <f t="shared" si="110"/>
        <v>60792.243700000006</v>
      </c>
      <c r="V154" s="79">
        <f t="shared" si="67"/>
        <v>49296.230319000002</v>
      </c>
      <c r="W154" s="78">
        <f t="shared" si="68"/>
        <v>52889.252019000007</v>
      </c>
      <c r="X154" s="80">
        <v>3</v>
      </c>
      <c r="Y154" s="78">
        <v>3</v>
      </c>
      <c r="Z154" s="80">
        <f t="shared" si="69"/>
        <v>0</v>
      </c>
      <c r="AA154" s="80">
        <f t="shared" si="70"/>
        <v>0</v>
      </c>
      <c r="AB154" s="80">
        <f t="shared" si="71"/>
        <v>49558.89</v>
      </c>
      <c r="AC154" s="80"/>
      <c r="AD154">
        <v>0.1</v>
      </c>
      <c r="AE154" s="78">
        <f t="shared" si="72"/>
        <v>1651.9630000000002</v>
      </c>
      <c r="AF154">
        <v>0.1</v>
      </c>
      <c r="AG154" s="78">
        <f t="shared" si="111"/>
        <v>1651.9630000000002</v>
      </c>
    </row>
    <row r="155" spans="1:33" x14ac:dyDescent="0.2">
      <c r="A155" s="102"/>
      <c r="B155" s="107"/>
      <c r="C155" s="107" t="s">
        <v>48</v>
      </c>
      <c r="D155" s="109">
        <v>1</v>
      </c>
      <c r="E155" s="73">
        <v>5000</v>
      </c>
      <c r="F155" s="74">
        <f t="shared" si="120"/>
        <v>5500</v>
      </c>
      <c r="G155" s="74">
        <f>F155*1.1*1.1</f>
        <v>6655.0000000000018</v>
      </c>
      <c r="H155" s="74">
        <v>8225.31</v>
      </c>
      <c r="I155" s="74">
        <f t="shared" si="121"/>
        <v>9047.8410000000003</v>
      </c>
      <c r="J155" s="74">
        <v>9590.7114600000004</v>
      </c>
      <c r="K155" s="74">
        <f>ROUND('26.08.22'!K155*1.04,2)</f>
        <v>13766.34</v>
      </c>
      <c r="L155" s="75" t="s">
        <v>152</v>
      </c>
      <c r="M155" s="83">
        <v>30</v>
      </c>
      <c r="N155" s="76"/>
      <c r="O155" s="78">
        <f t="shared" si="105"/>
        <v>4129.8999999999996</v>
      </c>
      <c r="P155" s="78">
        <f t="shared" si="106"/>
        <v>15693.63</v>
      </c>
      <c r="Q155" s="78">
        <f t="shared" si="107"/>
        <v>12252.042600000001</v>
      </c>
      <c r="R155" s="79">
        <f t="shared" si="108"/>
        <v>45841.912599999996</v>
      </c>
      <c r="S155" s="78">
        <f t="shared" si="109"/>
        <v>3441.59</v>
      </c>
      <c r="T155" s="78">
        <v>0.89</v>
      </c>
      <c r="U155" s="78">
        <f t="shared" si="110"/>
        <v>49283.502599999993</v>
      </c>
      <c r="V155" s="79">
        <f t="shared" ref="V155:V184" si="122">R155*0.87</f>
        <v>39882.463961999994</v>
      </c>
      <c r="W155" s="78">
        <f t="shared" ref="W155:W184" si="123">U155*0.87</f>
        <v>42876.647261999991</v>
      </c>
      <c r="X155" s="80">
        <v>3</v>
      </c>
      <c r="Y155" s="78">
        <v>3</v>
      </c>
      <c r="Z155" s="80">
        <f t="shared" si="69"/>
        <v>0</v>
      </c>
      <c r="AA155" s="80">
        <f t="shared" si="70"/>
        <v>0</v>
      </c>
      <c r="AB155" s="80">
        <f t="shared" si="71"/>
        <v>41299.020000000004</v>
      </c>
      <c r="AC155" s="80"/>
      <c r="AD155">
        <v>0.1</v>
      </c>
      <c r="AE155" s="78">
        <f t="shared" si="72"/>
        <v>1376.634</v>
      </c>
      <c r="AF155">
        <v>0.1</v>
      </c>
      <c r="AG155" s="78">
        <f t="shared" si="111"/>
        <v>1376.634</v>
      </c>
    </row>
    <row r="156" spans="1:33" x14ac:dyDescent="0.2">
      <c r="A156" s="102"/>
      <c r="B156" s="107"/>
      <c r="C156" s="107" t="s">
        <v>48</v>
      </c>
      <c r="D156" s="109">
        <v>1</v>
      </c>
      <c r="E156" s="73">
        <v>5000</v>
      </c>
      <c r="F156" s="74">
        <f t="shared" si="120"/>
        <v>5500</v>
      </c>
      <c r="G156" s="74">
        <f>F156*1.1*1.1</f>
        <v>6655.0000000000018</v>
      </c>
      <c r="H156" s="74">
        <v>8225.31</v>
      </c>
      <c r="I156" s="74">
        <f t="shared" si="121"/>
        <v>9047.8410000000003</v>
      </c>
      <c r="J156" s="74">
        <v>9590.7114600000004</v>
      </c>
      <c r="K156" s="74">
        <f>ROUND('26.08.22'!K156*1.04,2)</f>
        <v>13766.34</v>
      </c>
      <c r="L156" s="75" t="s">
        <v>153</v>
      </c>
      <c r="M156" s="83">
        <v>30</v>
      </c>
      <c r="N156" s="76"/>
      <c r="O156" s="78">
        <f t="shared" si="105"/>
        <v>4129.8999999999996</v>
      </c>
      <c r="P156" s="78">
        <f t="shared" si="106"/>
        <v>15693.63</v>
      </c>
      <c r="Q156" s="78">
        <f t="shared" si="107"/>
        <v>12252.042600000001</v>
      </c>
      <c r="R156" s="79">
        <f t="shared" si="108"/>
        <v>45841.912599999996</v>
      </c>
      <c r="S156" s="78">
        <f t="shared" si="109"/>
        <v>3441.59</v>
      </c>
      <c r="T156" s="78">
        <v>0.89</v>
      </c>
      <c r="U156" s="78">
        <f t="shared" si="110"/>
        <v>49283.502599999993</v>
      </c>
      <c r="V156" s="79">
        <f t="shared" si="122"/>
        <v>39882.463961999994</v>
      </c>
      <c r="W156" s="78">
        <f t="shared" si="123"/>
        <v>42876.647261999991</v>
      </c>
      <c r="X156" s="80">
        <v>3</v>
      </c>
      <c r="Y156" s="78"/>
      <c r="Z156" s="80">
        <f t="shared" ref="Z156:Z184" si="124">X156-Y156</f>
        <v>3</v>
      </c>
      <c r="AA156" s="80">
        <f t="shared" ref="AA156:AA184" si="125">K156*Z156</f>
        <v>41299.020000000004</v>
      </c>
      <c r="AB156" s="80">
        <f t="shared" ref="AB156:AB184" si="126">K156*Y156</f>
        <v>0</v>
      </c>
      <c r="AC156" s="80"/>
      <c r="AD156">
        <v>0.1</v>
      </c>
      <c r="AE156" s="78">
        <f t="shared" ref="AE156:AE184" si="127">K156*AD156</f>
        <v>1376.634</v>
      </c>
      <c r="AF156">
        <v>0.1</v>
      </c>
      <c r="AG156" s="78">
        <f t="shared" si="111"/>
        <v>1376.634</v>
      </c>
    </row>
    <row r="157" spans="1:33" x14ac:dyDescent="0.2">
      <c r="A157" s="102"/>
      <c r="B157" s="107"/>
      <c r="C157" s="107" t="s">
        <v>150</v>
      </c>
      <c r="D157" s="109">
        <v>1</v>
      </c>
      <c r="E157" s="73">
        <v>5000</v>
      </c>
      <c r="F157" s="74">
        <f t="shared" si="120"/>
        <v>5500</v>
      </c>
      <c r="G157" s="74">
        <f>F157*1.1*1.1</f>
        <v>6655.0000000000018</v>
      </c>
      <c r="H157" s="74">
        <v>8225.31</v>
      </c>
      <c r="I157" s="74">
        <f t="shared" si="121"/>
        <v>9047.8410000000003</v>
      </c>
      <c r="J157" s="74">
        <v>9590.7114600000004</v>
      </c>
      <c r="K157" s="74">
        <f>ROUND('26.08.22'!K157*1.04,2)</f>
        <v>16519.63</v>
      </c>
      <c r="L157" s="75" t="s">
        <v>154</v>
      </c>
      <c r="M157" s="83">
        <v>30</v>
      </c>
      <c r="N157" s="76"/>
      <c r="O157" s="78">
        <f t="shared" si="105"/>
        <v>4955.8900000000003</v>
      </c>
      <c r="P157" s="78">
        <f t="shared" si="106"/>
        <v>18832.38</v>
      </c>
      <c r="Q157" s="78">
        <f t="shared" si="107"/>
        <v>16354.433700000001</v>
      </c>
      <c r="R157" s="79">
        <f t="shared" si="108"/>
        <v>56662.333700000003</v>
      </c>
      <c r="S157" s="78">
        <f t="shared" si="109"/>
        <v>4129.91</v>
      </c>
      <c r="T157" s="78">
        <v>0.99</v>
      </c>
      <c r="U157" s="78">
        <f t="shared" si="110"/>
        <v>60792.243700000006</v>
      </c>
      <c r="V157" s="79">
        <f t="shared" si="122"/>
        <v>49296.230319000002</v>
      </c>
      <c r="W157" s="78">
        <f t="shared" si="123"/>
        <v>52889.252019000007</v>
      </c>
      <c r="X157" s="80">
        <v>3</v>
      </c>
      <c r="Y157" s="78">
        <v>3</v>
      </c>
      <c r="Z157" s="80">
        <f t="shared" si="124"/>
        <v>0</v>
      </c>
      <c r="AA157" s="80">
        <f t="shared" si="125"/>
        <v>0</v>
      </c>
      <c r="AB157" s="80">
        <f t="shared" si="126"/>
        <v>49558.89</v>
      </c>
      <c r="AC157" s="80"/>
      <c r="AD157">
        <v>0.1</v>
      </c>
      <c r="AE157" s="78">
        <f t="shared" si="127"/>
        <v>1651.9630000000002</v>
      </c>
      <c r="AF157">
        <v>0.1</v>
      </c>
      <c r="AG157" s="78">
        <f t="shared" si="111"/>
        <v>1651.9630000000002</v>
      </c>
    </row>
    <row r="158" spans="1:33" hidden="1" x14ac:dyDescent="0.2">
      <c r="A158" s="102"/>
      <c r="B158" s="107"/>
      <c r="C158" s="107" t="s">
        <v>150</v>
      </c>
      <c r="D158" s="109">
        <v>0</v>
      </c>
      <c r="E158" s="73">
        <v>5000</v>
      </c>
      <c r="F158" s="74">
        <f t="shared" si="120"/>
        <v>5500</v>
      </c>
      <c r="G158" s="74">
        <f>F158*1.1*1.1</f>
        <v>6655.0000000000018</v>
      </c>
      <c r="H158" s="74">
        <v>8225.31</v>
      </c>
      <c r="I158" s="74">
        <f t="shared" si="121"/>
        <v>9047.8410000000003</v>
      </c>
      <c r="J158" s="74">
        <v>9590.7114600000004</v>
      </c>
      <c r="K158" s="74">
        <f>ROUND('26.08.22'!K158*1.04,2)</f>
        <v>0</v>
      </c>
      <c r="L158" s="75"/>
      <c r="M158" s="83">
        <v>0</v>
      </c>
      <c r="N158" s="76"/>
      <c r="O158" s="78">
        <f t="shared" si="105"/>
        <v>0</v>
      </c>
      <c r="P158" s="78">
        <f t="shared" si="106"/>
        <v>0</v>
      </c>
      <c r="Q158" s="78">
        <f t="shared" si="107"/>
        <v>0</v>
      </c>
      <c r="R158" s="79">
        <f t="shared" si="108"/>
        <v>0</v>
      </c>
      <c r="S158" s="78">
        <f t="shared" si="109"/>
        <v>0</v>
      </c>
      <c r="T158" s="78">
        <v>0.99</v>
      </c>
      <c r="U158" s="78">
        <f t="shared" si="110"/>
        <v>0</v>
      </c>
      <c r="V158" s="79">
        <f t="shared" si="122"/>
        <v>0</v>
      </c>
      <c r="W158" s="78">
        <f t="shared" si="123"/>
        <v>0</v>
      </c>
      <c r="X158" s="80">
        <v>3</v>
      </c>
      <c r="Y158" s="78">
        <v>3</v>
      </c>
      <c r="Z158" s="80">
        <f t="shared" si="124"/>
        <v>0</v>
      </c>
      <c r="AA158" s="80">
        <f t="shared" si="125"/>
        <v>0</v>
      </c>
      <c r="AB158" s="80">
        <f t="shared" si="126"/>
        <v>0</v>
      </c>
      <c r="AC158" s="80"/>
      <c r="AD158">
        <v>0.1</v>
      </c>
      <c r="AE158" s="78">
        <f t="shared" si="127"/>
        <v>0</v>
      </c>
      <c r="AF158">
        <v>0.1</v>
      </c>
      <c r="AG158" s="78">
        <f t="shared" si="111"/>
        <v>0</v>
      </c>
    </row>
    <row r="159" spans="1:33" x14ac:dyDescent="0.2">
      <c r="A159" s="102"/>
      <c r="B159" s="107"/>
      <c r="C159" s="107" t="s">
        <v>138</v>
      </c>
      <c r="D159" s="109">
        <v>1</v>
      </c>
      <c r="E159" s="73">
        <v>4500</v>
      </c>
      <c r="F159" s="74">
        <f t="shared" si="120"/>
        <v>4950</v>
      </c>
      <c r="G159" s="74">
        <f>F159*1.1*1.1+0.5</f>
        <v>5990.0000000000009</v>
      </c>
      <c r="H159" s="74">
        <v>7402.79</v>
      </c>
      <c r="I159" s="74">
        <f t="shared" si="121"/>
        <v>8143.0690000000004</v>
      </c>
      <c r="J159" s="74">
        <v>8631.6531400000003</v>
      </c>
      <c r="K159" s="74">
        <f>ROUND('26.08.22'!K159*1.04,2)</f>
        <v>12389.73</v>
      </c>
      <c r="L159" s="75" t="s">
        <v>155</v>
      </c>
      <c r="M159" s="76">
        <v>0</v>
      </c>
      <c r="N159" s="76"/>
      <c r="O159" s="78">
        <f t="shared" si="105"/>
        <v>0</v>
      </c>
      <c r="P159" s="78">
        <f t="shared" si="106"/>
        <v>14124.29</v>
      </c>
      <c r="Q159" s="78">
        <f t="shared" si="107"/>
        <v>6690.4542000000001</v>
      </c>
      <c r="R159" s="79">
        <f t="shared" si="108"/>
        <v>33204.474199999997</v>
      </c>
      <c r="S159" s="78">
        <f t="shared" si="109"/>
        <v>3097.43</v>
      </c>
      <c r="T159" s="78">
        <v>0.54</v>
      </c>
      <c r="U159" s="78">
        <f t="shared" si="110"/>
        <v>36301.904199999997</v>
      </c>
      <c r="V159" s="79">
        <f t="shared" si="122"/>
        <v>28887.892553999998</v>
      </c>
      <c r="W159" s="78">
        <f t="shared" si="123"/>
        <v>31582.656653999999</v>
      </c>
      <c r="X159" s="80">
        <v>3</v>
      </c>
      <c r="Y159" s="78">
        <v>3</v>
      </c>
      <c r="Z159" s="80">
        <f t="shared" si="124"/>
        <v>0</v>
      </c>
      <c r="AA159" s="80">
        <f t="shared" si="125"/>
        <v>0</v>
      </c>
      <c r="AB159" s="80">
        <f t="shared" si="126"/>
        <v>37169.19</v>
      </c>
      <c r="AC159" s="80"/>
      <c r="AD159">
        <v>0.1</v>
      </c>
      <c r="AE159" s="78">
        <f t="shared" si="127"/>
        <v>1238.973</v>
      </c>
      <c r="AF159">
        <v>0.1</v>
      </c>
      <c r="AG159" s="78">
        <f t="shared" si="111"/>
        <v>1238.973</v>
      </c>
    </row>
    <row r="160" spans="1:33" x14ac:dyDescent="0.2">
      <c r="A160" s="107"/>
      <c r="B160" s="181"/>
      <c r="C160" s="181" t="s">
        <v>140</v>
      </c>
      <c r="D160" s="111">
        <f>SUM(D153:D159)</f>
        <v>6</v>
      </c>
      <c r="E160" s="89">
        <f t="shared" ref="E160:I160" si="128">SUM(E153:E159)</f>
        <v>37000</v>
      </c>
      <c r="F160" s="89">
        <f t="shared" si="128"/>
        <v>40700</v>
      </c>
      <c r="G160" s="89">
        <f t="shared" si="128"/>
        <v>49248</v>
      </c>
      <c r="H160" s="89">
        <f t="shared" si="128"/>
        <v>60867.319999999992</v>
      </c>
      <c r="I160" s="89">
        <f t="shared" si="128"/>
        <v>66954.051999999996</v>
      </c>
      <c r="J160" s="89">
        <v>42199.160740000007</v>
      </c>
      <c r="K160" s="90">
        <f>SUM(K153:K159)</f>
        <v>93611.209999999992</v>
      </c>
      <c r="L160" s="90"/>
      <c r="M160" s="90"/>
      <c r="N160" s="90">
        <f t="shared" ref="N160" si="129">SUM(N153:N159)</f>
        <v>0</v>
      </c>
      <c r="O160" s="90">
        <f>SUM(O153:O159)</f>
        <v>24366.44</v>
      </c>
      <c r="P160" s="90">
        <f t="shared" ref="P160:W160" si="130">SUM(P153:P159)</f>
        <v>106716.79000000001</v>
      </c>
      <c r="Q160" s="90">
        <f t="shared" si="130"/>
        <v>93638.744399999996</v>
      </c>
      <c r="R160" s="90">
        <f t="shared" si="130"/>
        <v>318333.18439999997</v>
      </c>
      <c r="S160" s="90">
        <f t="shared" si="130"/>
        <v>23402.82</v>
      </c>
      <c r="T160" s="90">
        <f t="shared" si="130"/>
        <v>6.73</v>
      </c>
      <c r="U160" s="90">
        <f t="shared" si="130"/>
        <v>341736.00439999998</v>
      </c>
      <c r="V160" s="90">
        <f t="shared" si="130"/>
        <v>276949.87042799994</v>
      </c>
      <c r="W160" s="90">
        <f t="shared" si="130"/>
        <v>297310.32382799999</v>
      </c>
      <c r="X160" s="80"/>
      <c r="Y160" s="90"/>
      <c r="Z160" s="80"/>
      <c r="AA160" s="80">
        <f t="shared" si="125"/>
        <v>0</v>
      </c>
      <c r="AB160" s="80">
        <f t="shared" si="126"/>
        <v>0</v>
      </c>
      <c r="AC160" s="91"/>
      <c r="AD160">
        <v>0.1</v>
      </c>
      <c r="AE160" s="90">
        <f t="shared" si="127"/>
        <v>9361.1209999999992</v>
      </c>
      <c r="AF160">
        <v>0.1</v>
      </c>
      <c r="AG160" s="90">
        <f t="shared" si="111"/>
        <v>9361.1209999999992</v>
      </c>
    </row>
    <row r="161" spans="1:33" ht="30" customHeight="1" x14ac:dyDescent="0.2">
      <c r="A161" s="71" t="s">
        <v>156</v>
      </c>
      <c r="B161" s="97"/>
      <c r="C161" s="97"/>
      <c r="D161" s="94"/>
      <c r="E161" s="95"/>
      <c r="F161" s="95"/>
      <c r="G161" s="95"/>
      <c r="H161" s="95"/>
      <c r="I161" s="95"/>
      <c r="J161" s="95"/>
      <c r="K161" s="90"/>
      <c r="L161" s="90"/>
      <c r="M161" s="90"/>
      <c r="N161" s="90"/>
      <c r="O161" s="90"/>
      <c r="P161" s="130">
        <v>1.1399999999999999</v>
      </c>
      <c r="Q161" s="90"/>
      <c r="R161" s="79"/>
      <c r="S161" s="90"/>
      <c r="T161" s="130"/>
      <c r="U161" s="90"/>
      <c r="V161" s="79"/>
      <c r="W161" s="90"/>
      <c r="X161" s="80"/>
      <c r="Y161" s="90"/>
      <c r="Z161" s="80"/>
      <c r="AA161" s="80">
        <f t="shared" si="125"/>
        <v>0</v>
      </c>
      <c r="AB161" s="80">
        <f t="shared" si="126"/>
        <v>0</v>
      </c>
      <c r="AC161" s="91"/>
      <c r="AD161">
        <v>0.1</v>
      </c>
      <c r="AE161" s="90"/>
      <c r="AG161" s="90"/>
    </row>
    <row r="162" spans="1:33" x14ac:dyDescent="0.2">
      <c r="A162" s="133"/>
      <c r="B162" s="87"/>
      <c r="C162" s="87" t="s">
        <v>133</v>
      </c>
      <c r="D162" s="72">
        <v>1</v>
      </c>
      <c r="E162" s="73">
        <v>7500</v>
      </c>
      <c r="F162" s="74">
        <f t="shared" ref="F162:F168" si="131">ROUND(E162*F$12,2)</f>
        <v>8250</v>
      </c>
      <c r="G162" s="74">
        <f>F162*1.1*1.1+0.5</f>
        <v>9983</v>
      </c>
      <c r="H162" s="74">
        <v>12337.98</v>
      </c>
      <c r="I162" s="74">
        <f t="shared" ref="I162:I168" si="132">H162*$I$12</f>
        <v>13571.778</v>
      </c>
      <c r="J162" s="74">
        <v>14386.084680000002</v>
      </c>
      <c r="K162" s="74">
        <f>ROUND('26.08.22'!K162*1.04,2)</f>
        <v>20649.54</v>
      </c>
      <c r="L162" s="75" t="s">
        <v>157</v>
      </c>
      <c r="M162" s="69">
        <v>30</v>
      </c>
      <c r="N162" s="69"/>
      <c r="O162" s="78">
        <f t="shared" si="105"/>
        <v>6194.86</v>
      </c>
      <c r="P162" s="78">
        <f t="shared" si="106"/>
        <v>23540.48</v>
      </c>
      <c r="Q162" s="78">
        <f t="shared" si="107"/>
        <v>29735.337599999999</v>
      </c>
      <c r="R162" s="79">
        <f t="shared" si="108"/>
        <v>80120.217600000004</v>
      </c>
      <c r="S162" s="78">
        <f t="shared" si="109"/>
        <v>5162.3900000000003</v>
      </c>
      <c r="T162" s="78">
        <v>1.44</v>
      </c>
      <c r="U162" s="78">
        <f t="shared" si="110"/>
        <v>85282.607600000003</v>
      </c>
      <c r="V162" s="79">
        <f t="shared" si="122"/>
        <v>69704.589311999996</v>
      </c>
      <c r="W162" s="78">
        <f t="shared" si="123"/>
        <v>74195.868612000006</v>
      </c>
      <c r="X162" s="80">
        <v>3</v>
      </c>
      <c r="Y162" s="78">
        <v>2</v>
      </c>
      <c r="Z162" s="80">
        <f t="shared" si="124"/>
        <v>1</v>
      </c>
      <c r="AA162" s="80">
        <f t="shared" si="125"/>
        <v>20649.54</v>
      </c>
      <c r="AB162" s="80">
        <f t="shared" si="126"/>
        <v>41299.08</v>
      </c>
      <c r="AC162" s="80"/>
      <c r="AD162">
        <v>0.1</v>
      </c>
      <c r="AE162" s="78">
        <f t="shared" si="127"/>
        <v>2064.9540000000002</v>
      </c>
      <c r="AF162">
        <v>0.1</v>
      </c>
      <c r="AG162" s="78">
        <f t="shared" si="111"/>
        <v>2064.9540000000002</v>
      </c>
    </row>
    <row r="163" spans="1:33" ht="16.5" customHeight="1" x14ac:dyDescent="0.2">
      <c r="A163" s="102"/>
      <c r="B163" s="122"/>
      <c r="C163" s="122" t="s">
        <v>90</v>
      </c>
      <c r="D163" s="72">
        <v>1</v>
      </c>
      <c r="E163" s="73">
        <v>6000</v>
      </c>
      <c r="F163" s="74">
        <f t="shared" si="131"/>
        <v>6600</v>
      </c>
      <c r="G163" s="74">
        <f>F163*1.1*1.1</f>
        <v>7986.0000000000018</v>
      </c>
      <c r="H163" s="74">
        <v>9870.3799999999992</v>
      </c>
      <c r="I163" s="74">
        <f t="shared" si="132"/>
        <v>10857.418</v>
      </c>
      <c r="J163" s="74">
        <v>11508.863080000001</v>
      </c>
      <c r="K163" s="74">
        <f>ROUND('26.08.22'!K163*1.04,2)</f>
        <v>16519.63</v>
      </c>
      <c r="L163" s="75" t="s">
        <v>158</v>
      </c>
      <c r="M163" s="69">
        <v>30</v>
      </c>
      <c r="N163" s="76"/>
      <c r="O163" s="78">
        <f t="shared" si="105"/>
        <v>4955.8900000000003</v>
      </c>
      <c r="P163" s="78">
        <f t="shared" si="106"/>
        <v>18832.38</v>
      </c>
      <c r="Q163" s="78">
        <f t="shared" si="107"/>
        <v>16354.433700000001</v>
      </c>
      <c r="R163" s="79">
        <f t="shared" si="108"/>
        <v>56662.333700000003</v>
      </c>
      <c r="S163" s="78">
        <f t="shared" si="109"/>
        <v>4129.91</v>
      </c>
      <c r="T163" s="78">
        <v>0.99</v>
      </c>
      <c r="U163" s="78">
        <f t="shared" si="110"/>
        <v>60792.243700000006</v>
      </c>
      <c r="V163" s="79">
        <f t="shared" si="122"/>
        <v>49296.230319000002</v>
      </c>
      <c r="W163" s="78">
        <f t="shared" si="123"/>
        <v>52889.252019000007</v>
      </c>
      <c r="X163" s="80">
        <v>3</v>
      </c>
      <c r="Y163" s="78">
        <v>3</v>
      </c>
      <c r="Z163" s="80">
        <f t="shared" si="124"/>
        <v>0</v>
      </c>
      <c r="AA163" s="80">
        <f t="shared" si="125"/>
        <v>0</v>
      </c>
      <c r="AB163" s="80">
        <f t="shared" si="126"/>
        <v>49558.89</v>
      </c>
      <c r="AC163" s="80"/>
      <c r="AD163">
        <v>0.1</v>
      </c>
      <c r="AE163" s="78">
        <f t="shared" si="127"/>
        <v>1651.9630000000002</v>
      </c>
      <c r="AF163">
        <v>0.1</v>
      </c>
      <c r="AG163" s="78">
        <f t="shared" si="111"/>
        <v>1651.9630000000002</v>
      </c>
    </row>
    <row r="164" spans="1:33" x14ac:dyDescent="0.2">
      <c r="A164" s="102"/>
      <c r="B164" s="107"/>
      <c r="C164" s="107" t="s">
        <v>48</v>
      </c>
      <c r="D164" s="109">
        <v>1</v>
      </c>
      <c r="E164" s="73">
        <v>5000</v>
      </c>
      <c r="F164" s="74">
        <f t="shared" si="131"/>
        <v>5500</v>
      </c>
      <c r="G164" s="74">
        <f>F164*1.1*1.1</f>
        <v>6655.0000000000018</v>
      </c>
      <c r="H164" s="74">
        <v>8225.31</v>
      </c>
      <c r="I164" s="74">
        <f t="shared" si="132"/>
        <v>9047.8410000000003</v>
      </c>
      <c r="J164" s="74">
        <v>9590.7114600000004</v>
      </c>
      <c r="K164" s="74">
        <f>ROUND('26.08.22'!K164*1.04,2)</f>
        <v>13766.34</v>
      </c>
      <c r="L164" s="75" t="s">
        <v>159</v>
      </c>
      <c r="M164" s="83">
        <v>30</v>
      </c>
      <c r="N164" s="75"/>
      <c r="O164" s="78">
        <f t="shared" si="105"/>
        <v>4129.8999999999996</v>
      </c>
      <c r="P164" s="78">
        <f t="shared" si="106"/>
        <v>15693.63</v>
      </c>
      <c r="Q164" s="78">
        <f t="shared" si="107"/>
        <v>12252.042600000001</v>
      </c>
      <c r="R164" s="79">
        <f t="shared" si="108"/>
        <v>45841.912599999996</v>
      </c>
      <c r="S164" s="78">
        <f t="shared" si="109"/>
        <v>3441.59</v>
      </c>
      <c r="T164" s="78">
        <v>0.89</v>
      </c>
      <c r="U164" s="78">
        <f t="shared" si="110"/>
        <v>49283.502599999993</v>
      </c>
      <c r="V164" s="79">
        <f t="shared" si="122"/>
        <v>39882.463961999994</v>
      </c>
      <c r="W164" s="78">
        <f t="shared" si="123"/>
        <v>42876.647261999991</v>
      </c>
      <c r="X164" s="80">
        <v>3</v>
      </c>
      <c r="Y164" s="78">
        <v>3</v>
      </c>
      <c r="Z164" s="80">
        <f t="shared" si="124"/>
        <v>0</v>
      </c>
      <c r="AA164" s="80">
        <f t="shared" si="125"/>
        <v>0</v>
      </c>
      <c r="AB164" s="80">
        <f t="shared" si="126"/>
        <v>41299.020000000004</v>
      </c>
      <c r="AC164" s="80"/>
      <c r="AD164">
        <v>0.1</v>
      </c>
      <c r="AE164" s="78">
        <f t="shared" si="127"/>
        <v>1376.634</v>
      </c>
      <c r="AF164">
        <v>0.1</v>
      </c>
      <c r="AG164" s="78">
        <f t="shared" si="111"/>
        <v>1376.634</v>
      </c>
    </row>
    <row r="165" spans="1:33" x14ac:dyDescent="0.2">
      <c r="A165" s="102"/>
      <c r="B165" s="107"/>
      <c r="C165" s="107" t="s">
        <v>48</v>
      </c>
      <c r="D165" s="109">
        <v>1</v>
      </c>
      <c r="E165" s="73">
        <v>5000</v>
      </c>
      <c r="F165" s="74">
        <f>ROUND(E165*F$12,2)</f>
        <v>5500</v>
      </c>
      <c r="G165" s="74">
        <f>F165*1.1*1.1</f>
        <v>6655.0000000000018</v>
      </c>
      <c r="H165" s="74">
        <v>8225.31</v>
      </c>
      <c r="I165" s="74">
        <f>H165*$I$12</f>
        <v>9047.8410000000003</v>
      </c>
      <c r="J165" s="74">
        <v>9590.7114600000004</v>
      </c>
      <c r="K165" s="74">
        <f>ROUND('26.08.22'!K165*1.04,2)</f>
        <v>13766.34</v>
      </c>
      <c r="L165" s="75" t="s">
        <v>160</v>
      </c>
      <c r="M165" s="83">
        <v>30</v>
      </c>
      <c r="N165" s="75"/>
      <c r="O165" s="78">
        <f t="shared" si="105"/>
        <v>4129.8999999999996</v>
      </c>
      <c r="P165" s="78">
        <f t="shared" si="106"/>
        <v>15693.63</v>
      </c>
      <c r="Q165" s="78">
        <f t="shared" si="107"/>
        <v>12252.042600000001</v>
      </c>
      <c r="R165" s="79">
        <f t="shared" si="108"/>
        <v>45841.912599999996</v>
      </c>
      <c r="S165" s="78">
        <f t="shared" si="109"/>
        <v>3441.59</v>
      </c>
      <c r="T165" s="78">
        <v>0.89</v>
      </c>
      <c r="U165" s="78">
        <f t="shared" si="110"/>
        <v>49283.502599999993</v>
      </c>
      <c r="V165" s="79">
        <f t="shared" si="122"/>
        <v>39882.463961999994</v>
      </c>
      <c r="W165" s="78">
        <f t="shared" si="123"/>
        <v>42876.647261999991</v>
      </c>
      <c r="X165" s="80">
        <v>3</v>
      </c>
      <c r="Y165" s="78"/>
      <c r="Z165" s="80">
        <f t="shared" si="124"/>
        <v>3</v>
      </c>
      <c r="AA165" s="80">
        <f t="shared" si="125"/>
        <v>41299.020000000004</v>
      </c>
      <c r="AB165" s="80">
        <f t="shared" si="126"/>
        <v>0</v>
      </c>
      <c r="AC165" s="80"/>
      <c r="AD165">
        <v>0.1</v>
      </c>
      <c r="AE165" s="78">
        <f t="shared" si="127"/>
        <v>1376.634</v>
      </c>
      <c r="AF165">
        <v>0.1</v>
      </c>
      <c r="AG165" s="78">
        <f t="shared" si="111"/>
        <v>1376.634</v>
      </c>
    </row>
    <row r="166" spans="1:33" x14ac:dyDescent="0.2">
      <c r="A166" s="102"/>
      <c r="B166" s="107"/>
      <c r="C166" s="122" t="s">
        <v>90</v>
      </c>
      <c r="D166" s="109">
        <v>1</v>
      </c>
      <c r="E166" s="73">
        <v>5000</v>
      </c>
      <c r="F166" s="74">
        <f>ROUND(E166*F$12,2)</f>
        <v>5500</v>
      </c>
      <c r="G166" s="74">
        <f>F166*1.1*1.1</f>
        <v>6655.0000000000018</v>
      </c>
      <c r="H166" s="74">
        <v>8225.31</v>
      </c>
      <c r="I166" s="74">
        <f>H166*$I$12</f>
        <v>9047.8410000000003</v>
      </c>
      <c r="J166" s="74">
        <v>9590.7114600000004</v>
      </c>
      <c r="K166" s="74">
        <f>ROUND('26.08.22'!K166*1.04,2)</f>
        <v>16519.63</v>
      </c>
      <c r="L166" s="75" t="s">
        <v>161</v>
      </c>
      <c r="M166" s="83">
        <v>30</v>
      </c>
      <c r="N166" s="76"/>
      <c r="O166" s="78">
        <f t="shared" si="105"/>
        <v>4955.8900000000003</v>
      </c>
      <c r="P166" s="78">
        <f t="shared" si="106"/>
        <v>18832.38</v>
      </c>
      <c r="Q166" s="78">
        <f t="shared" si="107"/>
        <v>16354.433700000001</v>
      </c>
      <c r="R166" s="79">
        <f t="shared" si="108"/>
        <v>56662.333700000003</v>
      </c>
      <c r="S166" s="78">
        <f t="shared" si="109"/>
        <v>4129.91</v>
      </c>
      <c r="T166" s="78">
        <v>0.99</v>
      </c>
      <c r="U166" s="78">
        <f t="shared" si="110"/>
        <v>60792.243700000006</v>
      </c>
      <c r="V166" s="79">
        <f t="shared" si="122"/>
        <v>49296.230319000002</v>
      </c>
      <c r="W166" s="78">
        <f t="shared" si="123"/>
        <v>52889.252019000007</v>
      </c>
      <c r="X166" s="80">
        <v>3</v>
      </c>
      <c r="Y166" s="78">
        <v>3</v>
      </c>
      <c r="Z166" s="80">
        <f t="shared" si="124"/>
        <v>0</v>
      </c>
      <c r="AA166" s="80">
        <f t="shared" si="125"/>
        <v>0</v>
      </c>
      <c r="AB166" s="80">
        <f t="shared" si="126"/>
        <v>49558.89</v>
      </c>
      <c r="AC166" s="80"/>
      <c r="AD166">
        <v>0.1</v>
      </c>
      <c r="AE166" s="78">
        <f t="shared" si="127"/>
        <v>1651.9630000000002</v>
      </c>
      <c r="AF166">
        <v>0.1</v>
      </c>
      <c r="AG166" s="78">
        <f t="shared" si="111"/>
        <v>1651.9630000000002</v>
      </c>
    </row>
    <row r="167" spans="1:33" ht="23.25" customHeight="1" x14ac:dyDescent="0.2">
      <c r="A167" s="102"/>
      <c r="B167" s="107"/>
      <c r="C167" s="131" t="s">
        <v>136</v>
      </c>
      <c r="D167" s="109">
        <v>1</v>
      </c>
      <c r="E167" s="73">
        <v>4500</v>
      </c>
      <c r="F167" s="74">
        <f t="shared" si="131"/>
        <v>4950</v>
      </c>
      <c r="G167" s="74">
        <f>F167*1.1*1.1+0.5</f>
        <v>5990.0000000000009</v>
      </c>
      <c r="H167" s="74">
        <v>8225.31</v>
      </c>
      <c r="I167" s="74">
        <f t="shared" si="132"/>
        <v>9047.8410000000003</v>
      </c>
      <c r="J167" s="74">
        <v>9590.7114600000004</v>
      </c>
      <c r="K167" s="74">
        <f>ROUND('26.08.22'!K167*1.04,2)</f>
        <v>16519.63</v>
      </c>
      <c r="L167" s="75" t="s">
        <v>162</v>
      </c>
      <c r="M167" s="83">
        <v>30</v>
      </c>
      <c r="N167" s="76"/>
      <c r="O167" s="78">
        <f t="shared" si="105"/>
        <v>4955.8900000000003</v>
      </c>
      <c r="P167" s="78">
        <f t="shared" si="106"/>
        <v>18832.38</v>
      </c>
      <c r="Q167" s="78">
        <f t="shared" si="107"/>
        <v>16354.433700000001</v>
      </c>
      <c r="R167" s="79">
        <f t="shared" si="108"/>
        <v>56662.333700000003</v>
      </c>
      <c r="S167" s="78">
        <f t="shared" si="109"/>
        <v>4129.91</v>
      </c>
      <c r="T167" s="78">
        <v>0.99</v>
      </c>
      <c r="U167" s="78">
        <f t="shared" si="110"/>
        <v>60792.243700000006</v>
      </c>
      <c r="V167" s="79">
        <f t="shared" si="122"/>
        <v>49296.230319000002</v>
      </c>
      <c r="W167" s="78">
        <f t="shared" si="123"/>
        <v>52889.252019000007</v>
      </c>
      <c r="X167" s="80">
        <v>3</v>
      </c>
      <c r="Y167" s="78">
        <v>3</v>
      </c>
      <c r="Z167" s="80">
        <f t="shared" si="124"/>
        <v>0</v>
      </c>
      <c r="AA167" s="80">
        <f t="shared" si="125"/>
        <v>0</v>
      </c>
      <c r="AB167" s="80">
        <f t="shared" si="126"/>
        <v>49558.89</v>
      </c>
      <c r="AC167" s="80"/>
      <c r="AD167">
        <v>0.1</v>
      </c>
      <c r="AE167" s="78">
        <f t="shared" si="127"/>
        <v>1651.9630000000002</v>
      </c>
      <c r="AF167">
        <v>0.1</v>
      </c>
      <c r="AG167" s="78">
        <f t="shared" si="111"/>
        <v>1651.9630000000002</v>
      </c>
    </row>
    <row r="168" spans="1:33" x14ac:dyDescent="0.2">
      <c r="A168" s="102"/>
      <c r="B168" s="107"/>
      <c r="C168" s="107" t="s">
        <v>138</v>
      </c>
      <c r="D168" s="109">
        <v>1</v>
      </c>
      <c r="E168" s="73">
        <v>4500</v>
      </c>
      <c r="F168" s="74">
        <f t="shared" si="131"/>
        <v>4950</v>
      </c>
      <c r="G168" s="74">
        <f>F168*1.1*1.1+0.5</f>
        <v>5990.0000000000009</v>
      </c>
      <c r="H168" s="74">
        <v>7402.79</v>
      </c>
      <c r="I168" s="74">
        <f t="shared" si="132"/>
        <v>8143.0690000000004</v>
      </c>
      <c r="J168" s="74">
        <v>8631.6531400000003</v>
      </c>
      <c r="K168" s="74">
        <f>ROUND('26.08.22'!K168*1.04,2)</f>
        <v>12389.73</v>
      </c>
      <c r="L168" s="75" t="s">
        <v>163</v>
      </c>
      <c r="M168" s="76">
        <v>0</v>
      </c>
      <c r="N168" s="76"/>
      <c r="O168" s="78">
        <f t="shared" si="105"/>
        <v>0</v>
      </c>
      <c r="P168" s="78">
        <f t="shared" si="106"/>
        <v>14124.29</v>
      </c>
      <c r="Q168" s="78">
        <f t="shared" si="107"/>
        <v>6690.4542000000001</v>
      </c>
      <c r="R168" s="79">
        <f t="shared" si="108"/>
        <v>33204.474199999997</v>
      </c>
      <c r="S168" s="78">
        <f t="shared" si="109"/>
        <v>3097.43</v>
      </c>
      <c r="T168" s="78">
        <v>0.54</v>
      </c>
      <c r="U168" s="78">
        <f t="shared" si="110"/>
        <v>36301.904199999997</v>
      </c>
      <c r="V168" s="79">
        <f t="shared" si="122"/>
        <v>28887.892553999998</v>
      </c>
      <c r="W168" s="78">
        <f t="shared" si="123"/>
        <v>31582.656653999999</v>
      </c>
      <c r="X168" s="80">
        <v>3</v>
      </c>
      <c r="Y168" s="78">
        <v>3</v>
      </c>
      <c r="Z168" s="80">
        <f t="shared" si="124"/>
        <v>0</v>
      </c>
      <c r="AA168" s="80">
        <f t="shared" si="125"/>
        <v>0</v>
      </c>
      <c r="AB168" s="80">
        <f t="shared" si="126"/>
        <v>37169.19</v>
      </c>
      <c r="AC168" s="80"/>
      <c r="AD168">
        <v>0.1</v>
      </c>
      <c r="AE168" s="78">
        <f t="shared" si="127"/>
        <v>1238.973</v>
      </c>
      <c r="AF168">
        <v>0.1</v>
      </c>
      <c r="AG168" s="78">
        <f t="shared" si="111"/>
        <v>1238.973</v>
      </c>
    </row>
    <row r="169" spans="1:33" x14ac:dyDescent="0.2">
      <c r="A169" s="107"/>
      <c r="B169" s="181"/>
      <c r="C169" s="181" t="s">
        <v>140</v>
      </c>
      <c r="D169" s="111">
        <f t="shared" ref="D169:I169" si="133">SUM(D162:D168)</f>
        <v>7</v>
      </c>
      <c r="E169" s="95">
        <f t="shared" si="133"/>
        <v>37500</v>
      </c>
      <c r="F169" s="95">
        <f t="shared" si="133"/>
        <v>41250</v>
      </c>
      <c r="G169" s="95">
        <f t="shared" si="133"/>
        <v>49914</v>
      </c>
      <c r="H169" s="95">
        <f t="shared" si="133"/>
        <v>62512.389999999992</v>
      </c>
      <c r="I169" s="95">
        <f t="shared" si="133"/>
        <v>68763.629000000001</v>
      </c>
      <c r="J169" s="95">
        <v>63298.735280000001</v>
      </c>
      <c r="K169" s="90">
        <f>SUM(K162:K168)</f>
        <v>110130.84</v>
      </c>
      <c r="L169" s="90"/>
      <c r="M169" s="90"/>
      <c r="N169" s="90">
        <f t="shared" ref="N169" si="134">SUM(N162:N168)</f>
        <v>0</v>
      </c>
      <c r="O169" s="90">
        <f>SUM(O162:O168)</f>
        <v>29322.329999999998</v>
      </c>
      <c r="P169" s="90">
        <f t="shared" ref="P169:W169" si="135">SUM(P162:P168)</f>
        <v>125549.17000000001</v>
      </c>
      <c r="Q169" s="90">
        <f t="shared" si="135"/>
        <v>109993.17809999999</v>
      </c>
      <c r="R169" s="90">
        <f t="shared" si="135"/>
        <v>374995.51809999999</v>
      </c>
      <c r="S169" s="90">
        <f t="shared" si="135"/>
        <v>27532.73</v>
      </c>
      <c r="T169" s="90">
        <f t="shared" si="135"/>
        <v>6.73</v>
      </c>
      <c r="U169" s="90">
        <f t="shared" si="135"/>
        <v>402528.24809999997</v>
      </c>
      <c r="V169" s="90">
        <f t="shared" si="135"/>
        <v>326246.10074699996</v>
      </c>
      <c r="W169" s="90">
        <f t="shared" si="135"/>
        <v>350199.575847</v>
      </c>
      <c r="X169" s="80"/>
      <c r="Y169" s="90"/>
      <c r="Z169" s="80"/>
      <c r="AA169" s="80">
        <f t="shared" si="125"/>
        <v>0</v>
      </c>
      <c r="AB169" s="80">
        <f t="shared" si="126"/>
        <v>0</v>
      </c>
      <c r="AC169" s="91"/>
      <c r="AD169">
        <v>0.1</v>
      </c>
      <c r="AE169" s="90">
        <f t="shared" si="127"/>
        <v>11013.084000000001</v>
      </c>
      <c r="AF169">
        <v>0.1</v>
      </c>
      <c r="AG169" s="90">
        <f t="shared" si="111"/>
        <v>11013.084000000001</v>
      </c>
    </row>
    <row r="170" spans="1:33" ht="22.5" customHeight="1" x14ac:dyDescent="0.2">
      <c r="A170" s="71" t="s">
        <v>164</v>
      </c>
      <c r="B170" s="93"/>
      <c r="C170" s="93"/>
      <c r="D170" s="93"/>
      <c r="E170" s="93"/>
      <c r="F170" s="93"/>
      <c r="G170" s="93"/>
      <c r="H170" s="93"/>
      <c r="I170" s="93"/>
      <c r="J170" s="93"/>
      <c r="K170" s="232"/>
      <c r="L170" s="93"/>
      <c r="M170" s="93"/>
      <c r="N170" s="93"/>
      <c r="O170" s="93"/>
      <c r="P170" s="130">
        <v>1.1399999999999999</v>
      </c>
      <c r="Q170" s="93"/>
      <c r="R170" s="93"/>
      <c r="S170" s="93"/>
      <c r="T170" s="130"/>
      <c r="U170" s="93"/>
      <c r="V170" s="184"/>
      <c r="W170" s="93"/>
      <c r="X170" s="80"/>
      <c r="Y170" s="93"/>
      <c r="Z170" s="80"/>
      <c r="AA170" s="80">
        <f t="shared" si="125"/>
        <v>0</v>
      </c>
      <c r="AB170" s="80">
        <f t="shared" si="126"/>
        <v>0</v>
      </c>
      <c r="AC170" s="185"/>
      <c r="AD170">
        <v>0.1</v>
      </c>
      <c r="AE170" s="93"/>
      <c r="AG170" s="93"/>
    </row>
    <row r="171" spans="1:33" x14ac:dyDescent="0.2">
      <c r="A171" s="102"/>
      <c r="B171" s="87"/>
      <c r="C171" s="87" t="s">
        <v>133</v>
      </c>
      <c r="D171" s="72">
        <v>1</v>
      </c>
      <c r="E171" s="73">
        <v>7500</v>
      </c>
      <c r="F171" s="74">
        <f>ROUND(E171*F$12,2)</f>
        <v>8250</v>
      </c>
      <c r="G171" s="74">
        <f>F171*1.1*1.1+0.5</f>
        <v>9983</v>
      </c>
      <c r="H171" s="74">
        <v>12337.98</v>
      </c>
      <c r="I171" s="74">
        <f>H171*$I$12</f>
        <v>13571.778</v>
      </c>
      <c r="J171" s="74">
        <v>14386.084680000002</v>
      </c>
      <c r="K171" s="74">
        <f>ROUND('26.08.22'!K171*1.04,2)</f>
        <v>20649.54</v>
      </c>
      <c r="L171" s="75" t="s">
        <v>165</v>
      </c>
      <c r="M171" s="83">
        <v>30</v>
      </c>
      <c r="N171" s="83"/>
      <c r="O171" s="78">
        <f t="shared" si="105"/>
        <v>6194.86</v>
      </c>
      <c r="P171" s="78">
        <f t="shared" si="106"/>
        <v>23540.48</v>
      </c>
      <c r="Q171" s="78">
        <f t="shared" si="107"/>
        <v>29735.337599999999</v>
      </c>
      <c r="R171" s="79">
        <f t="shared" si="108"/>
        <v>80120.217600000004</v>
      </c>
      <c r="S171" s="78">
        <f t="shared" si="109"/>
        <v>5162.3900000000003</v>
      </c>
      <c r="T171" s="78">
        <v>1.44</v>
      </c>
      <c r="U171" s="78">
        <f t="shared" si="110"/>
        <v>85282.607600000003</v>
      </c>
      <c r="V171" s="79">
        <f t="shared" si="122"/>
        <v>69704.589311999996</v>
      </c>
      <c r="W171" s="78">
        <f t="shared" si="123"/>
        <v>74195.868612000006</v>
      </c>
      <c r="X171" s="80">
        <v>3</v>
      </c>
      <c r="Y171" s="78"/>
      <c r="Z171" s="80">
        <f t="shared" si="124"/>
        <v>3</v>
      </c>
      <c r="AA171" s="80">
        <f t="shared" si="125"/>
        <v>61948.62</v>
      </c>
      <c r="AB171" s="80">
        <f t="shared" si="126"/>
        <v>0</v>
      </c>
      <c r="AC171" s="80"/>
      <c r="AD171">
        <v>0.1</v>
      </c>
      <c r="AE171" s="78">
        <f t="shared" si="127"/>
        <v>2064.9540000000002</v>
      </c>
      <c r="AF171">
        <v>0.1</v>
      </c>
      <c r="AG171" s="78">
        <f t="shared" si="111"/>
        <v>2064.9540000000002</v>
      </c>
    </row>
    <row r="172" spans="1:33" ht="19.5" customHeight="1" x14ac:dyDescent="0.2">
      <c r="A172" s="102"/>
      <c r="B172" s="87"/>
      <c r="C172" s="131" t="s">
        <v>90</v>
      </c>
      <c r="D172" s="72">
        <v>1</v>
      </c>
      <c r="E172" s="73">
        <v>6000</v>
      </c>
      <c r="F172" s="74">
        <f>ROUND(E172*F$12,2)</f>
        <v>6600</v>
      </c>
      <c r="G172" s="74">
        <f>F172*1.1*1.1</f>
        <v>7986.0000000000018</v>
      </c>
      <c r="H172" s="74">
        <v>9870.3799999999992</v>
      </c>
      <c r="I172" s="74">
        <f>H172*$I$12</f>
        <v>10857.418</v>
      </c>
      <c r="J172" s="74">
        <v>11508.863080000001</v>
      </c>
      <c r="K172" s="74">
        <f>ROUND('26.08.22'!K172*1.04,2)</f>
        <v>16519.63</v>
      </c>
      <c r="L172" s="105" t="s">
        <v>166</v>
      </c>
      <c r="M172" s="83">
        <v>30</v>
      </c>
      <c r="N172" s="83"/>
      <c r="O172" s="78">
        <f t="shared" si="105"/>
        <v>4955.8900000000003</v>
      </c>
      <c r="P172" s="78">
        <f t="shared" si="106"/>
        <v>18832.38</v>
      </c>
      <c r="Q172" s="78">
        <f t="shared" si="107"/>
        <v>16354.433700000001</v>
      </c>
      <c r="R172" s="79">
        <f t="shared" si="108"/>
        <v>56662.333700000003</v>
      </c>
      <c r="S172" s="78">
        <f t="shared" si="109"/>
        <v>4129.91</v>
      </c>
      <c r="T172" s="78">
        <v>0.99</v>
      </c>
      <c r="U172" s="78">
        <f t="shared" si="110"/>
        <v>60792.243700000006</v>
      </c>
      <c r="V172" s="79">
        <f t="shared" si="122"/>
        <v>49296.230319000002</v>
      </c>
      <c r="W172" s="78">
        <f t="shared" si="123"/>
        <v>52889.252019000007</v>
      </c>
      <c r="X172" s="80">
        <v>3</v>
      </c>
      <c r="Y172" s="78">
        <v>3</v>
      </c>
      <c r="Z172" s="80">
        <f t="shared" si="124"/>
        <v>0</v>
      </c>
      <c r="AA172" s="80">
        <f t="shared" si="125"/>
        <v>0</v>
      </c>
      <c r="AB172" s="80">
        <f t="shared" si="126"/>
        <v>49558.89</v>
      </c>
      <c r="AC172" s="80"/>
      <c r="AD172">
        <v>0.1</v>
      </c>
      <c r="AE172" s="78">
        <f t="shared" si="127"/>
        <v>1651.9630000000002</v>
      </c>
      <c r="AF172">
        <v>0.1</v>
      </c>
      <c r="AG172" s="78">
        <f t="shared" si="111"/>
        <v>1651.9630000000002</v>
      </c>
    </row>
    <row r="173" spans="1:33" ht="12" customHeight="1" x14ac:dyDescent="0.2">
      <c r="A173" s="102"/>
      <c r="B173" s="87"/>
      <c r="C173" s="107" t="s">
        <v>48</v>
      </c>
      <c r="D173" s="109">
        <v>1</v>
      </c>
      <c r="E173" s="73">
        <v>5000</v>
      </c>
      <c r="F173" s="74">
        <f>ROUND(E173*F$12,2)</f>
        <v>5500</v>
      </c>
      <c r="G173" s="74">
        <f>F173*1.1*1.1</f>
        <v>6655.0000000000018</v>
      </c>
      <c r="H173" s="74">
        <v>8225.31</v>
      </c>
      <c r="I173" s="74">
        <f>H173*$I$12</f>
        <v>9047.8410000000003</v>
      </c>
      <c r="J173" s="74">
        <v>9590.7114600000004</v>
      </c>
      <c r="K173" s="74">
        <f>ROUND('26.08.22'!K173*1.04,2)</f>
        <v>13766.34</v>
      </c>
      <c r="L173" s="105" t="s">
        <v>167</v>
      </c>
      <c r="M173" s="83">
        <v>30</v>
      </c>
      <c r="N173" s="83"/>
      <c r="O173" s="78">
        <f t="shared" si="105"/>
        <v>4129.8999999999996</v>
      </c>
      <c r="P173" s="78">
        <f t="shared" si="106"/>
        <v>15693.63</v>
      </c>
      <c r="Q173" s="78">
        <f t="shared" si="107"/>
        <v>12252.042600000001</v>
      </c>
      <c r="R173" s="79">
        <f t="shared" si="108"/>
        <v>45841.912599999996</v>
      </c>
      <c r="S173" s="78">
        <f t="shared" si="109"/>
        <v>3441.59</v>
      </c>
      <c r="T173" s="78">
        <v>0.89</v>
      </c>
      <c r="U173" s="78">
        <f t="shared" si="110"/>
        <v>49283.502599999993</v>
      </c>
      <c r="V173" s="79">
        <f t="shared" si="122"/>
        <v>39882.463961999994</v>
      </c>
      <c r="W173" s="78">
        <f t="shared" si="123"/>
        <v>42876.647261999991</v>
      </c>
      <c r="X173" s="80">
        <v>3</v>
      </c>
      <c r="Y173" s="78"/>
      <c r="Z173" s="80">
        <f t="shared" si="124"/>
        <v>3</v>
      </c>
      <c r="AA173" s="80">
        <f t="shared" si="125"/>
        <v>41299.020000000004</v>
      </c>
      <c r="AB173" s="80">
        <f t="shared" si="126"/>
        <v>0</v>
      </c>
      <c r="AC173" s="80"/>
      <c r="AD173">
        <v>0.1</v>
      </c>
      <c r="AE173" s="78">
        <f t="shared" si="127"/>
        <v>1376.634</v>
      </c>
      <c r="AF173">
        <v>0.1</v>
      </c>
      <c r="AG173" s="78">
        <f t="shared" si="111"/>
        <v>1376.634</v>
      </c>
    </row>
    <row r="174" spans="1:33" ht="30" customHeight="1" x14ac:dyDescent="0.2">
      <c r="A174" s="102"/>
      <c r="B174" s="107"/>
      <c r="C174" s="131" t="s">
        <v>136</v>
      </c>
      <c r="D174" s="109">
        <v>1</v>
      </c>
      <c r="E174" s="73">
        <v>5000</v>
      </c>
      <c r="F174" s="74">
        <f>ROUND(E174*F$12,2)</f>
        <v>5500</v>
      </c>
      <c r="G174" s="74">
        <f>F174*1.1*1.1</f>
        <v>6655.0000000000018</v>
      </c>
      <c r="H174" s="74">
        <v>8225.31</v>
      </c>
      <c r="I174" s="74">
        <f>H174*$I$12</f>
        <v>9047.8410000000003</v>
      </c>
      <c r="J174" s="74">
        <v>9590.7114600000004</v>
      </c>
      <c r="K174" s="74">
        <f>ROUND('26.08.22'!K174*1.04,2)</f>
        <v>16519.63</v>
      </c>
      <c r="L174" s="105" t="s">
        <v>168</v>
      </c>
      <c r="M174" s="83">
        <v>30</v>
      </c>
      <c r="N174" s="83"/>
      <c r="O174" s="78">
        <f t="shared" si="105"/>
        <v>4955.8900000000003</v>
      </c>
      <c r="P174" s="78">
        <f t="shared" si="106"/>
        <v>18832.38</v>
      </c>
      <c r="Q174" s="78">
        <f t="shared" si="107"/>
        <v>16354.433700000001</v>
      </c>
      <c r="R174" s="79">
        <f t="shared" si="108"/>
        <v>56662.333700000003</v>
      </c>
      <c r="S174" s="78">
        <f t="shared" si="109"/>
        <v>4129.91</v>
      </c>
      <c r="T174" s="78">
        <v>0.99</v>
      </c>
      <c r="U174" s="78">
        <f t="shared" si="110"/>
        <v>60792.243700000006</v>
      </c>
      <c r="V174" s="79">
        <f t="shared" si="122"/>
        <v>49296.230319000002</v>
      </c>
      <c r="W174" s="78">
        <f t="shared" si="123"/>
        <v>52889.252019000007</v>
      </c>
      <c r="X174" s="80">
        <v>3</v>
      </c>
      <c r="Y174" s="78">
        <v>3</v>
      </c>
      <c r="Z174" s="80">
        <f t="shared" si="124"/>
        <v>0</v>
      </c>
      <c r="AA174" s="80">
        <f t="shared" si="125"/>
        <v>0</v>
      </c>
      <c r="AB174" s="80">
        <f t="shared" si="126"/>
        <v>49558.89</v>
      </c>
      <c r="AC174" s="80"/>
      <c r="AD174">
        <v>0.1</v>
      </c>
      <c r="AE174" s="78">
        <f t="shared" si="127"/>
        <v>1651.9630000000002</v>
      </c>
      <c r="AF174">
        <v>0.1</v>
      </c>
      <c r="AG174" s="78">
        <f t="shared" si="111"/>
        <v>1651.9630000000002</v>
      </c>
    </row>
    <row r="175" spans="1:33" x14ac:dyDescent="0.2">
      <c r="A175" s="102"/>
      <c r="B175" s="107"/>
      <c r="C175" s="107" t="s">
        <v>138</v>
      </c>
      <c r="D175" s="109">
        <v>1</v>
      </c>
      <c r="E175" s="73">
        <v>4500</v>
      </c>
      <c r="F175" s="74">
        <f>ROUND(E175*F$12,2)</f>
        <v>4950</v>
      </c>
      <c r="G175" s="74">
        <f>F175*1.1*1.1+0.5</f>
        <v>5990.0000000000009</v>
      </c>
      <c r="H175" s="74">
        <v>7402.79</v>
      </c>
      <c r="I175" s="74">
        <f>H175*$I$12</f>
        <v>8143.0690000000004</v>
      </c>
      <c r="J175" s="74">
        <v>8631.6531400000003</v>
      </c>
      <c r="K175" s="74">
        <f>ROUND('26.08.22'!K175*1.04,2)</f>
        <v>12389.73</v>
      </c>
      <c r="L175" s="105" t="s">
        <v>169</v>
      </c>
      <c r="M175" s="76">
        <v>0</v>
      </c>
      <c r="N175" s="76"/>
      <c r="O175" s="78">
        <f t="shared" si="105"/>
        <v>0</v>
      </c>
      <c r="P175" s="78">
        <f t="shared" si="106"/>
        <v>14124.29</v>
      </c>
      <c r="Q175" s="78">
        <f t="shared" si="107"/>
        <v>6690.4542000000001</v>
      </c>
      <c r="R175" s="79">
        <f t="shared" si="108"/>
        <v>33204.474199999997</v>
      </c>
      <c r="S175" s="78">
        <f t="shared" si="109"/>
        <v>3097.43</v>
      </c>
      <c r="T175" s="78">
        <v>0.54</v>
      </c>
      <c r="U175" s="78">
        <f t="shared" si="110"/>
        <v>36301.904199999997</v>
      </c>
      <c r="V175" s="79">
        <f t="shared" si="122"/>
        <v>28887.892553999998</v>
      </c>
      <c r="W175" s="78">
        <f t="shared" si="123"/>
        <v>31582.656653999999</v>
      </c>
      <c r="X175" s="80">
        <v>3</v>
      </c>
      <c r="Y175" s="78"/>
      <c r="Z175" s="80">
        <f t="shared" si="124"/>
        <v>3</v>
      </c>
      <c r="AA175" s="80">
        <f t="shared" si="125"/>
        <v>37169.19</v>
      </c>
      <c r="AB175" s="80">
        <f t="shared" si="126"/>
        <v>0</v>
      </c>
      <c r="AC175" s="80"/>
      <c r="AD175">
        <v>0.1</v>
      </c>
      <c r="AE175" s="78">
        <f t="shared" si="127"/>
        <v>1238.973</v>
      </c>
      <c r="AF175">
        <v>0.1</v>
      </c>
      <c r="AG175" s="78">
        <f t="shared" si="111"/>
        <v>1238.973</v>
      </c>
    </row>
    <row r="176" spans="1:33" x14ac:dyDescent="0.2">
      <c r="A176" s="107"/>
      <c r="B176" s="181"/>
      <c r="C176" s="181" t="s">
        <v>140</v>
      </c>
      <c r="D176" s="111">
        <f>SUM(D171:D175)</f>
        <v>5</v>
      </c>
      <c r="E176" s="95">
        <f t="shared" ref="E176:I176" si="136">SUM(E171:E175)</f>
        <v>28000</v>
      </c>
      <c r="F176" s="95">
        <f t="shared" si="136"/>
        <v>30800</v>
      </c>
      <c r="G176" s="95">
        <f t="shared" si="136"/>
        <v>37269</v>
      </c>
      <c r="H176" s="95">
        <f t="shared" si="136"/>
        <v>46061.77</v>
      </c>
      <c r="I176" s="95">
        <f t="shared" si="136"/>
        <v>50667.947</v>
      </c>
      <c r="J176" s="95">
        <v>53708.023820000002</v>
      </c>
      <c r="K176" s="90">
        <f>SUM(K171:K175)</f>
        <v>79844.87</v>
      </c>
      <c r="L176" s="90"/>
      <c r="M176" s="90"/>
      <c r="N176" s="90">
        <f t="shared" ref="N176" si="137">SUM(N171:N175)</f>
        <v>0</v>
      </c>
      <c r="O176" s="90">
        <f>SUM(O171:O175)</f>
        <v>20236.54</v>
      </c>
      <c r="P176" s="90">
        <f t="shared" ref="P176:W176" si="138">SUM(P171:P175)</f>
        <v>91023.16</v>
      </c>
      <c r="Q176" s="90">
        <f t="shared" si="138"/>
        <v>81386.70180000001</v>
      </c>
      <c r="R176" s="90">
        <f t="shared" si="138"/>
        <v>272491.27179999999</v>
      </c>
      <c r="S176" s="90">
        <f t="shared" si="138"/>
        <v>19961.23</v>
      </c>
      <c r="T176" s="90">
        <f t="shared" si="138"/>
        <v>4.8499999999999996</v>
      </c>
      <c r="U176" s="90">
        <f t="shared" si="138"/>
        <v>292452.50179999997</v>
      </c>
      <c r="V176" s="90">
        <f t="shared" si="138"/>
        <v>237067.40646599996</v>
      </c>
      <c r="W176" s="90">
        <f t="shared" si="138"/>
        <v>254433.67656600001</v>
      </c>
      <c r="X176" s="80"/>
      <c r="Y176" s="90"/>
      <c r="Z176" s="80"/>
      <c r="AA176" s="80">
        <f t="shared" si="125"/>
        <v>0</v>
      </c>
      <c r="AB176" s="80">
        <f t="shared" si="126"/>
        <v>0</v>
      </c>
      <c r="AC176" s="91"/>
      <c r="AD176">
        <v>0.1</v>
      </c>
      <c r="AE176" s="90">
        <f t="shared" si="127"/>
        <v>7984.4870000000001</v>
      </c>
      <c r="AF176">
        <v>0.1</v>
      </c>
      <c r="AG176" s="90">
        <f t="shared" si="111"/>
        <v>7984.4870000000001</v>
      </c>
    </row>
    <row r="177" spans="1:33" ht="31.5" customHeight="1" x14ac:dyDescent="0.2">
      <c r="A177" s="71" t="s">
        <v>170</v>
      </c>
      <c r="B177" s="97"/>
      <c r="C177" s="97"/>
      <c r="D177" s="94"/>
      <c r="E177" s="95"/>
      <c r="F177" s="95"/>
      <c r="G177" s="95"/>
      <c r="H177" s="95"/>
      <c r="I177" s="95"/>
      <c r="J177" s="95"/>
      <c r="K177" s="90"/>
      <c r="L177" s="96"/>
      <c r="M177" s="96"/>
      <c r="N177" s="96"/>
      <c r="O177" s="96"/>
      <c r="P177" s="130">
        <v>1.1399999999999999</v>
      </c>
      <c r="Q177" s="96"/>
      <c r="R177" s="96"/>
      <c r="S177" s="96"/>
      <c r="T177" s="130"/>
      <c r="U177" s="96"/>
      <c r="V177" s="186"/>
      <c r="W177" s="96"/>
      <c r="X177" s="80"/>
      <c r="Y177" s="96"/>
      <c r="Z177" s="80"/>
      <c r="AA177" s="80">
        <f t="shared" si="125"/>
        <v>0</v>
      </c>
      <c r="AB177" s="80">
        <f t="shared" si="126"/>
        <v>0</v>
      </c>
      <c r="AC177" s="144"/>
      <c r="AD177">
        <v>0.1</v>
      </c>
      <c r="AE177" s="96"/>
      <c r="AG177" s="96"/>
    </row>
    <row r="178" spans="1:33" x14ac:dyDescent="0.2">
      <c r="A178" s="102"/>
      <c r="B178" s="87"/>
      <c r="C178" s="87" t="s">
        <v>133</v>
      </c>
      <c r="D178" s="72">
        <v>1</v>
      </c>
      <c r="E178" s="73">
        <v>7000</v>
      </c>
      <c r="F178" s="74">
        <f t="shared" ref="F178:F184" si="139">ROUND(E178*F$12,2)</f>
        <v>7700</v>
      </c>
      <c r="G178" s="74">
        <f>F178*1.1*1.1</f>
        <v>9317</v>
      </c>
      <c r="H178" s="74">
        <v>11515.44</v>
      </c>
      <c r="I178" s="74">
        <f t="shared" ref="I178:I184" si="140">H178*$I$12</f>
        <v>12666.984000000002</v>
      </c>
      <c r="J178" s="74">
        <v>13427.003040000003</v>
      </c>
      <c r="K178" s="74">
        <f>ROUND('26.08.22'!K178*1.04,2)</f>
        <v>20649.54</v>
      </c>
      <c r="L178" s="75" t="s">
        <v>171</v>
      </c>
      <c r="M178" s="76">
        <v>30</v>
      </c>
      <c r="N178" s="76"/>
      <c r="O178" s="78">
        <f t="shared" si="105"/>
        <v>6194.86</v>
      </c>
      <c r="P178" s="78">
        <f t="shared" si="106"/>
        <v>23540.48</v>
      </c>
      <c r="Q178" s="78">
        <f t="shared" si="107"/>
        <v>29735.337599999999</v>
      </c>
      <c r="R178" s="79">
        <f t="shared" si="108"/>
        <v>80120.217600000004</v>
      </c>
      <c r="S178" s="78">
        <f t="shared" si="109"/>
        <v>5162.3900000000003</v>
      </c>
      <c r="T178" s="78">
        <v>1.44</v>
      </c>
      <c r="U178" s="78">
        <f t="shared" si="110"/>
        <v>85282.607600000003</v>
      </c>
      <c r="V178" s="79">
        <f t="shared" si="122"/>
        <v>69704.589311999996</v>
      </c>
      <c r="W178" s="78">
        <f t="shared" si="123"/>
        <v>74195.868612000006</v>
      </c>
      <c r="X178" s="80">
        <v>3</v>
      </c>
      <c r="Y178" s="78">
        <v>3</v>
      </c>
      <c r="Z178" s="80">
        <f t="shared" si="124"/>
        <v>0</v>
      </c>
      <c r="AA178" s="80">
        <f t="shared" si="125"/>
        <v>0</v>
      </c>
      <c r="AB178" s="80">
        <f t="shared" si="126"/>
        <v>61948.62</v>
      </c>
      <c r="AC178" s="80"/>
      <c r="AD178">
        <v>0.1</v>
      </c>
      <c r="AE178" s="78">
        <f t="shared" si="127"/>
        <v>2064.9540000000002</v>
      </c>
      <c r="AF178">
        <v>0.1</v>
      </c>
      <c r="AG178" s="78">
        <f t="shared" si="111"/>
        <v>2064.9540000000002</v>
      </c>
    </row>
    <row r="179" spans="1:33" ht="20.25" hidden="1" customHeight="1" x14ac:dyDescent="0.2">
      <c r="A179" s="102"/>
      <c r="B179" s="122"/>
      <c r="C179" s="122"/>
      <c r="D179" s="72">
        <v>0</v>
      </c>
      <c r="E179" s="73">
        <v>5700</v>
      </c>
      <c r="F179" s="74">
        <f t="shared" si="139"/>
        <v>6270</v>
      </c>
      <c r="G179" s="74">
        <f>F179*1.1*1.1+0.3</f>
        <v>7587.0000000000018</v>
      </c>
      <c r="H179" s="74">
        <v>9376.86</v>
      </c>
      <c r="I179" s="74">
        <f t="shared" si="140"/>
        <v>10314.546000000002</v>
      </c>
      <c r="J179" s="74">
        <v>10933.418760000002</v>
      </c>
      <c r="K179" s="74">
        <f>ROUND('26.08.22'!K179*1.04,2)</f>
        <v>0</v>
      </c>
      <c r="L179" s="110"/>
      <c r="M179" s="76"/>
      <c r="N179" s="76"/>
      <c r="O179" s="78">
        <f t="shared" si="105"/>
        <v>0</v>
      </c>
      <c r="P179" s="78">
        <f t="shared" si="106"/>
        <v>0</v>
      </c>
      <c r="Q179" s="78">
        <f t="shared" si="107"/>
        <v>0</v>
      </c>
      <c r="R179" s="79">
        <f t="shared" si="108"/>
        <v>0</v>
      </c>
      <c r="S179" s="78">
        <f t="shared" si="109"/>
        <v>0</v>
      </c>
      <c r="T179" s="78">
        <v>0.99</v>
      </c>
      <c r="U179" s="78">
        <f t="shared" si="110"/>
        <v>0</v>
      </c>
      <c r="V179" s="79">
        <f t="shared" si="122"/>
        <v>0</v>
      </c>
      <c r="W179" s="78">
        <f t="shared" si="123"/>
        <v>0</v>
      </c>
      <c r="X179" s="80">
        <v>3</v>
      </c>
      <c r="Y179" s="78">
        <v>3</v>
      </c>
      <c r="Z179" s="80">
        <f t="shared" si="124"/>
        <v>0</v>
      </c>
      <c r="AA179" s="80">
        <f t="shared" si="125"/>
        <v>0</v>
      </c>
      <c r="AB179" s="80">
        <f t="shared" si="126"/>
        <v>0</v>
      </c>
      <c r="AC179" s="80"/>
      <c r="AD179">
        <v>0.1</v>
      </c>
      <c r="AE179" s="78">
        <f t="shared" si="127"/>
        <v>0</v>
      </c>
      <c r="AF179">
        <v>0.1</v>
      </c>
      <c r="AG179" s="78">
        <f t="shared" si="111"/>
        <v>0</v>
      </c>
    </row>
    <row r="180" spans="1:33" x14ac:dyDescent="0.2">
      <c r="A180" s="102"/>
      <c r="B180" s="107"/>
      <c r="C180" s="107" t="s">
        <v>48</v>
      </c>
      <c r="D180" s="109">
        <v>1</v>
      </c>
      <c r="E180" s="73">
        <v>5000</v>
      </c>
      <c r="F180" s="74">
        <f t="shared" si="139"/>
        <v>5500</v>
      </c>
      <c r="G180" s="74">
        <f>F180*1.1*1.1</f>
        <v>6655.0000000000018</v>
      </c>
      <c r="H180" s="74">
        <v>8225.31</v>
      </c>
      <c r="I180" s="74">
        <f t="shared" si="140"/>
        <v>9047.8410000000003</v>
      </c>
      <c r="J180" s="74">
        <v>9590.7114600000004</v>
      </c>
      <c r="K180" s="74">
        <f>ROUND('26.08.22'!K180*1.04,2)</f>
        <v>13766.34</v>
      </c>
      <c r="L180" s="75" t="s">
        <v>172</v>
      </c>
      <c r="M180" s="145">
        <v>30</v>
      </c>
      <c r="N180" s="145"/>
      <c r="O180" s="78">
        <f t="shared" si="105"/>
        <v>4129.8999999999996</v>
      </c>
      <c r="P180" s="78">
        <f t="shared" si="106"/>
        <v>15693.63</v>
      </c>
      <c r="Q180" s="78">
        <f t="shared" si="107"/>
        <v>12252.042600000001</v>
      </c>
      <c r="R180" s="79">
        <f t="shared" si="108"/>
        <v>45841.912599999996</v>
      </c>
      <c r="S180" s="78">
        <f t="shared" si="109"/>
        <v>3441.59</v>
      </c>
      <c r="T180" s="78">
        <v>0.89</v>
      </c>
      <c r="U180" s="78">
        <f t="shared" si="110"/>
        <v>49283.502599999993</v>
      </c>
      <c r="V180" s="79">
        <f t="shared" si="122"/>
        <v>39882.463961999994</v>
      </c>
      <c r="W180" s="78">
        <f t="shared" si="123"/>
        <v>42876.647261999991</v>
      </c>
      <c r="X180" s="80">
        <v>3</v>
      </c>
      <c r="Y180" s="78">
        <v>3</v>
      </c>
      <c r="Z180" s="80">
        <f t="shared" si="124"/>
        <v>0</v>
      </c>
      <c r="AA180" s="80">
        <f t="shared" si="125"/>
        <v>0</v>
      </c>
      <c r="AB180" s="80">
        <f t="shared" si="126"/>
        <v>41299.020000000004</v>
      </c>
      <c r="AC180" s="80"/>
      <c r="AD180">
        <v>0.1</v>
      </c>
      <c r="AE180" s="78">
        <f t="shared" si="127"/>
        <v>1376.634</v>
      </c>
      <c r="AF180">
        <v>0.1</v>
      </c>
      <c r="AG180" s="78">
        <f t="shared" si="111"/>
        <v>1376.634</v>
      </c>
    </row>
    <row r="181" spans="1:33" x14ac:dyDescent="0.2">
      <c r="A181" s="102"/>
      <c r="B181" s="107"/>
      <c r="C181" s="107" t="s">
        <v>48</v>
      </c>
      <c r="D181" s="109">
        <v>1</v>
      </c>
      <c r="E181" s="73">
        <v>5000</v>
      </c>
      <c r="F181" s="74">
        <f t="shared" si="139"/>
        <v>5500</v>
      </c>
      <c r="G181" s="74">
        <f>F181*1.1*1.1</f>
        <v>6655.0000000000018</v>
      </c>
      <c r="H181" s="74">
        <v>8225.31</v>
      </c>
      <c r="I181" s="74">
        <f t="shared" si="140"/>
        <v>9047.8410000000003</v>
      </c>
      <c r="J181" s="74">
        <v>9590.7114600000004</v>
      </c>
      <c r="K181" s="74">
        <f>ROUND('26.08.22'!K181*1.04,2)</f>
        <v>13766.34</v>
      </c>
      <c r="L181" s="187" t="s">
        <v>173</v>
      </c>
      <c r="M181" s="83">
        <v>15</v>
      </c>
      <c r="N181" s="76"/>
      <c r="O181" s="78">
        <f t="shared" si="105"/>
        <v>2064.9499999999998</v>
      </c>
      <c r="P181" s="78">
        <f t="shared" si="106"/>
        <v>15693.63</v>
      </c>
      <c r="Q181" s="78">
        <f t="shared" si="107"/>
        <v>12252.042600000001</v>
      </c>
      <c r="R181" s="79">
        <f t="shared" si="108"/>
        <v>43776.962599999999</v>
      </c>
      <c r="S181" s="78">
        <f t="shared" si="109"/>
        <v>3441.59</v>
      </c>
      <c r="T181" s="78">
        <v>0.89</v>
      </c>
      <c r="U181" s="78">
        <f t="shared" si="110"/>
        <v>47218.552599999995</v>
      </c>
      <c r="V181" s="79">
        <f t="shared" si="122"/>
        <v>38085.957461999998</v>
      </c>
      <c r="W181" s="78">
        <f t="shared" si="123"/>
        <v>41080.140761999995</v>
      </c>
      <c r="X181" s="80">
        <v>3</v>
      </c>
      <c r="Y181" s="78">
        <v>3</v>
      </c>
      <c r="Z181" s="80">
        <f t="shared" si="124"/>
        <v>0</v>
      </c>
      <c r="AA181" s="80">
        <f t="shared" si="125"/>
        <v>0</v>
      </c>
      <c r="AB181" s="80">
        <f t="shared" si="126"/>
        <v>41299.020000000004</v>
      </c>
      <c r="AC181" s="80"/>
      <c r="AD181">
        <v>0.1</v>
      </c>
      <c r="AE181" s="78">
        <f t="shared" si="127"/>
        <v>1376.634</v>
      </c>
      <c r="AF181">
        <v>0.1</v>
      </c>
      <c r="AG181" s="78">
        <f t="shared" si="111"/>
        <v>1376.634</v>
      </c>
    </row>
    <row r="182" spans="1:33" ht="26.25" customHeight="1" x14ac:dyDescent="0.2">
      <c r="A182" s="102"/>
      <c r="B182" s="107"/>
      <c r="C182" s="131" t="s">
        <v>136</v>
      </c>
      <c r="D182" s="109">
        <v>1</v>
      </c>
      <c r="E182" s="73">
        <v>5000</v>
      </c>
      <c r="F182" s="74">
        <f t="shared" si="139"/>
        <v>5500</v>
      </c>
      <c r="G182" s="74">
        <f>F182*1.1*1.1</f>
        <v>6655.0000000000018</v>
      </c>
      <c r="H182" s="74">
        <v>8225.31</v>
      </c>
      <c r="I182" s="74">
        <f t="shared" si="140"/>
        <v>9047.8410000000003</v>
      </c>
      <c r="J182" s="74">
        <v>9590.7114600000004</v>
      </c>
      <c r="K182" s="74">
        <f>ROUND('26.08.22'!K182*1.04,2)</f>
        <v>16519.63</v>
      </c>
      <c r="L182" s="105" t="s">
        <v>231</v>
      </c>
      <c r="M182" s="83">
        <v>30</v>
      </c>
      <c r="N182" s="83"/>
      <c r="O182" s="78">
        <f t="shared" si="105"/>
        <v>4955.8900000000003</v>
      </c>
      <c r="P182" s="78">
        <f t="shared" si="106"/>
        <v>18832.38</v>
      </c>
      <c r="Q182" s="78">
        <f t="shared" si="107"/>
        <v>16354.433700000001</v>
      </c>
      <c r="R182" s="79">
        <f t="shared" si="108"/>
        <v>56662.333700000003</v>
      </c>
      <c r="S182" s="78">
        <f>ROUND(K182*S$12,2)</f>
        <v>4129.91</v>
      </c>
      <c r="T182" s="78">
        <v>0.99</v>
      </c>
      <c r="U182" s="78">
        <f>K182+O182+P182+Q182+S182</f>
        <v>60792.243700000006</v>
      </c>
      <c r="V182" s="79">
        <f t="shared" si="122"/>
        <v>49296.230319000002</v>
      </c>
      <c r="W182" s="78">
        <f t="shared" si="123"/>
        <v>52889.252019000007</v>
      </c>
      <c r="X182" s="80">
        <v>3</v>
      </c>
      <c r="Y182" s="78">
        <v>3</v>
      </c>
      <c r="Z182" s="80">
        <f t="shared" si="124"/>
        <v>0</v>
      </c>
      <c r="AA182" s="80">
        <f t="shared" si="125"/>
        <v>0</v>
      </c>
      <c r="AB182" s="80">
        <f t="shared" si="126"/>
        <v>49558.89</v>
      </c>
      <c r="AC182" s="80"/>
      <c r="AD182">
        <v>0.1</v>
      </c>
      <c r="AE182" s="78">
        <f t="shared" si="127"/>
        <v>1651.9630000000002</v>
      </c>
      <c r="AF182">
        <v>0.1</v>
      </c>
      <c r="AG182" s="78">
        <f t="shared" si="111"/>
        <v>1651.9630000000002</v>
      </c>
    </row>
    <row r="183" spans="1:33" ht="24" customHeight="1" x14ac:dyDescent="0.2">
      <c r="A183" s="102"/>
      <c r="B183" s="107"/>
      <c r="C183" s="131" t="s">
        <v>136</v>
      </c>
      <c r="D183" s="109">
        <v>1</v>
      </c>
      <c r="E183" s="73">
        <v>5000</v>
      </c>
      <c r="F183" s="74">
        <f>ROUND(E183*F$12,2)</f>
        <v>5500</v>
      </c>
      <c r="G183" s="74">
        <f>F183*1.1*1.1</f>
        <v>6655.0000000000018</v>
      </c>
      <c r="H183" s="74">
        <v>8225.31</v>
      </c>
      <c r="I183" s="74">
        <f>H183*$I$12</f>
        <v>9047.8410000000003</v>
      </c>
      <c r="J183" s="74">
        <v>9590.7114600000004</v>
      </c>
      <c r="K183" s="74">
        <f>ROUND('26.08.22'!K183*1.04,2)</f>
        <v>16519.63</v>
      </c>
      <c r="L183" s="75" t="s">
        <v>174</v>
      </c>
      <c r="M183" s="83">
        <v>30</v>
      </c>
      <c r="N183" s="76"/>
      <c r="O183" s="78">
        <f t="shared" si="105"/>
        <v>4955.8900000000003</v>
      </c>
      <c r="P183" s="78">
        <f t="shared" si="106"/>
        <v>18832.38</v>
      </c>
      <c r="Q183" s="78">
        <f t="shared" si="107"/>
        <v>16354.433700000001</v>
      </c>
      <c r="R183" s="79">
        <f t="shared" si="108"/>
        <v>56662.333700000003</v>
      </c>
      <c r="S183" s="78">
        <f t="shared" si="109"/>
        <v>4129.91</v>
      </c>
      <c r="T183" s="78">
        <v>0.99</v>
      </c>
      <c r="U183" s="78">
        <f t="shared" si="110"/>
        <v>60792.243700000006</v>
      </c>
      <c r="V183" s="79">
        <f t="shared" si="122"/>
        <v>49296.230319000002</v>
      </c>
      <c r="W183" s="78">
        <f t="shared" si="123"/>
        <v>52889.252019000007</v>
      </c>
      <c r="X183" s="80">
        <v>3</v>
      </c>
      <c r="Y183" s="78"/>
      <c r="Z183" s="80">
        <f t="shared" si="124"/>
        <v>3</v>
      </c>
      <c r="AA183" s="80">
        <f t="shared" si="125"/>
        <v>49558.89</v>
      </c>
      <c r="AB183" s="80">
        <f t="shared" si="126"/>
        <v>0</v>
      </c>
      <c r="AC183" s="80"/>
      <c r="AD183">
        <v>0.1</v>
      </c>
      <c r="AE183" s="78">
        <f t="shared" si="127"/>
        <v>1651.9630000000002</v>
      </c>
      <c r="AF183">
        <v>0.1</v>
      </c>
      <c r="AG183" s="78">
        <f t="shared" si="111"/>
        <v>1651.9630000000002</v>
      </c>
    </row>
    <row r="184" spans="1:33" x14ac:dyDescent="0.2">
      <c r="A184" s="102"/>
      <c r="B184" s="107"/>
      <c r="C184" s="107" t="s">
        <v>138</v>
      </c>
      <c r="D184" s="109">
        <v>1</v>
      </c>
      <c r="E184" s="73">
        <v>4500</v>
      </c>
      <c r="F184" s="74">
        <f t="shared" si="139"/>
        <v>4950</v>
      </c>
      <c r="G184" s="74">
        <f>F184*1.1*1.1+0.5</f>
        <v>5990.0000000000009</v>
      </c>
      <c r="H184" s="74">
        <v>7402.79</v>
      </c>
      <c r="I184" s="74">
        <f t="shared" si="140"/>
        <v>8143.0690000000004</v>
      </c>
      <c r="J184" s="74">
        <v>8631.6531400000003</v>
      </c>
      <c r="K184" s="74">
        <f>ROUND('26.08.22'!K184*1.04,2)</f>
        <v>12389.73</v>
      </c>
      <c r="L184" s="105" t="s">
        <v>206</v>
      </c>
      <c r="M184" s="76">
        <v>0</v>
      </c>
      <c r="N184" s="76"/>
      <c r="O184" s="78">
        <f t="shared" si="105"/>
        <v>0</v>
      </c>
      <c r="P184" s="78">
        <f t="shared" si="106"/>
        <v>14124.29</v>
      </c>
      <c r="Q184" s="78">
        <f t="shared" si="107"/>
        <v>6690.4542000000001</v>
      </c>
      <c r="R184" s="79">
        <f t="shared" si="108"/>
        <v>33204.474199999997</v>
      </c>
      <c r="S184" s="78">
        <f t="shared" si="109"/>
        <v>3097.43</v>
      </c>
      <c r="T184" s="78">
        <v>0.54</v>
      </c>
      <c r="U184" s="78">
        <f t="shared" si="110"/>
        <v>36301.904199999997</v>
      </c>
      <c r="V184" s="79">
        <f t="shared" si="122"/>
        <v>28887.892553999998</v>
      </c>
      <c r="W184" s="78">
        <f t="shared" si="123"/>
        <v>31582.656653999999</v>
      </c>
      <c r="X184" s="80">
        <v>3</v>
      </c>
      <c r="Y184" s="78">
        <v>3</v>
      </c>
      <c r="Z184" s="80">
        <f t="shared" si="124"/>
        <v>0</v>
      </c>
      <c r="AA184" s="80">
        <f t="shared" si="125"/>
        <v>0</v>
      </c>
      <c r="AB184" s="80">
        <f t="shared" si="126"/>
        <v>37169.19</v>
      </c>
      <c r="AC184" s="80"/>
      <c r="AD184">
        <v>0.1</v>
      </c>
      <c r="AE184" s="78">
        <f t="shared" si="127"/>
        <v>1238.973</v>
      </c>
      <c r="AF184">
        <v>0.1</v>
      </c>
      <c r="AG184" s="78">
        <f t="shared" si="111"/>
        <v>1238.973</v>
      </c>
    </row>
    <row r="185" spans="1:33" x14ac:dyDescent="0.2">
      <c r="A185" s="107"/>
      <c r="B185" s="181"/>
      <c r="C185" s="181" t="s">
        <v>140</v>
      </c>
      <c r="D185" s="111">
        <f>SUM(D178:D184)</f>
        <v>6</v>
      </c>
      <c r="E185" s="95">
        <f t="shared" ref="E185:I185" si="141">SUM(E178:E184)</f>
        <v>37200</v>
      </c>
      <c r="F185" s="95">
        <f t="shared" si="141"/>
        <v>40920</v>
      </c>
      <c r="G185" s="95">
        <f t="shared" si="141"/>
        <v>49514</v>
      </c>
      <c r="H185" s="95">
        <f t="shared" si="141"/>
        <v>61196.329999999994</v>
      </c>
      <c r="I185" s="95">
        <f t="shared" si="141"/>
        <v>67315.963000000003</v>
      </c>
      <c r="J185" s="95">
        <v>61764.209320000016</v>
      </c>
      <c r="K185" s="90">
        <f>SUM(K178:K184)</f>
        <v>93611.21</v>
      </c>
      <c r="L185" s="90"/>
      <c r="M185" s="90"/>
      <c r="N185" s="90">
        <f t="shared" ref="N185" si="142">SUM(N178:N184)</f>
        <v>0</v>
      </c>
      <c r="O185" s="90">
        <f>SUM(O178:O184)</f>
        <v>22301.489999999998</v>
      </c>
      <c r="P185" s="90">
        <f t="shared" ref="P185:W185" si="143">SUM(P178:P184)</f>
        <v>106716.79000000001</v>
      </c>
      <c r="Q185" s="90">
        <f t="shared" si="143"/>
        <v>93638.744399999996</v>
      </c>
      <c r="R185" s="90">
        <f t="shared" si="143"/>
        <v>316268.23440000002</v>
      </c>
      <c r="S185" s="90">
        <f t="shared" si="143"/>
        <v>23402.82</v>
      </c>
      <c r="T185" s="90">
        <f t="shared" si="143"/>
        <v>6.73</v>
      </c>
      <c r="U185" s="90">
        <f t="shared" si="143"/>
        <v>339671.05439999996</v>
      </c>
      <c r="V185" s="90">
        <f t="shared" si="143"/>
        <v>275153.36392799998</v>
      </c>
      <c r="W185" s="90">
        <f t="shared" si="143"/>
        <v>295513.81732800003</v>
      </c>
      <c r="X185" s="80"/>
      <c r="Y185" s="90"/>
      <c r="Z185" s="80"/>
      <c r="AA185" s="90">
        <f>SUM(AA13:AA184)</f>
        <v>1815506.59</v>
      </c>
      <c r="AB185" s="90">
        <f>SUM(AB13:AB184)</f>
        <v>5348778.1999999955</v>
      </c>
      <c r="AC185" s="90"/>
      <c r="AD185" s="90"/>
      <c r="AE185" s="90">
        <f>SUM(AE178:AE184)</f>
        <v>9361.1209999999992</v>
      </c>
      <c r="AF185" s="90"/>
      <c r="AG185" s="90">
        <f>SUM(AG178:AG184)</f>
        <v>9361.1209999999992</v>
      </c>
    </row>
    <row r="186" spans="1:33" x14ac:dyDescent="0.2">
      <c r="A186" s="188"/>
      <c r="B186" s="188"/>
      <c r="C186" s="188" t="s">
        <v>175</v>
      </c>
      <c r="D186" s="189">
        <f>D143+D151+D160+D169+D176+D185</f>
        <v>36</v>
      </c>
      <c r="E186" s="189">
        <f t="shared" ref="E186:J186" si="144">E143+E151+E160+E169+E176+E185</f>
        <v>203700</v>
      </c>
      <c r="F186" s="189">
        <f t="shared" si="144"/>
        <v>224070</v>
      </c>
      <c r="G186" s="189">
        <f t="shared" si="144"/>
        <v>271131</v>
      </c>
      <c r="H186" s="189">
        <f t="shared" si="144"/>
        <v>335921.82999999996</v>
      </c>
      <c r="I186" s="189">
        <f t="shared" si="144"/>
        <v>369514.01299999998</v>
      </c>
      <c r="J186" s="189">
        <f t="shared" si="144"/>
        <v>314959.16210000002</v>
      </c>
      <c r="K186" s="90">
        <f>K143+K151+K160+K169+K176+K185</f>
        <v>569927.12999999989</v>
      </c>
      <c r="L186" s="90"/>
      <c r="M186" s="90"/>
      <c r="N186" s="90">
        <f t="shared" ref="N186" si="145">N143+N151+N160+N169+N176+N185</f>
        <v>0</v>
      </c>
      <c r="O186" s="90">
        <f>O143+O151+O160+O169+O176+O185</f>
        <v>140003.81</v>
      </c>
      <c r="P186" s="90">
        <f t="shared" ref="P186:W186" si="146">P143+P151+P160+P169+P176+P185</f>
        <v>649716.99000000011</v>
      </c>
      <c r="Q186" s="90">
        <f t="shared" si="146"/>
        <v>574139.63970000006</v>
      </c>
      <c r="R186" s="90">
        <f t="shared" si="146"/>
        <v>1933787.5696999999</v>
      </c>
      <c r="S186" s="90">
        <f t="shared" si="146"/>
        <v>142481.88</v>
      </c>
      <c r="T186" s="90">
        <f t="shared" si="146"/>
        <v>36.72</v>
      </c>
      <c r="U186" s="90">
        <f t="shared" si="146"/>
        <v>2076269.4497</v>
      </c>
      <c r="V186" s="90">
        <f t="shared" si="146"/>
        <v>1682395.1856389998</v>
      </c>
      <c r="W186" s="90">
        <f t="shared" si="146"/>
        <v>1806354.421239</v>
      </c>
      <c r="X186" s="80"/>
      <c r="Y186" s="90"/>
      <c r="Z186" s="80"/>
      <c r="AA186" s="90"/>
      <c r="AB186" s="90"/>
      <c r="AC186" s="90"/>
      <c r="AD186" s="90"/>
      <c r="AE186" s="90">
        <f>AE143+AE151+AE160+AE169+AE176+AE185</f>
        <v>56992.713000000003</v>
      </c>
      <c r="AF186" s="90"/>
      <c r="AG186" s="90">
        <f>AG143+AG151+AG160+AG169+AG176+AG185</f>
        <v>56992.713000000003</v>
      </c>
    </row>
    <row r="187" spans="1:33" ht="13.5" x14ac:dyDescent="0.25">
      <c r="A187" s="190"/>
      <c r="B187" s="190"/>
      <c r="C187" s="191" t="s">
        <v>176</v>
      </c>
      <c r="D187" s="192">
        <f>D186+D132</f>
        <v>123</v>
      </c>
      <c r="E187" s="193">
        <f t="shared" ref="E187:I187" si="147">E186+E132</f>
        <v>525900</v>
      </c>
      <c r="F187" s="193">
        <f t="shared" si="147"/>
        <v>579370</v>
      </c>
      <c r="G187" s="193">
        <f t="shared" si="147"/>
        <v>834571</v>
      </c>
      <c r="H187" s="193">
        <f t="shared" si="147"/>
        <v>1101205.1000000001</v>
      </c>
      <c r="I187" s="193">
        <f t="shared" si="147"/>
        <v>1211325.6100000001</v>
      </c>
      <c r="J187" s="193">
        <v>1355360.1140200002</v>
      </c>
      <c r="K187" s="194">
        <f>K186+K132</f>
        <v>2211977.46</v>
      </c>
      <c r="L187" s="194"/>
      <c r="M187" s="194"/>
      <c r="N187" s="194">
        <f t="shared" ref="N187" si="148">N186+N132</f>
        <v>0</v>
      </c>
      <c r="O187" s="194">
        <f>O186+O132</f>
        <v>565645.65999999992</v>
      </c>
      <c r="P187" s="194">
        <f t="shared" ref="P187:W187" si="149">P186+P132</f>
        <v>2563696.94</v>
      </c>
      <c r="Q187" s="194">
        <f t="shared" si="149"/>
        <v>3045766.7595000006</v>
      </c>
      <c r="R187" s="194">
        <f t="shared" si="149"/>
        <v>8343419.9394999994</v>
      </c>
      <c r="S187" s="194">
        <f t="shared" si="149"/>
        <v>552994.65</v>
      </c>
      <c r="T187" s="194">
        <f t="shared" si="149"/>
        <v>170.36</v>
      </c>
      <c r="U187" s="194">
        <f t="shared" si="149"/>
        <v>8891940.5194999985</v>
      </c>
      <c r="V187" s="194">
        <f t="shared" si="149"/>
        <v>7258775.3473649994</v>
      </c>
      <c r="W187" s="194">
        <f t="shared" si="149"/>
        <v>7735988.2519649984</v>
      </c>
      <c r="X187" s="80"/>
      <c r="Y187" s="194"/>
      <c r="Z187" s="80"/>
      <c r="AA187" s="194"/>
      <c r="AB187" s="194"/>
      <c r="AC187" s="194"/>
      <c r="AD187" s="194"/>
      <c r="AE187" s="194">
        <f>AE186+AE132</f>
        <v>239094.00599999999</v>
      </c>
      <c r="AF187" s="194"/>
      <c r="AG187" s="194">
        <f>AG186+AG132</f>
        <v>403299.03899999993</v>
      </c>
    </row>
    <row r="188" spans="1:33" ht="13.5" x14ac:dyDescent="0.25">
      <c r="A188" s="190"/>
      <c r="B188" s="190"/>
      <c r="C188" s="195"/>
      <c r="D188" s="192"/>
      <c r="E188" s="196" t="e">
        <f>E186+#REF!</f>
        <v>#REF!</v>
      </c>
      <c r="F188" s="196"/>
      <c r="G188" s="196"/>
      <c r="H188" s="196"/>
      <c r="I188" s="196"/>
      <c r="J188" s="196"/>
      <c r="K188" s="196"/>
      <c r="L188" s="197"/>
      <c r="M188" s="198"/>
      <c r="N188" s="198" t="e">
        <f>N186+#REF!</f>
        <v>#REF!</v>
      </c>
      <c r="O188" s="196">
        <f>O187*12</f>
        <v>6787747.919999999</v>
      </c>
      <c r="P188" s="196"/>
      <c r="Q188" s="196"/>
      <c r="R188" s="196"/>
      <c r="S188" s="196">
        <f>R187+S187</f>
        <v>8896414.5894999988</v>
      </c>
      <c r="T188" s="196"/>
      <c r="U188" s="196"/>
      <c r="V188" s="199"/>
      <c r="W188" s="196"/>
      <c r="X188" s="80"/>
      <c r="Y188" s="196"/>
      <c r="Z188" s="80"/>
      <c r="AA188" s="200"/>
      <c r="AB188" s="200"/>
      <c r="AC188" s="200"/>
      <c r="AE188" s="196"/>
      <c r="AG188" s="196"/>
    </row>
    <row r="189" spans="1:33" ht="13.5" x14ac:dyDescent="0.25">
      <c r="A189" s="201"/>
      <c r="B189" s="201"/>
      <c r="C189" s="202"/>
      <c r="D189" s="203"/>
      <c r="E189" s="204"/>
      <c r="F189" s="204"/>
      <c r="G189" s="204"/>
      <c r="H189" s="204"/>
      <c r="I189" s="204"/>
      <c r="J189" s="204"/>
      <c r="K189" s="204"/>
      <c r="L189" s="206"/>
      <c r="M189" s="205"/>
      <c r="N189" s="205"/>
      <c r="O189" s="204"/>
      <c r="P189" s="204"/>
      <c r="Q189" s="204"/>
      <c r="R189" s="204"/>
      <c r="S189" s="204"/>
      <c r="T189" s="204"/>
      <c r="U189" s="204"/>
      <c r="W189" s="204"/>
      <c r="X189" s="204"/>
      <c r="Y189" s="204"/>
      <c r="Z189" s="204"/>
      <c r="AA189" s="204"/>
      <c r="AB189" s="204"/>
      <c r="AC189" s="204"/>
      <c r="AE189" s="204"/>
      <c r="AG189" s="204"/>
    </row>
    <row r="190" spans="1:33" ht="13.5" x14ac:dyDescent="0.25">
      <c r="A190" s="201"/>
      <c r="B190" s="201"/>
      <c r="C190" s="202" t="s">
        <v>177</v>
      </c>
      <c r="D190" s="206">
        <f t="shared" ref="D190:J190" si="150">D113+D114+D115+D116+D142+D150+D159+D168+D175+D184</f>
        <v>9</v>
      </c>
      <c r="E190" s="206">
        <f t="shared" si="150"/>
        <v>45000</v>
      </c>
      <c r="F190" s="206">
        <f t="shared" si="150"/>
        <v>49500</v>
      </c>
      <c r="G190" s="206">
        <f t="shared" si="150"/>
        <v>59900.000000000007</v>
      </c>
      <c r="H190" s="206">
        <f t="shared" si="150"/>
        <v>74027.899999999994</v>
      </c>
      <c r="I190" s="206">
        <f t="shared" si="150"/>
        <v>81430.690000000017</v>
      </c>
      <c r="J190" s="206">
        <f t="shared" si="150"/>
        <v>86316.531399999993</v>
      </c>
      <c r="K190" s="206">
        <f>K113+K114+K115+K116+K142+K150+K159+K168+K175+K184</f>
        <v>111507.56999999998</v>
      </c>
      <c r="L190" s="206"/>
      <c r="M190" s="206"/>
      <c r="N190" s="206">
        <f t="shared" ref="N190:W190" si="151">N113+N114+N115+N116+N142+N150+N159+N168+N175+N184</f>
        <v>0</v>
      </c>
      <c r="O190" s="206">
        <f t="shared" si="151"/>
        <v>0</v>
      </c>
      <c r="P190" s="206">
        <f t="shared" si="151"/>
        <v>137030.40000000005</v>
      </c>
      <c r="Q190" s="206">
        <f t="shared" si="151"/>
        <v>93666.358800000016</v>
      </c>
      <c r="R190" s="206">
        <f t="shared" si="151"/>
        <v>342204.32879999996</v>
      </c>
      <c r="S190" s="206">
        <f t="shared" si="151"/>
        <v>27876.87</v>
      </c>
      <c r="T190" s="206"/>
      <c r="U190" s="206">
        <f>U113+U114+U115+U116+U142+U150+U159+U168+U175+U184</f>
        <v>370081.19879999995</v>
      </c>
      <c r="V190" s="206">
        <f t="shared" si="151"/>
        <v>297717.76605599996</v>
      </c>
      <c r="W190" s="206">
        <f t="shared" si="151"/>
        <v>321970.64295599994</v>
      </c>
      <c r="X190" s="206"/>
      <c r="Y190" s="206"/>
      <c r="Z190" s="206"/>
      <c r="AA190" s="206"/>
      <c r="AB190" s="206"/>
      <c r="AC190" s="206"/>
      <c r="AE190" s="206"/>
      <c r="AG190" s="206"/>
    </row>
    <row r="191" spans="1:33" ht="13.5" x14ac:dyDescent="0.25">
      <c r="A191" s="201"/>
      <c r="B191" s="207"/>
      <c r="C191" s="202" t="s">
        <v>178</v>
      </c>
      <c r="D191" s="206">
        <f t="shared" ref="D191:J191" si="152">D187-D190</f>
        <v>114</v>
      </c>
      <c r="E191" s="206">
        <f t="shared" si="152"/>
        <v>480900</v>
      </c>
      <c r="F191" s="206">
        <f t="shared" si="152"/>
        <v>529870</v>
      </c>
      <c r="G191" s="206">
        <f t="shared" si="152"/>
        <v>774671</v>
      </c>
      <c r="H191" s="206">
        <f t="shared" si="152"/>
        <v>1027177.2000000001</v>
      </c>
      <c r="I191" s="206">
        <f t="shared" si="152"/>
        <v>1129894.9200000002</v>
      </c>
      <c r="J191" s="206">
        <f t="shared" si="152"/>
        <v>1269043.5826200002</v>
      </c>
      <c r="K191" s="206">
        <f>K187-K190</f>
        <v>2100469.89</v>
      </c>
      <c r="L191" s="206"/>
      <c r="M191" s="206"/>
      <c r="N191" s="206">
        <f t="shared" ref="N191:W191" si="153">N187-N190</f>
        <v>0</v>
      </c>
      <c r="O191" s="206">
        <f t="shared" si="153"/>
        <v>565645.65999999992</v>
      </c>
      <c r="P191" s="206">
        <f t="shared" si="153"/>
        <v>2426666.54</v>
      </c>
      <c r="Q191" s="206">
        <f t="shared" si="153"/>
        <v>2952100.4007000006</v>
      </c>
      <c r="R191" s="206">
        <f t="shared" si="153"/>
        <v>8001215.6106999991</v>
      </c>
      <c r="S191" s="206">
        <f t="shared" si="153"/>
        <v>525117.78</v>
      </c>
      <c r="T191" s="206"/>
      <c r="U191" s="206">
        <f t="shared" si="153"/>
        <v>8521859.3206999991</v>
      </c>
      <c r="V191" s="206">
        <f t="shared" si="153"/>
        <v>6961057.5813089991</v>
      </c>
      <c r="W191" s="206">
        <f t="shared" si="153"/>
        <v>7414017.6090089986</v>
      </c>
      <c r="X191" s="206"/>
      <c r="Y191" s="206"/>
      <c r="Z191" s="206"/>
      <c r="AA191" s="206"/>
      <c r="AB191" s="206"/>
      <c r="AC191" s="206"/>
      <c r="AE191" s="206"/>
      <c r="AF191" s="85"/>
      <c r="AG191" s="206"/>
    </row>
    <row r="192" spans="1:33" ht="13.5" x14ac:dyDescent="0.25">
      <c r="A192" s="201"/>
      <c r="B192" s="207"/>
      <c r="C192" s="202" t="s">
        <v>214</v>
      </c>
      <c r="D192" s="206">
        <f t="shared" ref="D192:J192" si="154">SUM(D190:D191)</f>
        <v>123</v>
      </c>
      <c r="E192" s="206">
        <f t="shared" si="154"/>
        <v>525900</v>
      </c>
      <c r="F192" s="206">
        <f t="shared" si="154"/>
        <v>579370</v>
      </c>
      <c r="G192" s="206">
        <f t="shared" si="154"/>
        <v>834571</v>
      </c>
      <c r="H192" s="206">
        <f t="shared" si="154"/>
        <v>1101205.1000000001</v>
      </c>
      <c r="I192" s="206">
        <f t="shared" si="154"/>
        <v>1211325.6100000001</v>
      </c>
      <c r="J192" s="206">
        <f t="shared" si="154"/>
        <v>1355360.1140200002</v>
      </c>
      <c r="K192" s="206">
        <f>SUM(K190:K191)</f>
        <v>2211977.46</v>
      </c>
      <c r="L192" s="206">
        <f t="shared" ref="L192:W192" si="155">SUM(L190:L191)</f>
        <v>0</v>
      </c>
      <c r="M192" s="206">
        <f t="shared" si="155"/>
        <v>0</v>
      </c>
      <c r="N192" s="206">
        <f t="shared" si="155"/>
        <v>0</v>
      </c>
      <c r="O192" s="206">
        <f t="shared" si="155"/>
        <v>565645.65999999992</v>
      </c>
      <c r="P192" s="206">
        <f t="shared" si="155"/>
        <v>2563696.94</v>
      </c>
      <c r="Q192" s="206">
        <f t="shared" si="155"/>
        <v>3045766.7595000006</v>
      </c>
      <c r="R192" s="206">
        <f t="shared" si="155"/>
        <v>8343419.9394999994</v>
      </c>
      <c r="S192" s="206">
        <f t="shared" si="155"/>
        <v>552994.65</v>
      </c>
      <c r="T192" s="206">
        <f t="shared" si="155"/>
        <v>0</v>
      </c>
      <c r="U192" s="206">
        <f t="shared" si="155"/>
        <v>8891940.5194999985</v>
      </c>
      <c r="V192" s="206">
        <f t="shared" si="155"/>
        <v>7258775.3473649994</v>
      </c>
      <c r="W192" s="206">
        <f t="shared" si="155"/>
        <v>7735988.2519649984</v>
      </c>
      <c r="X192" s="208"/>
      <c r="Y192" s="208"/>
      <c r="Z192" s="208"/>
      <c r="AA192" s="208"/>
      <c r="AB192" s="208"/>
      <c r="AC192" s="208"/>
      <c r="AE192" s="208"/>
      <c r="AF192" s="209"/>
      <c r="AG192" s="208"/>
    </row>
    <row r="193" spans="3:33" ht="13.5" x14ac:dyDescent="0.25">
      <c r="C193" s="202"/>
      <c r="D193" s="206"/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G193" s="206"/>
    </row>
    <row r="194" spans="3:33" ht="13.5" x14ac:dyDescent="0.25">
      <c r="C194" s="202" t="s">
        <v>215</v>
      </c>
      <c r="D194" s="206"/>
      <c r="K194" s="206"/>
      <c r="L194" s="206"/>
      <c r="M194" s="206"/>
      <c r="N194" s="206"/>
      <c r="O194" s="206"/>
      <c r="P194" s="206"/>
      <c r="Q194" s="206"/>
      <c r="R194" s="206"/>
      <c r="S194" s="206"/>
      <c r="T194" s="206"/>
      <c r="U194" s="206"/>
      <c r="W194" s="206"/>
      <c r="X194" s="206"/>
      <c r="Y194" s="206"/>
      <c r="Z194" s="206"/>
      <c r="AA194" s="206"/>
      <c r="AB194" s="206"/>
      <c r="AC194" s="206"/>
      <c r="AE194" s="206"/>
      <c r="AG194" s="206"/>
    </row>
    <row r="195" spans="3:33" ht="13.5" x14ac:dyDescent="0.25">
      <c r="C195" s="202" t="s">
        <v>177</v>
      </c>
      <c r="D195" s="206"/>
      <c r="K195" s="206">
        <f>K190*3</f>
        <v>334522.70999999996</v>
      </c>
      <c r="L195" s="206">
        <f t="shared" ref="L195:W196" si="156">L190*3</f>
        <v>0</v>
      </c>
      <c r="M195" s="206">
        <f t="shared" si="156"/>
        <v>0</v>
      </c>
      <c r="N195" s="206">
        <f t="shared" si="156"/>
        <v>0</v>
      </c>
      <c r="O195" s="206">
        <f t="shared" si="156"/>
        <v>0</v>
      </c>
      <c r="P195" s="206">
        <f t="shared" si="156"/>
        <v>411091.20000000019</v>
      </c>
      <c r="Q195" s="206">
        <f t="shared" si="156"/>
        <v>280999.07640000002</v>
      </c>
      <c r="R195" s="206">
        <f t="shared" si="156"/>
        <v>1026612.9863999998</v>
      </c>
      <c r="S195" s="206">
        <f t="shared" si="156"/>
        <v>83630.61</v>
      </c>
      <c r="T195" s="206">
        <f t="shared" si="156"/>
        <v>0</v>
      </c>
      <c r="U195" s="206">
        <f>U190*3</f>
        <v>1110243.5963999999</v>
      </c>
      <c r="V195" s="206">
        <f t="shared" si="156"/>
        <v>893153.29816799983</v>
      </c>
      <c r="W195" s="206">
        <f t="shared" si="156"/>
        <v>965911.92886799981</v>
      </c>
      <c r="X195" s="206"/>
      <c r="Y195" s="206"/>
      <c r="Z195" s="206"/>
      <c r="AA195" s="206"/>
      <c r="AB195" s="206"/>
      <c r="AC195" s="206"/>
      <c r="AE195" s="206"/>
      <c r="AG195" s="206"/>
    </row>
    <row r="196" spans="3:33" ht="13.5" x14ac:dyDescent="0.25">
      <c r="C196" s="202" t="s">
        <v>178</v>
      </c>
      <c r="K196" s="206">
        <f>K191*3</f>
        <v>6301409.6699999999</v>
      </c>
      <c r="L196" s="206">
        <f t="shared" si="156"/>
        <v>0</v>
      </c>
      <c r="M196" s="206">
        <f t="shared" si="156"/>
        <v>0</v>
      </c>
      <c r="N196" s="206">
        <f t="shared" si="156"/>
        <v>0</v>
      </c>
      <c r="O196" s="206">
        <f t="shared" si="156"/>
        <v>1696936.9799999997</v>
      </c>
      <c r="P196" s="206">
        <f t="shared" si="156"/>
        <v>7279999.6200000001</v>
      </c>
      <c r="Q196" s="206">
        <f t="shared" si="156"/>
        <v>8856301.2021000013</v>
      </c>
      <c r="R196" s="206">
        <f t="shared" si="156"/>
        <v>24003646.832099997</v>
      </c>
      <c r="S196" s="206">
        <f t="shared" si="156"/>
        <v>1575353.34</v>
      </c>
      <c r="T196" s="206">
        <f t="shared" si="156"/>
        <v>0</v>
      </c>
      <c r="U196" s="206">
        <f t="shared" si="156"/>
        <v>25565577.962099999</v>
      </c>
      <c r="V196" s="206">
        <f t="shared" si="156"/>
        <v>20883172.743926998</v>
      </c>
      <c r="W196" s="206">
        <f t="shared" si="156"/>
        <v>22242052.827026997</v>
      </c>
      <c r="X196" s="206"/>
      <c r="Y196" s="206"/>
      <c r="Z196" s="206"/>
      <c r="AA196" s="206"/>
      <c r="AB196" s="206"/>
      <c r="AC196" s="206"/>
      <c r="AE196" s="206"/>
      <c r="AG196" s="206"/>
    </row>
    <row r="197" spans="3:33" ht="13.5" x14ac:dyDescent="0.25">
      <c r="C197" s="219" t="s">
        <v>216</v>
      </c>
      <c r="D197" s="220"/>
      <c r="E197" s="220"/>
      <c r="F197" s="220"/>
      <c r="G197" s="220"/>
      <c r="H197" s="220"/>
      <c r="I197" s="220"/>
      <c r="J197" s="220"/>
      <c r="K197" s="221">
        <f>SUM(K195:K196)</f>
        <v>6635932.3799999999</v>
      </c>
      <c r="L197" s="221">
        <f t="shared" ref="L197:W197" si="157">SUM(L195:L196)</f>
        <v>0</v>
      </c>
      <c r="M197" s="221">
        <f t="shared" si="157"/>
        <v>0</v>
      </c>
      <c r="N197" s="221">
        <f t="shared" si="157"/>
        <v>0</v>
      </c>
      <c r="O197" s="221">
        <f t="shared" si="157"/>
        <v>1696936.9799999997</v>
      </c>
      <c r="P197" s="221">
        <f t="shared" si="157"/>
        <v>7691090.8200000003</v>
      </c>
      <c r="Q197" s="221">
        <f t="shared" si="157"/>
        <v>9137300.2785000019</v>
      </c>
      <c r="R197" s="221">
        <f t="shared" si="157"/>
        <v>25030259.818499997</v>
      </c>
      <c r="S197" s="221">
        <f t="shared" si="157"/>
        <v>1658983.9500000002</v>
      </c>
      <c r="T197" s="221">
        <f t="shared" si="157"/>
        <v>0</v>
      </c>
      <c r="U197" s="221">
        <f t="shared" si="157"/>
        <v>26675821.558499999</v>
      </c>
      <c r="V197" s="221">
        <f t="shared" si="157"/>
        <v>21776326.042094998</v>
      </c>
      <c r="W197" s="221">
        <f t="shared" si="157"/>
        <v>23207964.755894996</v>
      </c>
      <c r="Y197" s="206"/>
    </row>
    <row r="198" spans="3:33" x14ac:dyDescent="0.2">
      <c r="Y198" s="206"/>
    </row>
    <row r="199" spans="3:33" x14ac:dyDescent="0.2">
      <c r="K199" s="206">
        <f>K187*3</f>
        <v>6635932.3799999999</v>
      </c>
      <c r="L199" s="206">
        <f t="shared" ref="L199:W199" si="158">L187*3</f>
        <v>0</v>
      </c>
      <c r="M199" s="206">
        <f t="shared" si="158"/>
        <v>0</v>
      </c>
      <c r="N199" s="206">
        <f t="shared" si="158"/>
        <v>0</v>
      </c>
      <c r="O199" s="206">
        <f t="shared" si="158"/>
        <v>1696936.9799999997</v>
      </c>
      <c r="P199" s="206">
        <f t="shared" si="158"/>
        <v>7691090.8200000003</v>
      </c>
      <c r="Q199" s="206">
        <f t="shared" si="158"/>
        <v>9137300.2785000019</v>
      </c>
      <c r="R199" s="206">
        <f t="shared" si="158"/>
        <v>25030259.818499997</v>
      </c>
      <c r="S199" s="206">
        <f t="shared" si="158"/>
        <v>1658983.9500000002</v>
      </c>
      <c r="T199" s="206">
        <f t="shared" si="158"/>
        <v>511.08000000000004</v>
      </c>
      <c r="U199" s="206">
        <f t="shared" si="158"/>
        <v>26675821.558499996</v>
      </c>
      <c r="V199" s="206">
        <f t="shared" si="158"/>
        <v>21776326.042094998</v>
      </c>
      <c r="W199" s="206">
        <f t="shared" si="158"/>
        <v>23207964.755894996</v>
      </c>
      <c r="X199" s="206"/>
      <c r="Y199" s="206"/>
      <c r="Z199" s="206"/>
      <c r="AA199" s="206"/>
      <c r="AB199" s="206"/>
      <c r="AC199" s="206"/>
      <c r="AE199" s="206"/>
      <c r="AG199" s="206"/>
    </row>
    <row r="200" spans="3:33" x14ac:dyDescent="0.2">
      <c r="K200" s="206">
        <f>K199-K197</f>
        <v>0</v>
      </c>
      <c r="L200" s="206">
        <f t="shared" ref="L200:W200" si="159">L199-L197</f>
        <v>0</v>
      </c>
      <c r="M200" s="206">
        <f t="shared" si="159"/>
        <v>0</v>
      </c>
      <c r="N200" s="206">
        <f t="shared" si="159"/>
        <v>0</v>
      </c>
      <c r="O200" s="206">
        <f t="shared" si="159"/>
        <v>0</v>
      </c>
      <c r="P200" s="206">
        <f t="shared" si="159"/>
        <v>0</v>
      </c>
      <c r="Q200" s="206">
        <f t="shared" si="159"/>
        <v>0</v>
      </c>
      <c r="R200" s="206">
        <f t="shared" si="159"/>
        <v>0</v>
      </c>
      <c r="S200" s="206">
        <f t="shared" si="159"/>
        <v>0</v>
      </c>
      <c r="T200" s="206">
        <f t="shared" si="159"/>
        <v>511.08000000000004</v>
      </c>
      <c r="U200" s="206">
        <f t="shared" si="159"/>
        <v>0</v>
      </c>
      <c r="V200" s="206">
        <f t="shared" si="159"/>
        <v>0</v>
      </c>
      <c r="W200" s="206">
        <f t="shared" si="159"/>
        <v>0</v>
      </c>
    </row>
    <row r="202" spans="3:33" x14ac:dyDescent="0.2">
      <c r="K202" s="206">
        <f>ROUND(K187*2/12,2)</f>
        <v>368662.91</v>
      </c>
      <c r="Q202" s="210"/>
    </row>
    <row r="203" spans="3:33" x14ac:dyDescent="0.2">
      <c r="K203" s="206">
        <f>K202*3</f>
        <v>1105988.73</v>
      </c>
      <c r="Q203" s="210"/>
    </row>
    <row r="204" spans="3:33" x14ac:dyDescent="0.2">
      <c r="L204" s="85"/>
    </row>
    <row r="205" spans="3:33" x14ac:dyDescent="0.2">
      <c r="O205" s="211"/>
      <c r="P205" s="211"/>
      <c r="Q205" s="211"/>
      <c r="R205" s="212"/>
      <c r="S205" s="211"/>
      <c r="T205" s="211"/>
      <c r="U205" s="211"/>
      <c r="W205" s="211"/>
      <c r="X205" s="211"/>
      <c r="Y205" s="211"/>
      <c r="Z205" s="211"/>
      <c r="AA205" s="211"/>
      <c r="AB205" s="211"/>
      <c r="AC205" s="211"/>
      <c r="AE205" s="211"/>
      <c r="AG205" s="211"/>
    </row>
    <row r="207" spans="3:33" x14ac:dyDescent="0.2">
      <c r="D207">
        <f>36-5</f>
        <v>31</v>
      </c>
    </row>
    <row r="209" spans="11:20" x14ac:dyDescent="0.2">
      <c r="K209" s="85">
        <f>K187/'26.08.22'!K187</f>
        <v>1.0515839461562233</v>
      </c>
    </row>
    <row r="212" spans="11:20" x14ac:dyDescent="0.2">
      <c r="P212" s="85"/>
      <c r="T212" s="85"/>
    </row>
  </sheetData>
  <mergeCells count="5">
    <mergeCell ref="A3:C3"/>
    <mergeCell ref="E5:L5"/>
    <mergeCell ref="L6:M6"/>
    <mergeCell ref="O7:R7"/>
    <mergeCell ref="O8:R8"/>
  </mergeCells>
  <pageMargins left="0.11811023622047245" right="0.11811023622047245" top="0.35433070866141736" bottom="0.15748031496062992" header="0.31496062992125984" footer="0.31496062992125984"/>
  <pageSetup paperSize="9" scale="39" fitToHeight="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204"/>
  <sheetViews>
    <sheetView topLeftCell="A173" workbookViewId="0">
      <selection activeCell="O179" sqref="O179"/>
    </sheetView>
  </sheetViews>
  <sheetFormatPr defaultRowHeight="12.75" x14ac:dyDescent="0.2"/>
  <cols>
    <col min="1" max="1" width="26.28515625" customWidth="1"/>
    <col min="2" max="2" width="4.140625" customWidth="1"/>
    <col min="3" max="3" width="28.7109375" customWidth="1"/>
    <col min="4" max="4" width="11.28515625" bestFit="1" customWidth="1"/>
    <col min="5" max="5" width="0.140625" hidden="1" customWidth="1"/>
    <col min="6" max="6" width="13.7109375" hidden="1" customWidth="1"/>
    <col min="7" max="7" width="10.140625" hidden="1" customWidth="1"/>
    <col min="8" max="8" width="10.5703125" hidden="1" customWidth="1"/>
    <col min="9" max="9" width="12" hidden="1" customWidth="1"/>
    <col min="10" max="10" width="0.140625" customWidth="1"/>
    <col min="11" max="11" width="12.5703125" style="85" customWidth="1"/>
    <col min="12" max="12" width="17.7109375" customWidth="1"/>
    <col min="13" max="13" width="6" customWidth="1"/>
    <col min="14" max="14" width="8.42578125" hidden="1" customWidth="1"/>
    <col min="15" max="15" width="12.28515625" bestFit="1" customWidth="1"/>
    <col min="16" max="16" width="16.28515625" customWidth="1"/>
    <col min="17" max="17" width="13.5703125" customWidth="1"/>
    <col min="18" max="18" width="13" style="38" customWidth="1"/>
    <col min="19" max="19" width="12.28515625" bestFit="1" customWidth="1"/>
    <col min="20" max="20" width="14" customWidth="1"/>
    <col min="21" max="21" width="14.85546875" customWidth="1"/>
    <col min="22" max="22" width="13" customWidth="1"/>
    <col min="23" max="23" width="12.28515625" bestFit="1" customWidth="1"/>
    <col min="24" max="24" width="12.28515625" customWidth="1"/>
    <col min="25" max="25" width="15.85546875" bestFit="1" customWidth="1"/>
    <col min="26" max="26" width="12.28515625" customWidth="1"/>
    <col min="27" max="27" width="14.28515625" customWidth="1"/>
    <col min="28" max="29" width="12.28515625" customWidth="1"/>
    <col min="30" max="30" width="14.140625" customWidth="1"/>
    <col min="31" max="31" width="12.28515625" bestFit="1" customWidth="1"/>
    <col min="32" max="32" width="14.140625" customWidth="1"/>
    <col min="33" max="33" width="13.42578125" bestFit="1" customWidth="1"/>
    <col min="34" max="34" width="10.140625" bestFit="1" customWidth="1"/>
  </cols>
  <sheetData>
    <row r="1" spans="1:34" ht="15.75" x14ac:dyDescent="0.25">
      <c r="A1" s="1" t="s">
        <v>0</v>
      </c>
      <c r="B1" s="2"/>
      <c r="C1" s="1"/>
      <c r="D1" s="1"/>
      <c r="E1" s="3"/>
      <c r="F1" s="4"/>
      <c r="G1" s="5"/>
      <c r="H1" s="5"/>
      <c r="I1" s="5"/>
      <c r="J1" s="5"/>
      <c r="K1" s="223"/>
      <c r="L1" s="6"/>
      <c r="M1" s="7"/>
      <c r="N1" s="1"/>
      <c r="O1" s="1"/>
      <c r="P1" s="7" t="s">
        <v>1</v>
      </c>
      <c r="Q1" s="8"/>
      <c r="R1" s="9"/>
      <c r="S1" s="1"/>
      <c r="T1" s="7"/>
      <c r="U1" s="1"/>
      <c r="W1" s="1"/>
      <c r="X1" s="1"/>
      <c r="Y1" s="1"/>
      <c r="Z1" s="1"/>
      <c r="AA1" s="1"/>
      <c r="AB1" s="1"/>
      <c r="AC1" s="1"/>
      <c r="AE1" s="1"/>
      <c r="AG1" s="1"/>
    </row>
    <row r="2" spans="1:34" x14ac:dyDescent="0.2">
      <c r="A2" s="7" t="s">
        <v>2</v>
      </c>
      <c r="B2" s="2"/>
      <c r="C2" s="7"/>
      <c r="D2" s="1"/>
      <c r="E2" s="3"/>
      <c r="F2" s="4"/>
      <c r="G2" s="4"/>
      <c r="H2" s="4"/>
      <c r="I2" s="4"/>
      <c r="J2" s="4"/>
      <c r="K2" s="224"/>
      <c r="L2" s="10"/>
      <c r="M2" s="1"/>
      <c r="N2" s="1"/>
      <c r="O2" s="1"/>
      <c r="P2" s="11" t="s">
        <v>3</v>
      </c>
      <c r="Q2" s="12"/>
      <c r="R2" s="13"/>
      <c r="S2" s="1"/>
      <c r="T2" s="11"/>
      <c r="U2" s="1"/>
      <c r="W2" s="1"/>
      <c r="X2" s="1"/>
      <c r="Y2" s="1"/>
      <c r="Z2" s="1"/>
      <c r="AA2" s="1"/>
      <c r="AB2" s="1"/>
      <c r="AC2" s="1"/>
      <c r="AE2" s="1"/>
      <c r="AG2" s="1"/>
    </row>
    <row r="3" spans="1:34" ht="15.75" x14ac:dyDescent="0.2">
      <c r="A3" s="463" t="s">
        <v>4</v>
      </c>
      <c r="B3" s="464"/>
      <c r="C3" s="464"/>
      <c r="D3" s="14"/>
      <c r="E3" s="15"/>
      <c r="F3" s="16"/>
      <c r="G3" s="16"/>
      <c r="H3" s="16"/>
      <c r="I3" s="16"/>
      <c r="J3" s="16"/>
      <c r="K3" s="225"/>
      <c r="L3" s="17"/>
      <c r="M3" s="18"/>
      <c r="N3" s="19"/>
      <c r="O3" s="20"/>
      <c r="P3" s="21" t="s">
        <v>5</v>
      </c>
      <c r="Q3" s="22"/>
      <c r="R3" s="23"/>
      <c r="S3" s="20"/>
      <c r="T3" s="21"/>
      <c r="U3" s="20"/>
      <c r="W3" s="20"/>
      <c r="X3" s="20"/>
      <c r="Y3" s="20"/>
      <c r="Z3" s="20"/>
      <c r="AA3" s="20"/>
      <c r="AB3" s="20"/>
      <c r="AC3" s="20"/>
      <c r="AE3" s="20"/>
      <c r="AG3" s="20"/>
    </row>
    <row r="4" spans="1:34" ht="9.75" customHeight="1" x14ac:dyDescent="0.2">
      <c r="A4" s="24"/>
      <c r="B4" s="25"/>
      <c r="C4" s="235"/>
      <c r="D4" s="14"/>
      <c r="E4" s="15"/>
      <c r="F4" s="16"/>
      <c r="G4" s="16"/>
      <c r="H4" s="16"/>
      <c r="I4" s="16"/>
      <c r="J4" s="16"/>
      <c r="K4" s="225"/>
      <c r="L4" s="17"/>
      <c r="M4" s="18"/>
      <c r="N4" s="19"/>
      <c r="O4" s="20"/>
      <c r="P4" s="21"/>
      <c r="Q4" s="22"/>
      <c r="R4" s="23"/>
      <c r="S4" s="20"/>
      <c r="T4" s="21"/>
      <c r="U4" s="20"/>
      <c r="W4" s="20"/>
      <c r="X4" s="20"/>
      <c r="Y4" s="20"/>
      <c r="Z4" s="20"/>
      <c r="AA4" s="20"/>
      <c r="AB4" s="20"/>
      <c r="AC4" s="20"/>
      <c r="AE4" s="20"/>
      <c r="AG4" s="20"/>
    </row>
    <row r="5" spans="1:34" ht="19.5" hidden="1" x14ac:dyDescent="0.2">
      <c r="A5" s="19"/>
      <c r="B5" s="25"/>
      <c r="C5" s="27"/>
      <c r="D5" s="28"/>
      <c r="E5" s="465"/>
      <c r="F5" s="465"/>
      <c r="G5" s="465"/>
      <c r="H5" s="465"/>
      <c r="I5" s="465"/>
      <c r="J5" s="465"/>
      <c r="K5" s="465"/>
      <c r="L5" s="466"/>
      <c r="M5" s="19"/>
      <c r="N5" s="19"/>
      <c r="P5" s="29"/>
      <c r="Q5" s="30"/>
      <c r="R5" s="31"/>
      <c r="T5" s="29"/>
    </row>
    <row r="6" spans="1:34" ht="19.5" x14ac:dyDescent="0.2">
      <c r="A6" s="19"/>
      <c r="B6" s="25"/>
      <c r="C6" s="32"/>
      <c r="D6" s="28"/>
      <c r="E6" s="15"/>
      <c r="F6" s="16"/>
      <c r="G6" s="16"/>
      <c r="H6" s="16"/>
      <c r="I6" s="16"/>
      <c r="J6" s="16"/>
      <c r="K6" s="225"/>
      <c r="L6" s="465"/>
      <c r="M6" s="466"/>
      <c r="N6" s="19"/>
      <c r="O6" s="33"/>
      <c r="P6" s="33" t="s">
        <v>6</v>
      </c>
      <c r="Q6" s="33"/>
      <c r="R6" s="31"/>
      <c r="S6" s="33"/>
      <c r="T6" s="33"/>
      <c r="U6" s="33"/>
      <c r="W6" s="33"/>
      <c r="X6" s="33"/>
      <c r="Y6" s="33"/>
      <c r="Z6" s="33"/>
      <c r="AA6" s="33"/>
      <c r="AB6" s="33"/>
      <c r="AC6" s="33"/>
      <c r="AE6" s="33"/>
      <c r="AG6" s="33"/>
    </row>
    <row r="7" spans="1:34" ht="15.75" customHeight="1" x14ac:dyDescent="0.25">
      <c r="A7" s="34" t="s">
        <v>232</v>
      </c>
      <c r="B7" s="35"/>
      <c r="C7" s="34"/>
      <c r="D7" s="35"/>
      <c r="E7" s="36"/>
      <c r="F7" s="36"/>
      <c r="G7" s="36"/>
      <c r="H7" s="36"/>
      <c r="I7" s="36"/>
      <c r="J7" s="36"/>
      <c r="K7" s="226"/>
      <c r="L7" s="37"/>
      <c r="M7" s="19"/>
      <c r="N7" s="19"/>
      <c r="O7" s="467" t="s">
        <v>188</v>
      </c>
      <c r="P7" s="468"/>
      <c r="Q7" s="468"/>
      <c r="R7" s="468"/>
      <c r="T7" s="38"/>
    </row>
    <row r="8" spans="1:34" ht="19.5" customHeight="1" x14ac:dyDescent="0.2">
      <c r="A8" s="19"/>
      <c r="B8" s="25"/>
      <c r="C8" s="27"/>
      <c r="D8" s="39"/>
      <c r="E8" s="40"/>
      <c r="F8" s="41"/>
      <c r="G8" s="41"/>
      <c r="H8" s="41"/>
      <c r="I8" s="41"/>
      <c r="J8" s="41"/>
      <c r="K8" s="227"/>
      <c r="L8" s="42"/>
      <c r="M8" s="19"/>
      <c r="N8" s="19"/>
      <c r="O8" s="467"/>
      <c r="P8" s="468"/>
      <c r="Q8" s="468"/>
      <c r="R8" s="468"/>
      <c r="T8" s="214"/>
    </row>
    <row r="9" spans="1:34" ht="13.5" x14ac:dyDescent="0.25">
      <c r="A9" s="43"/>
      <c r="B9" s="44"/>
      <c r="C9" s="45"/>
      <c r="D9" s="43"/>
      <c r="E9" s="46"/>
      <c r="F9" s="47"/>
      <c r="G9" s="47"/>
      <c r="H9" s="47"/>
      <c r="I9" s="47"/>
      <c r="J9" s="47"/>
      <c r="K9" s="47"/>
      <c r="L9" s="48"/>
      <c r="M9" s="43"/>
      <c r="N9" s="43"/>
      <c r="O9" s="43"/>
      <c r="P9" s="43"/>
      <c r="Q9" s="44"/>
      <c r="R9" s="213" t="s">
        <v>179</v>
      </c>
      <c r="S9" s="43"/>
      <c r="T9" s="43"/>
      <c r="U9" s="43"/>
      <c r="W9" s="43"/>
      <c r="X9" s="49"/>
      <c r="Y9" s="43"/>
      <c r="Z9" s="49"/>
      <c r="AA9" s="49"/>
      <c r="AB9" s="49"/>
      <c r="AC9" s="49"/>
      <c r="AE9" s="43"/>
      <c r="AG9" s="43"/>
    </row>
    <row r="10" spans="1:34" ht="102" customHeight="1" x14ac:dyDescent="0.2">
      <c r="A10" s="50" t="s">
        <v>7</v>
      </c>
      <c r="B10" s="50" t="s">
        <v>8</v>
      </c>
      <c r="C10" s="50" t="s">
        <v>9</v>
      </c>
      <c r="D10" s="50" t="s">
        <v>10</v>
      </c>
      <c r="E10" s="50" t="s">
        <v>11</v>
      </c>
      <c r="F10" s="50" t="s">
        <v>11</v>
      </c>
      <c r="G10" s="50" t="s">
        <v>11</v>
      </c>
      <c r="H10" s="51" t="s">
        <v>12</v>
      </c>
      <c r="I10" s="50" t="s">
        <v>13</v>
      </c>
      <c r="J10" s="50"/>
      <c r="K10" s="228" t="s">
        <v>11</v>
      </c>
      <c r="L10" s="52" t="s">
        <v>14</v>
      </c>
      <c r="M10" s="53" t="s">
        <v>15</v>
      </c>
      <c r="N10" s="54" t="s">
        <v>16</v>
      </c>
      <c r="O10" s="55" t="s">
        <v>17</v>
      </c>
      <c r="P10" s="53" t="s">
        <v>18</v>
      </c>
      <c r="Q10" s="53" t="s">
        <v>19</v>
      </c>
      <c r="R10" s="56" t="s">
        <v>20</v>
      </c>
      <c r="S10" s="55" t="s">
        <v>21</v>
      </c>
      <c r="T10" s="53" t="s">
        <v>22</v>
      </c>
      <c r="U10" s="55" t="s">
        <v>20</v>
      </c>
      <c r="V10" s="56" t="s">
        <v>23</v>
      </c>
      <c r="W10" s="55" t="s">
        <v>24</v>
      </c>
      <c r="X10" s="57" t="s">
        <v>25</v>
      </c>
      <c r="Y10" s="55" t="s">
        <v>26</v>
      </c>
      <c r="Z10" s="57"/>
      <c r="AA10" s="57"/>
      <c r="AB10" s="57"/>
      <c r="AC10" s="57"/>
      <c r="AE10" s="55"/>
      <c r="AG10" s="55"/>
    </row>
    <row r="11" spans="1:34" ht="13.5" x14ac:dyDescent="0.2">
      <c r="A11" s="50" t="s">
        <v>27</v>
      </c>
      <c r="B11" s="50" t="s">
        <v>28</v>
      </c>
      <c r="C11" s="50" t="s">
        <v>29</v>
      </c>
      <c r="D11" s="50" t="s">
        <v>30</v>
      </c>
      <c r="E11" s="50"/>
      <c r="F11" s="50"/>
      <c r="G11" s="50"/>
      <c r="H11" s="50"/>
      <c r="I11" s="50"/>
      <c r="J11" s="50"/>
      <c r="K11" s="228" t="s">
        <v>31</v>
      </c>
      <c r="L11" s="52">
        <v>6</v>
      </c>
      <c r="M11" s="53">
        <v>7</v>
      </c>
      <c r="N11" s="54"/>
      <c r="O11" s="55">
        <v>8</v>
      </c>
      <c r="P11" s="53">
        <v>9</v>
      </c>
      <c r="Q11" s="53">
        <v>10</v>
      </c>
      <c r="R11" s="58">
        <v>11</v>
      </c>
      <c r="S11" s="55">
        <v>12</v>
      </c>
      <c r="T11" s="53">
        <v>13</v>
      </c>
      <c r="U11" s="55">
        <v>14</v>
      </c>
      <c r="V11" s="58">
        <v>15</v>
      </c>
      <c r="W11" s="55">
        <v>16</v>
      </c>
      <c r="X11" s="57"/>
      <c r="Y11" s="55"/>
      <c r="Z11" s="57"/>
      <c r="AA11" s="57"/>
      <c r="AB11" s="57"/>
      <c r="AC11" s="57"/>
      <c r="AE11" s="55"/>
      <c r="AG11" s="55"/>
    </row>
    <row r="12" spans="1:34" x14ac:dyDescent="0.2">
      <c r="A12" s="59" t="s">
        <v>32</v>
      </c>
      <c r="B12" s="60"/>
      <c r="C12" s="60"/>
      <c r="D12" s="60"/>
      <c r="E12" s="61"/>
      <c r="F12" s="62">
        <v>1.1000000000000001</v>
      </c>
      <c r="G12" s="62">
        <v>1.1000000000000001</v>
      </c>
      <c r="H12" s="62">
        <v>1.1000000000000001</v>
      </c>
      <c r="I12" s="62">
        <v>1.1000000000000001</v>
      </c>
      <c r="J12" s="62">
        <v>1.06</v>
      </c>
      <c r="K12" s="229"/>
      <c r="L12" s="63"/>
      <c r="M12" s="64"/>
      <c r="N12" s="64"/>
      <c r="O12" s="64"/>
      <c r="P12" s="65">
        <v>1.24</v>
      </c>
      <c r="Q12" s="66" t="s">
        <v>33</v>
      </c>
      <c r="R12" s="67"/>
      <c r="S12" s="64">
        <v>0.25</v>
      </c>
      <c r="T12" s="65"/>
      <c r="U12" s="64"/>
      <c r="V12" s="67"/>
      <c r="W12" s="64"/>
      <c r="X12" s="68"/>
      <c r="Y12" s="64"/>
      <c r="Z12" s="68"/>
      <c r="AA12" s="68"/>
      <c r="AB12" s="68"/>
      <c r="AC12" s="68"/>
      <c r="AE12" s="64"/>
      <c r="AG12" s="64"/>
    </row>
    <row r="13" spans="1:34" ht="15.75" customHeight="1" x14ac:dyDescent="0.2">
      <c r="A13" s="69"/>
      <c r="B13" s="70"/>
      <c r="C13" s="71" t="s">
        <v>34</v>
      </c>
      <c r="D13" s="72">
        <v>1</v>
      </c>
      <c r="E13" s="73">
        <v>12000</v>
      </c>
      <c r="F13" s="74">
        <f>ROUND(E13*F$12,2)</f>
        <v>13200</v>
      </c>
      <c r="G13" s="74">
        <f>F13*1.1*1.1</f>
        <v>15972.000000000004</v>
      </c>
      <c r="H13" s="74">
        <v>19740.75</v>
      </c>
      <c r="I13" s="74">
        <f>H13*$I$12</f>
        <v>21714.825000000001</v>
      </c>
      <c r="J13" s="74">
        <v>23017.714500000002</v>
      </c>
      <c r="K13" s="74">
        <v>33039.22</v>
      </c>
      <c r="L13" s="75" t="s">
        <v>35</v>
      </c>
      <c r="M13" s="76">
        <v>30</v>
      </c>
      <c r="N13" s="77"/>
      <c r="O13" s="78">
        <f>ROUND((K13*M13/100),2)</f>
        <v>9911.77</v>
      </c>
      <c r="P13" s="78">
        <f>ROUND(K13*P$12,2)</f>
        <v>40968.629999999997</v>
      </c>
      <c r="Q13" s="78">
        <f>K13*T13</f>
        <v>44272.554800000005</v>
      </c>
      <c r="R13" s="79">
        <f>K13+O13+P13+Q13</f>
        <v>128192.17480000001</v>
      </c>
      <c r="S13" s="78">
        <f>ROUND(K13*S$12,2)</f>
        <v>8259.81</v>
      </c>
      <c r="T13" s="78">
        <v>1.34</v>
      </c>
      <c r="U13" s="78">
        <f>K13+O13+P13+Q13+S13</f>
        <v>136451.98480000001</v>
      </c>
      <c r="V13" s="79">
        <f>R13*0.87</f>
        <v>111527.19207600001</v>
      </c>
      <c r="W13" s="78">
        <f>U13*0.87</f>
        <v>118713.22677600001</v>
      </c>
      <c r="X13" s="80">
        <v>3</v>
      </c>
      <c r="Y13" s="78">
        <v>3</v>
      </c>
      <c r="Z13" s="80">
        <f>X13-Y13</f>
        <v>0</v>
      </c>
      <c r="AA13" s="80">
        <f>K13*Z13</f>
        <v>0</v>
      </c>
      <c r="AB13" s="80">
        <f>K13*Y13</f>
        <v>99117.66</v>
      </c>
      <c r="AC13" s="80"/>
      <c r="AD13">
        <v>0.1</v>
      </c>
      <c r="AE13" s="78">
        <f>K13*AD13</f>
        <v>3303.9220000000005</v>
      </c>
      <c r="AF13">
        <v>0.2</v>
      </c>
      <c r="AG13" s="78">
        <f>AF13*K13</f>
        <v>6607.844000000001</v>
      </c>
    </row>
    <row r="14" spans="1:34" ht="16.5" hidden="1" customHeight="1" x14ac:dyDescent="0.2">
      <c r="A14" s="81"/>
      <c r="B14" s="82"/>
      <c r="C14" s="82" t="s">
        <v>36</v>
      </c>
      <c r="D14" s="72">
        <v>0</v>
      </c>
      <c r="E14" s="73">
        <v>11500</v>
      </c>
      <c r="F14" s="74">
        <f>ROUND(E14*F$12,2)</f>
        <v>12650</v>
      </c>
      <c r="G14" s="74">
        <f>F14*1.1*1.1+0.5</f>
        <v>15307.000000000004</v>
      </c>
      <c r="H14" s="74">
        <v>18918.22</v>
      </c>
      <c r="I14" s="74">
        <f>H14*$I$12</f>
        <v>20810.042000000001</v>
      </c>
      <c r="J14" s="74">
        <v>22058.644520000002</v>
      </c>
      <c r="K14" s="74"/>
      <c r="L14" s="75"/>
      <c r="M14" s="83"/>
      <c r="N14" s="84"/>
      <c r="O14" s="78">
        <f>ROUND((K14*M14/100),2)</f>
        <v>0</v>
      </c>
      <c r="P14" s="78">
        <f>ROUND(K14*P$12,2)</f>
        <v>0</v>
      </c>
      <c r="Q14" s="78">
        <f>K14*T14</f>
        <v>0</v>
      </c>
      <c r="R14" s="79">
        <f>K14+O14+P14+Q14</f>
        <v>0</v>
      </c>
      <c r="S14" s="78">
        <f>ROUND(K14*S$12,2)</f>
        <v>0</v>
      </c>
      <c r="T14" s="78">
        <v>1.1399999999999999</v>
      </c>
      <c r="U14" s="78">
        <f>K14+O14+P14+Q14+S14</f>
        <v>0</v>
      </c>
      <c r="V14" s="79">
        <f>R14*0.87</f>
        <v>0</v>
      </c>
      <c r="W14" s="78">
        <f t="shared" ref="W14:W90" si="0">U14*0.87</f>
        <v>0</v>
      </c>
      <c r="X14" s="80">
        <v>3</v>
      </c>
      <c r="Y14" s="78">
        <v>3</v>
      </c>
      <c r="Z14" s="80">
        <f t="shared" ref="Z14:Z95" si="1">X14-Y14</f>
        <v>0</v>
      </c>
      <c r="AA14" s="80">
        <f t="shared" ref="AA14:AA95" si="2">K14*Z14</f>
        <v>0</v>
      </c>
      <c r="AB14" s="80">
        <f t="shared" ref="AB14:AB95" si="3">K14*Y14</f>
        <v>0</v>
      </c>
      <c r="AC14" s="80"/>
      <c r="AD14">
        <v>0.1</v>
      </c>
      <c r="AE14" s="78">
        <f t="shared" ref="AE14:AE95" si="4">K14*AD14</f>
        <v>0</v>
      </c>
      <c r="AF14">
        <v>0.2</v>
      </c>
      <c r="AG14" s="78">
        <f t="shared" ref="AG14:AG95" si="5">AF14*K14</f>
        <v>0</v>
      </c>
      <c r="AH14" s="85">
        <f>R14+AG14</f>
        <v>0</v>
      </c>
    </row>
    <row r="15" spans="1:34" ht="16.5" customHeight="1" x14ac:dyDescent="0.2">
      <c r="A15" s="81"/>
      <c r="B15" s="82"/>
      <c r="C15" s="82" t="s">
        <v>37</v>
      </c>
      <c r="D15" s="72">
        <v>1</v>
      </c>
      <c r="E15" s="73"/>
      <c r="F15" s="74"/>
      <c r="G15" s="74"/>
      <c r="H15" s="74"/>
      <c r="I15" s="74"/>
      <c r="J15" s="74"/>
      <c r="K15" s="74">
        <v>17896.259999999998</v>
      </c>
      <c r="L15" s="75" t="s">
        <v>187</v>
      </c>
      <c r="M15" s="83">
        <v>10</v>
      </c>
      <c r="N15" s="84"/>
      <c r="O15" s="78">
        <f>ROUND((K15*M15/100),2)</f>
        <v>1789.63</v>
      </c>
      <c r="P15" s="78">
        <f>ROUND(K15*1.14,2)</f>
        <v>20401.740000000002</v>
      </c>
      <c r="Q15" s="78">
        <f>K15*T15</f>
        <v>27560.240399999999</v>
      </c>
      <c r="R15" s="79">
        <f>K15+O15+P15+Q15</f>
        <v>67647.8704</v>
      </c>
      <c r="S15" s="78">
        <f>ROUND(K15*S$12,2)</f>
        <v>4474.07</v>
      </c>
      <c r="T15" s="78">
        <v>1.54</v>
      </c>
      <c r="U15" s="78">
        <f>K15+O15+P15+Q15+S15</f>
        <v>72121.940399999992</v>
      </c>
      <c r="V15" s="79">
        <f>R15*0.87</f>
        <v>58853.647248000001</v>
      </c>
      <c r="W15" s="78">
        <f t="shared" si="0"/>
        <v>62746.088147999995</v>
      </c>
      <c r="X15" s="80">
        <v>3</v>
      </c>
      <c r="Y15" s="78">
        <v>3</v>
      </c>
      <c r="Z15" s="80">
        <f t="shared" si="1"/>
        <v>0</v>
      </c>
      <c r="AA15" s="80">
        <f t="shared" si="2"/>
        <v>0</v>
      </c>
      <c r="AB15" s="80">
        <f t="shared" si="3"/>
        <v>53688.78</v>
      </c>
      <c r="AC15" s="80"/>
      <c r="AD15">
        <v>1.1000000000000001</v>
      </c>
      <c r="AE15" s="78">
        <f t="shared" si="4"/>
        <v>19685.885999999999</v>
      </c>
      <c r="AF15">
        <v>1.2</v>
      </c>
      <c r="AG15" s="78">
        <f t="shared" si="5"/>
        <v>21475.511999999999</v>
      </c>
      <c r="AH15" s="85">
        <f>R15+AG15</f>
        <v>89123.382400000002</v>
      </c>
    </row>
    <row r="16" spans="1:34" x14ac:dyDescent="0.2">
      <c r="A16" s="86"/>
      <c r="B16" s="87"/>
      <c r="C16" s="87" t="s">
        <v>38</v>
      </c>
      <c r="D16" s="88">
        <f>SUM(D13:D15)</f>
        <v>2</v>
      </c>
      <c r="E16" s="89">
        <f>SUM(E13:E14)</f>
        <v>23500</v>
      </c>
      <c r="F16" s="89">
        <f>SUM(F13:F14)</f>
        <v>25850</v>
      </c>
      <c r="G16" s="89">
        <f>SUM(G13:G14)</f>
        <v>31279.000000000007</v>
      </c>
      <c r="H16" s="89">
        <f>SUM(H13:H14)</f>
        <v>38658.97</v>
      </c>
      <c r="I16" s="89">
        <f>SUM(I13:I14)</f>
        <v>42524.866999999998</v>
      </c>
      <c r="J16" s="89">
        <v>45076.359020000004</v>
      </c>
      <c r="K16" s="90">
        <f>SUM(K13:K15)</f>
        <v>50935.479999999996</v>
      </c>
      <c r="L16" s="90"/>
      <c r="M16" s="90"/>
      <c r="N16" s="90">
        <f t="shared" ref="N16" si="6">SUM(N13:N14)</f>
        <v>0</v>
      </c>
      <c r="O16" s="90">
        <f>SUM(O13:O15)</f>
        <v>11701.400000000001</v>
      </c>
      <c r="P16" s="90">
        <f>SUM(P13:P15)</f>
        <v>61370.369999999995</v>
      </c>
      <c r="Q16" s="90">
        <f t="shared" ref="Q16:AH16" si="7">SUM(Q13:Q15)</f>
        <v>71832.795200000008</v>
      </c>
      <c r="R16" s="90">
        <f t="shared" si="7"/>
        <v>195840.04519999999</v>
      </c>
      <c r="S16" s="90">
        <f t="shared" si="7"/>
        <v>12733.88</v>
      </c>
      <c r="T16" s="90"/>
      <c r="U16" s="90">
        <f t="shared" si="7"/>
        <v>208573.9252</v>
      </c>
      <c r="V16" s="90">
        <f t="shared" si="7"/>
        <v>170380.839324</v>
      </c>
      <c r="W16" s="90">
        <f t="shared" si="7"/>
        <v>181459.31492400001</v>
      </c>
      <c r="X16" s="90">
        <f t="shared" si="7"/>
        <v>9</v>
      </c>
      <c r="Y16" s="90">
        <f t="shared" si="7"/>
        <v>9</v>
      </c>
      <c r="Z16" s="90">
        <f t="shared" si="7"/>
        <v>0</v>
      </c>
      <c r="AA16" s="90">
        <f t="shared" si="7"/>
        <v>0</v>
      </c>
      <c r="AB16" s="90">
        <f t="shared" si="7"/>
        <v>152806.44</v>
      </c>
      <c r="AC16" s="90">
        <f t="shared" si="7"/>
        <v>0</v>
      </c>
      <c r="AD16" s="90">
        <f t="shared" si="7"/>
        <v>1.3</v>
      </c>
      <c r="AE16" s="90">
        <f t="shared" si="7"/>
        <v>22989.807999999997</v>
      </c>
      <c r="AF16" s="90">
        <f t="shared" si="7"/>
        <v>1.6</v>
      </c>
      <c r="AG16" s="90">
        <f t="shared" si="7"/>
        <v>28083.356</v>
      </c>
      <c r="AH16" s="90">
        <f t="shared" si="7"/>
        <v>89123.382400000002</v>
      </c>
    </row>
    <row r="17" spans="1:34" x14ac:dyDescent="0.2">
      <c r="A17" s="92" t="s">
        <v>39</v>
      </c>
      <c r="B17" s="93"/>
      <c r="C17" s="93"/>
      <c r="D17" s="94"/>
      <c r="E17" s="95"/>
      <c r="F17" s="95"/>
      <c r="G17" s="95"/>
      <c r="H17" s="95"/>
      <c r="I17" s="95"/>
      <c r="J17" s="95"/>
      <c r="K17" s="90"/>
      <c r="L17" s="96"/>
      <c r="M17" s="97"/>
      <c r="N17" s="97"/>
      <c r="O17" s="98"/>
      <c r="P17" s="99" t="s">
        <v>40</v>
      </c>
      <c r="Q17" s="66" t="s">
        <v>41</v>
      </c>
      <c r="R17" s="79"/>
      <c r="S17" s="98"/>
      <c r="T17" s="99"/>
      <c r="U17" s="98"/>
      <c r="V17" s="100"/>
      <c r="W17" s="98"/>
      <c r="X17" s="80"/>
      <c r="Y17" s="98"/>
      <c r="Z17" s="80"/>
      <c r="AA17" s="80">
        <f t="shared" si="2"/>
        <v>0</v>
      </c>
      <c r="AB17" s="80">
        <f t="shared" si="3"/>
        <v>0</v>
      </c>
      <c r="AC17" s="101"/>
      <c r="AD17">
        <v>0.1</v>
      </c>
      <c r="AE17" s="98"/>
      <c r="AG17" s="98"/>
    </row>
    <row r="18" spans="1:34" x14ac:dyDescent="0.2">
      <c r="A18" s="102"/>
      <c r="B18" s="103"/>
      <c r="C18" s="104" t="s">
        <v>42</v>
      </c>
      <c r="D18" s="72">
        <v>1</v>
      </c>
      <c r="E18" s="73">
        <v>8500</v>
      </c>
      <c r="F18" s="74">
        <f t="shared" ref="F18:F23" si="8">ROUND(E18*F$12,2)</f>
        <v>9350</v>
      </c>
      <c r="G18" s="74">
        <f>F18*1.1*1.1+0.5</f>
        <v>11314.000000000002</v>
      </c>
      <c r="H18" s="74">
        <v>13983.03</v>
      </c>
      <c r="I18" s="74">
        <f t="shared" ref="I18:I23" si="9">H18*$I$12</f>
        <v>15381.333000000002</v>
      </c>
      <c r="J18" s="74">
        <v>16304.212980000004</v>
      </c>
      <c r="K18" s="74">
        <v>23402.77</v>
      </c>
      <c r="L18" s="105" t="s">
        <v>44</v>
      </c>
      <c r="M18" s="76">
        <v>30</v>
      </c>
      <c r="N18" s="76"/>
      <c r="O18" s="78">
        <f t="shared" ref="O18:O23" si="10">ROUND((K18*M18/100),2)</f>
        <v>7020.83</v>
      </c>
      <c r="P18" s="78">
        <f>ROUND(K18*1.24,2)</f>
        <v>29019.43</v>
      </c>
      <c r="Q18" s="78">
        <f t="shared" ref="Q18:Q22" si="11">K18*T18</f>
        <v>38380.542799999996</v>
      </c>
      <c r="R18" s="79">
        <f t="shared" ref="R18:R23" si="12">K18+O18+P18+Q18</f>
        <v>97823.572799999994</v>
      </c>
      <c r="S18" s="78">
        <f t="shared" ref="S18:S23" si="13">ROUND(K18*S$12,2)</f>
        <v>5850.69</v>
      </c>
      <c r="T18" s="78">
        <v>1.64</v>
      </c>
      <c r="U18" s="78">
        <f t="shared" ref="U18:U23" si="14">K18+O18+P18+Q18+S18</f>
        <v>103674.2628</v>
      </c>
      <c r="V18" s="79">
        <f t="shared" ref="V18:V90" si="15">R18*0.87</f>
        <v>85106.508335999999</v>
      </c>
      <c r="W18" s="78">
        <f t="shared" si="0"/>
        <v>90196.60863599999</v>
      </c>
      <c r="X18" s="80">
        <v>3</v>
      </c>
      <c r="Y18" s="78">
        <v>3</v>
      </c>
      <c r="Z18" s="80">
        <f t="shared" si="1"/>
        <v>0</v>
      </c>
      <c r="AA18" s="80">
        <f t="shared" si="2"/>
        <v>0</v>
      </c>
      <c r="AB18" s="80">
        <f t="shared" si="3"/>
        <v>70208.31</v>
      </c>
      <c r="AC18" s="80"/>
      <c r="AD18">
        <v>0.1</v>
      </c>
      <c r="AE18" s="78">
        <f t="shared" si="4"/>
        <v>2340.277</v>
      </c>
      <c r="AF18">
        <v>0.2</v>
      </c>
      <c r="AG18" s="78">
        <f t="shared" si="5"/>
        <v>4680.5540000000001</v>
      </c>
    </row>
    <row r="19" spans="1:34" x14ac:dyDescent="0.2">
      <c r="A19" s="102"/>
      <c r="B19" s="106"/>
      <c r="C19" s="82" t="s">
        <v>43</v>
      </c>
      <c r="D19" s="72">
        <v>1</v>
      </c>
      <c r="E19" s="73">
        <v>7700</v>
      </c>
      <c r="F19" s="74">
        <f t="shared" si="8"/>
        <v>8470</v>
      </c>
      <c r="G19" s="74">
        <f>F19*1.1*1.1+0.3</f>
        <v>10249</v>
      </c>
      <c r="H19" s="74">
        <v>12666.98</v>
      </c>
      <c r="I19" s="74">
        <f t="shared" si="9"/>
        <v>13933.678</v>
      </c>
      <c r="J19" s="74">
        <v>14769.698680000001</v>
      </c>
      <c r="K19" s="74">
        <v>21200.16</v>
      </c>
      <c r="L19" s="75" t="s">
        <v>46</v>
      </c>
      <c r="M19" s="76">
        <v>30</v>
      </c>
      <c r="N19" s="76"/>
      <c r="O19" s="78">
        <f t="shared" si="10"/>
        <v>6360.05</v>
      </c>
      <c r="P19" s="78">
        <f>ROUND(K19*1.14,2)</f>
        <v>24168.18</v>
      </c>
      <c r="Q19" s="78">
        <f t="shared" si="11"/>
        <v>32648.2464</v>
      </c>
      <c r="R19" s="79">
        <f t="shared" si="12"/>
        <v>84376.636400000003</v>
      </c>
      <c r="S19" s="78">
        <f t="shared" si="13"/>
        <v>5300.04</v>
      </c>
      <c r="T19" s="78">
        <v>1.54</v>
      </c>
      <c r="U19" s="78">
        <f t="shared" si="14"/>
        <v>89676.676399999997</v>
      </c>
      <c r="V19" s="79">
        <f t="shared" si="15"/>
        <v>73407.673668000003</v>
      </c>
      <c r="W19" s="78">
        <f t="shared" si="0"/>
        <v>78018.708467999997</v>
      </c>
      <c r="X19" s="80">
        <v>3</v>
      </c>
      <c r="Y19" s="78"/>
      <c r="Z19" s="80">
        <f t="shared" si="1"/>
        <v>3</v>
      </c>
      <c r="AA19" s="80">
        <f t="shared" si="2"/>
        <v>63600.479999999996</v>
      </c>
      <c r="AB19" s="80">
        <f t="shared" si="3"/>
        <v>0</v>
      </c>
      <c r="AC19" s="80"/>
      <c r="AD19">
        <v>0.1</v>
      </c>
      <c r="AE19" s="78">
        <f t="shared" si="4"/>
        <v>2120.0160000000001</v>
      </c>
      <c r="AF19">
        <v>0.2</v>
      </c>
      <c r="AG19" s="78">
        <f t="shared" si="5"/>
        <v>4240.0320000000002</v>
      </c>
    </row>
    <row r="20" spans="1:34" x14ac:dyDescent="0.2">
      <c r="A20" s="86"/>
      <c r="B20" s="107"/>
      <c r="C20" s="107" t="s">
        <v>182</v>
      </c>
      <c r="D20" s="108">
        <v>1</v>
      </c>
      <c r="E20" s="73">
        <v>6500</v>
      </c>
      <c r="F20" s="74">
        <f t="shared" si="8"/>
        <v>7150</v>
      </c>
      <c r="G20" s="74">
        <f>F20*1.1*1.1+0.5</f>
        <v>8652.0000000000018</v>
      </c>
      <c r="H20" s="74">
        <v>10692.91</v>
      </c>
      <c r="I20" s="74">
        <f t="shared" si="9"/>
        <v>11762.201000000001</v>
      </c>
      <c r="J20" s="74">
        <v>12467.933060000001</v>
      </c>
      <c r="K20" s="74">
        <v>17896.259999999998</v>
      </c>
      <c r="L20" s="75" t="s">
        <v>207</v>
      </c>
      <c r="M20" s="83">
        <v>30</v>
      </c>
      <c r="N20" s="83"/>
      <c r="O20" s="78">
        <f t="shared" si="10"/>
        <v>5368.88</v>
      </c>
      <c r="P20" s="78">
        <f>ROUND(K20*1.14,2)</f>
        <v>20401.740000000002</v>
      </c>
      <c r="Q20" s="78">
        <f t="shared" si="11"/>
        <v>27560.240399999999</v>
      </c>
      <c r="R20" s="79">
        <f t="shared" si="12"/>
        <v>71227.1204</v>
      </c>
      <c r="S20" s="78">
        <f t="shared" si="13"/>
        <v>4474.07</v>
      </c>
      <c r="T20" s="78">
        <v>1.54</v>
      </c>
      <c r="U20" s="78">
        <f t="shared" si="14"/>
        <v>75701.190399999992</v>
      </c>
      <c r="V20" s="79">
        <f t="shared" si="15"/>
        <v>61967.594747999996</v>
      </c>
      <c r="W20" s="78">
        <f t="shared" si="0"/>
        <v>65860.03564799999</v>
      </c>
      <c r="X20" s="80">
        <v>3</v>
      </c>
      <c r="Y20" s="78">
        <v>3</v>
      </c>
      <c r="Z20" s="80">
        <f t="shared" si="1"/>
        <v>0</v>
      </c>
      <c r="AA20" s="80">
        <f t="shared" si="2"/>
        <v>0</v>
      </c>
      <c r="AB20" s="80">
        <f t="shared" si="3"/>
        <v>53688.78</v>
      </c>
      <c r="AC20" s="80"/>
      <c r="AD20">
        <v>0.1</v>
      </c>
      <c r="AE20" s="78">
        <f t="shared" si="4"/>
        <v>1789.626</v>
      </c>
      <c r="AF20">
        <v>0.2</v>
      </c>
      <c r="AG20" s="78">
        <f t="shared" si="5"/>
        <v>3579.252</v>
      </c>
    </row>
    <row r="21" spans="1:34" x14ac:dyDescent="0.2">
      <c r="A21" s="86"/>
      <c r="B21" s="107"/>
      <c r="C21" s="107" t="s">
        <v>182</v>
      </c>
      <c r="D21" s="108">
        <v>1</v>
      </c>
      <c r="E21" s="73">
        <v>6500</v>
      </c>
      <c r="F21" s="74">
        <f t="shared" si="8"/>
        <v>7150</v>
      </c>
      <c r="G21" s="74">
        <f>F21*1.1*1.1+0.5</f>
        <v>8652.0000000000018</v>
      </c>
      <c r="H21" s="74">
        <v>10692.91</v>
      </c>
      <c r="I21" s="74">
        <f t="shared" si="9"/>
        <v>11762.201000000001</v>
      </c>
      <c r="J21" s="74">
        <v>12467.933060000001</v>
      </c>
      <c r="K21" s="74">
        <v>17896.259999999998</v>
      </c>
      <c r="L21" s="75" t="s">
        <v>47</v>
      </c>
      <c r="M21" s="76">
        <v>30</v>
      </c>
      <c r="N21" s="83"/>
      <c r="O21" s="78">
        <f t="shared" si="10"/>
        <v>5368.88</v>
      </c>
      <c r="P21" s="78">
        <f>ROUND(K21*1.14,2)</f>
        <v>20401.740000000002</v>
      </c>
      <c r="Q21" s="78">
        <f t="shared" si="11"/>
        <v>27560.240399999999</v>
      </c>
      <c r="R21" s="79">
        <f t="shared" si="12"/>
        <v>71227.1204</v>
      </c>
      <c r="S21" s="78">
        <f t="shared" si="13"/>
        <v>4474.07</v>
      </c>
      <c r="T21" s="78">
        <v>1.54</v>
      </c>
      <c r="U21" s="78">
        <f t="shared" si="14"/>
        <v>75701.190399999992</v>
      </c>
      <c r="V21" s="79">
        <f t="shared" si="15"/>
        <v>61967.594747999996</v>
      </c>
      <c r="W21" s="78">
        <f t="shared" si="0"/>
        <v>65860.03564799999</v>
      </c>
      <c r="X21" s="80">
        <v>3</v>
      </c>
      <c r="Y21" s="78">
        <v>2</v>
      </c>
      <c r="Z21" s="80">
        <f t="shared" si="1"/>
        <v>1</v>
      </c>
      <c r="AA21" s="80">
        <f t="shared" si="2"/>
        <v>17896.259999999998</v>
      </c>
      <c r="AB21" s="80">
        <f t="shared" si="3"/>
        <v>35792.519999999997</v>
      </c>
      <c r="AC21" s="80"/>
      <c r="AD21">
        <v>0.1</v>
      </c>
      <c r="AE21" s="78">
        <f t="shared" si="4"/>
        <v>1789.626</v>
      </c>
      <c r="AF21">
        <v>0.2</v>
      </c>
      <c r="AG21" s="78">
        <f t="shared" si="5"/>
        <v>3579.252</v>
      </c>
    </row>
    <row r="22" spans="1:34" x14ac:dyDescent="0.2">
      <c r="A22" s="102"/>
      <c r="B22" s="107"/>
      <c r="C22" s="107" t="s">
        <v>183</v>
      </c>
      <c r="D22" s="109">
        <v>1</v>
      </c>
      <c r="E22" s="73">
        <v>5600</v>
      </c>
      <c r="F22" s="74">
        <f t="shared" si="8"/>
        <v>6160</v>
      </c>
      <c r="G22" s="74">
        <f>F22*1.1*1.1+0.4</f>
        <v>7454.0000000000009</v>
      </c>
      <c r="H22" s="74">
        <v>9212.35</v>
      </c>
      <c r="I22" s="74">
        <f t="shared" si="9"/>
        <v>10133.585000000001</v>
      </c>
      <c r="J22" s="74">
        <v>10741.600100000001</v>
      </c>
      <c r="K22" s="74">
        <v>15418.33</v>
      </c>
      <c r="L22" s="110" t="s">
        <v>49</v>
      </c>
      <c r="M22" s="83">
        <v>30</v>
      </c>
      <c r="N22" s="76"/>
      <c r="O22" s="78">
        <f t="shared" si="10"/>
        <v>4625.5</v>
      </c>
      <c r="P22" s="78">
        <f>ROUND(K22*1.14,2)</f>
        <v>17576.900000000001</v>
      </c>
      <c r="Q22" s="78">
        <f t="shared" si="11"/>
        <v>22202.395199999999</v>
      </c>
      <c r="R22" s="79">
        <f t="shared" si="12"/>
        <v>59823.125200000002</v>
      </c>
      <c r="S22" s="78">
        <f t="shared" si="13"/>
        <v>3854.58</v>
      </c>
      <c r="T22" s="78">
        <v>1.44</v>
      </c>
      <c r="U22" s="78">
        <f t="shared" si="14"/>
        <v>63677.705200000004</v>
      </c>
      <c r="V22" s="79">
        <f t="shared" si="15"/>
        <v>52046.118924000002</v>
      </c>
      <c r="W22" s="78">
        <f t="shared" si="0"/>
        <v>55399.603524000006</v>
      </c>
      <c r="X22" s="80">
        <v>3</v>
      </c>
      <c r="Y22" s="78">
        <v>3</v>
      </c>
      <c r="Z22" s="80">
        <f t="shared" si="1"/>
        <v>0</v>
      </c>
      <c r="AA22" s="80">
        <f t="shared" si="2"/>
        <v>0</v>
      </c>
      <c r="AB22" s="80">
        <f t="shared" si="3"/>
        <v>46254.99</v>
      </c>
      <c r="AC22" s="80"/>
      <c r="AD22">
        <v>0.1</v>
      </c>
      <c r="AE22" s="78">
        <f t="shared" si="4"/>
        <v>1541.8330000000001</v>
      </c>
      <c r="AF22">
        <v>0.2</v>
      </c>
      <c r="AG22" s="78">
        <f t="shared" si="5"/>
        <v>3083.6660000000002</v>
      </c>
    </row>
    <row r="23" spans="1:34" x14ac:dyDescent="0.2">
      <c r="A23" s="102"/>
      <c r="B23" s="107"/>
      <c r="C23" s="107" t="s">
        <v>182</v>
      </c>
      <c r="D23" s="109">
        <v>1</v>
      </c>
      <c r="E23" s="73">
        <v>5600</v>
      </c>
      <c r="F23" s="74">
        <f t="shared" si="8"/>
        <v>6160</v>
      </c>
      <c r="G23" s="74">
        <f>F23*1.1*1.1+0.4</f>
        <v>7454.0000000000009</v>
      </c>
      <c r="H23" s="74">
        <v>9212.35</v>
      </c>
      <c r="I23" s="74">
        <f t="shared" si="9"/>
        <v>10133.585000000001</v>
      </c>
      <c r="J23" s="74">
        <v>10741.600100000001</v>
      </c>
      <c r="K23" s="74">
        <v>17896.259999999998</v>
      </c>
      <c r="L23" s="75" t="s">
        <v>50</v>
      </c>
      <c r="M23" s="83">
        <v>30</v>
      </c>
      <c r="N23" s="76"/>
      <c r="O23" s="78">
        <f t="shared" si="10"/>
        <v>5368.88</v>
      </c>
      <c r="P23" s="78">
        <f>ROUND(K23*1.14,2)</f>
        <v>20401.740000000002</v>
      </c>
      <c r="Q23" s="78">
        <f>K23*T23</f>
        <v>27560.240399999999</v>
      </c>
      <c r="R23" s="79">
        <f t="shared" si="12"/>
        <v>71227.1204</v>
      </c>
      <c r="S23" s="78">
        <f t="shared" si="13"/>
        <v>4474.07</v>
      </c>
      <c r="T23" s="78">
        <v>1.54</v>
      </c>
      <c r="U23" s="78">
        <f t="shared" si="14"/>
        <v>75701.190399999992</v>
      </c>
      <c r="V23" s="79">
        <f t="shared" si="15"/>
        <v>61967.594747999996</v>
      </c>
      <c r="W23" s="78">
        <f t="shared" si="0"/>
        <v>65860.03564799999</v>
      </c>
      <c r="X23" s="80">
        <v>3</v>
      </c>
      <c r="Y23" s="78">
        <v>3</v>
      </c>
      <c r="Z23" s="80">
        <f t="shared" si="1"/>
        <v>0</v>
      </c>
      <c r="AA23" s="80">
        <f t="shared" si="2"/>
        <v>0</v>
      </c>
      <c r="AB23" s="80">
        <f t="shared" si="3"/>
        <v>53688.78</v>
      </c>
      <c r="AC23" s="80"/>
      <c r="AD23">
        <v>0.1</v>
      </c>
      <c r="AE23" s="78">
        <f t="shared" si="4"/>
        <v>1789.626</v>
      </c>
      <c r="AF23">
        <v>0.2</v>
      </c>
      <c r="AG23" s="78">
        <f t="shared" si="5"/>
        <v>3579.252</v>
      </c>
    </row>
    <row r="24" spans="1:34" x14ac:dyDescent="0.2">
      <c r="A24" s="102"/>
      <c r="B24" s="87"/>
      <c r="C24" s="87" t="s">
        <v>51</v>
      </c>
      <c r="D24" s="88">
        <f>SUM(D18:D23)</f>
        <v>6</v>
      </c>
      <c r="E24" s="95">
        <f t="shared" ref="E24:I24" si="16">SUM(E18:E23)</f>
        <v>40400</v>
      </c>
      <c r="F24" s="95">
        <f t="shared" si="16"/>
        <v>44440</v>
      </c>
      <c r="G24" s="95">
        <f t="shared" si="16"/>
        <v>53775</v>
      </c>
      <c r="H24" s="95">
        <f t="shared" si="16"/>
        <v>66460.53</v>
      </c>
      <c r="I24" s="95">
        <f t="shared" si="16"/>
        <v>73106.582999999999</v>
      </c>
      <c r="J24" s="95">
        <v>77492.977979999996</v>
      </c>
      <c r="K24" s="90">
        <f>SUM(K18:K23)</f>
        <v>113710.04</v>
      </c>
      <c r="L24" s="90"/>
      <c r="M24" s="90"/>
      <c r="N24" s="90">
        <f t="shared" ref="N24" si="17">SUM(N18:N23)</f>
        <v>0</v>
      </c>
      <c r="O24" s="90">
        <f>SUM(O18:O23)</f>
        <v>34113.020000000004</v>
      </c>
      <c r="P24" s="90">
        <f t="shared" ref="P24:W24" si="18">SUM(P18:P23)</f>
        <v>131969.73000000001</v>
      </c>
      <c r="Q24" s="90">
        <f t="shared" si="18"/>
        <v>175911.9056</v>
      </c>
      <c r="R24" s="90">
        <f t="shared" si="18"/>
        <v>455704.69560000004</v>
      </c>
      <c r="S24" s="90">
        <f t="shared" si="18"/>
        <v>28427.519999999997</v>
      </c>
      <c r="T24" s="90">
        <f t="shared" si="18"/>
        <v>9.2399999999999984</v>
      </c>
      <c r="U24" s="90">
        <f t="shared" si="18"/>
        <v>484132.2156</v>
      </c>
      <c r="V24" s="90">
        <f t="shared" si="18"/>
        <v>396463.08517199999</v>
      </c>
      <c r="W24" s="90">
        <f t="shared" si="18"/>
        <v>421195.02757199993</v>
      </c>
      <c r="X24" s="80"/>
      <c r="Y24" s="90"/>
      <c r="Z24" s="80"/>
      <c r="AA24" s="80">
        <f t="shared" si="2"/>
        <v>0</v>
      </c>
      <c r="AB24" s="80">
        <f t="shared" si="3"/>
        <v>0</v>
      </c>
      <c r="AC24" s="91"/>
      <c r="AD24">
        <v>0.1</v>
      </c>
      <c r="AE24" s="95">
        <f t="shared" si="4"/>
        <v>11371.004000000001</v>
      </c>
      <c r="AF24">
        <v>0.2</v>
      </c>
      <c r="AG24" s="95">
        <f t="shared" si="5"/>
        <v>22742.008000000002</v>
      </c>
    </row>
    <row r="25" spans="1:34" ht="51" x14ac:dyDescent="0.2">
      <c r="A25" s="59" t="s">
        <v>52</v>
      </c>
      <c r="B25" s="87"/>
      <c r="C25" s="87"/>
      <c r="D25" s="111"/>
      <c r="E25" s="95"/>
      <c r="F25" s="95"/>
      <c r="G25" s="95"/>
      <c r="H25" s="95"/>
      <c r="I25" s="95"/>
      <c r="J25" s="95"/>
      <c r="K25" s="90"/>
      <c r="L25" s="112"/>
      <c r="M25" s="113"/>
      <c r="N25" s="113"/>
      <c r="O25" s="95"/>
      <c r="P25" s="114">
        <v>1.19</v>
      </c>
      <c r="Q25" s="95"/>
      <c r="R25" s="79"/>
      <c r="S25" s="95"/>
      <c r="T25" s="114"/>
      <c r="U25" s="95"/>
      <c r="V25" s="115"/>
      <c r="W25" s="95"/>
      <c r="X25" s="80"/>
      <c r="Y25" s="95"/>
      <c r="Z25" s="80"/>
      <c r="AA25" s="80">
        <f t="shared" si="2"/>
        <v>0</v>
      </c>
      <c r="AB25" s="80">
        <f t="shared" si="3"/>
        <v>0</v>
      </c>
      <c r="AC25" s="116"/>
      <c r="AD25">
        <v>0.1</v>
      </c>
      <c r="AE25" s="95"/>
      <c r="AG25" s="95"/>
    </row>
    <row r="26" spans="1:34" ht="25.5" x14ac:dyDescent="0.2">
      <c r="A26" s="117"/>
      <c r="B26" s="87"/>
      <c r="C26" s="59" t="s">
        <v>193</v>
      </c>
      <c r="D26" s="108">
        <v>1</v>
      </c>
      <c r="E26" s="118"/>
      <c r="F26" s="118"/>
      <c r="G26" s="118">
        <f>11616*1.1+0.4</f>
        <v>12778</v>
      </c>
      <c r="H26" s="74">
        <v>15792.6</v>
      </c>
      <c r="I26" s="74">
        <f>H26*$I$12</f>
        <v>17371.86</v>
      </c>
      <c r="J26" s="74">
        <v>18414.171600000001</v>
      </c>
      <c r="K26" s="74">
        <f>ROUND('26.08.22'!K26*1.04,2)</f>
        <v>30285.94</v>
      </c>
      <c r="L26" s="75" t="s">
        <v>53</v>
      </c>
      <c r="M26" s="83">
        <v>30</v>
      </c>
      <c r="N26" s="83"/>
      <c r="O26" s="78">
        <f>ROUND((K26*M26/100),2)</f>
        <v>9085.7800000000007</v>
      </c>
      <c r="P26" s="118">
        <f>ROUND(K26*1.19,2)</f>
        <v>36040.269999999997</v>
      </c>
      <c r="Q26" s="78">
        <f>K26*T26</f>
        <v>46640.347600000001</v>
      </c>
      <c r="R26" s="79">
        <f>K26+O26+P26+Q26</f>
        <v>122052.3376</v>
      </c>
      <c r="S26" s="78">
        <f>ROUND(K26*S$12,2)</f>
        <v>7571.49</v>
      </c>
      <c r="T26" s="118">
        <v>1.54</v>
      </c>
      <c r="U26" s="78">
        <f>K26+O26+P26+Q26+S26</f>
        <v>129623.8276</v>
      </c>
      <c r="V26" s="79">
        <f t="shared" si="15"/>
        <v>106185.533712</v>
      </c>
      <c r="W26" s="78">
        <f t="shared" si="0"/>
        <v>112772.730012</v>
      </c>
      <c r="X26" s="80">
        <v>3</v>
      </c>
      <c r="Y26" s="78">
        <v>3</v>
      </c>
      <c r="Z26" s="80">
        <f t="shared" si="1"/>
        <v>0</v>
      </c>
      <c r="AA26" s="80">
        <f t="shared" si="2"/>
        <v>0</v>
      </c>
      <c r="AB26" s="80">
        <f t="shared" si="3"/>
        <v>90857.819999999992</v>
      </c>
      <c r="AC26" s="80"/>
      <c r="AD26">
        <v>0.1</v>
      </c>
      <c r="AE26" s="78">
        <f t="shared" si="4"/>
        <v>3028.5940000000001</v>
      </c>
      <c r="AF26">
        <v>0.2</v>
      </c>
      <c r="AG26" s="78">
        <f t="shared" si="5"/>
        <v>6057.1880000000001</v>
      </c>
    </row>
    <row r="27" spans="1:34" ht="15" customHeight="1" x14ac:dyDescent="0.2">
      <c r="A27" s="117"/>
      <c r="B27" s="87"/>
      <c r="C27" s="119" t="s">
        <v>54</v>
      </c>
      <c r="D27" s="108">
        <v>1</v>
      </c>
      <c r="E27" s="118"/>
      <c r="F27" s="118"/>
      <c r="G27" s="118">
        <f>10527*1.1+0.3</f>
        <v>11580</v>
      </c>
      <c r="H27" s="74">
        <v>14312.05</v>
      </c>
      <c r="I27" s="74">
        <f>H27*$I$12</f>
        <v>15743.255000000001</v>
      </c>
      <c r="J27" s="74">
        <v>16687.850300000002</v>
      </c>
      <c r="K27" s="74">
        <f>ROUND('26.08.22'!K27*1.04,2)</f>
        <v>23953.47</v>
      </c>
      <c r="L27" s="75" t="s">
        <v>210</v>
      </c>
      <c r="M27" s="76">
        <v>30</v>
      </c>
      <c r="N27" s="83"/>
      <c r="O27" s="78">
        <f>ROUND((K27*M27/100),2)</f>
        <v>7186.04</v>
      </c>
      <c r="P27" s="118">
        <f>ROUND(K27*1.19,2)</f>
        <v>28504.63</v>
      </c>
      <c r="Q27" s="78">
        <f>K27*T27</f>
        <v>36888.343800000002</v>
      </c>
      <c r="R27" s="79">
        <f>K27+O27+P27+Q27</f>
        <v>96532.483800000002</v>
      </c>
      <c r="S27" s="78">
        <f>ROUND(K27*S$12,2)</f>
        <v>5988.37</v>
      </c>
      <c r="T27" s="118">
        <v>1.54</v>
      </c>
      <c r="U27" s="78">
        <f>K27+O27+P27+Q27+S27</f>
        <v>102520.8538</v>
      </c>
      <c r="V27" s="79">
        <f>R27*0.87</f>
        <v>83983.260905999996</v>
      </c>
      <c r="W27" s="78">
        <f>U27*0.87</f>
        <v>89193.142806000003</v>
      </c>
      <c r="X27" s="80">
        <v>3</v>
      </c>
      <c r="Y27" s="78">
        <v>3</v>
      </c>
      <c r="Z27" s="80">
        <f t="shared" si="1"/>
        <v>0</v>
      </c>
      <c r="AA27" s="80">
        <f t="shared" si="2"/>
        <v>0</v>
      </c>
      <c r="AB27" s="80">
        <f t="shared" si="3"/>
        <v>71860.41</v>
      </c>
      <c r="AC27" s="80"/>
      <c r="AD27">
        <v>0.1</v>
      </c>
      <c r="AE27" s="78">
        <f t="shared" si="4"/>
        <v>2395.3470000000002</v>
      </c>
      <c r="AF27">
        <v>0.2</v>
      </c>
      <c r="AG27" s="78">
        <f t="shared" si="5"/>
        <v>4790.6940000000004</v>
      </c>
    </row>
    <row r="28" spans="1:34" ht="54" customHeight="1" x14ac:dyDescent="0.2">
      <c r="A28" s="120" t="s">
        <v>56</v>
      </c>
      <c r="B28" s="93"/>
      <c r="C28" s="93"/>
      <c r="D28" s="94"/>
      <c r="E28" s="95"/>
      <c r="F28" s="95"/>
      <c r="G28" s="95"/>
      <c r="H28" s="95"/>
      <c r="I28" s="95"/>
      <c r="J28" s="95"/>
      <c r="K28" s="90"/>
      <c r="L28" s="90"/>
      <c r="M28" s="90"/>
      <c r="N28" s="90"/>
      <c r="O28" s="90"/>
      <c r="P28" s="99" t="s">
        <v>40</v>
      </c>
      <c r="Q28" s="66" t="s">
        <v>57</v>
      </c>
      <c r="R28" s="79"/>
      <c r="S28" s="90"/>
      <c r="T28" s="99"/>
      <c r="U28" s="90"/>
      <c r="V28" s="121"/>
      <c r="W28" s="90"/>
      <c r="X28" s="80"/>
      <c r="Y28" s="90"/>
      <c r="Z28" s="80"/>
      <c r="AA28" s="80">
        <f t="shared" si="2"/>
        <v>0</v>
      </c>
      <c r="AB28" s="80">
        <f t="shared" si="3"/>
        <v>0</v>
      </c>
      <c r="AC28" s="91"/>
      <c r="AD28">
        <v>0.1</v>
      </c>
      <c r="AE28" s="90"/>
      <c r="AG28" s="90"/>
      <c r="AH28" s="85"/>
    </row>
    <row r="29" spans="1:34" x14ac:dyDescent="0.2">
      <c r="A29" s="102"/>
      <c r="B29" s="87"/>
      <c r="C29" s="87" t="s">
        <v>58</v>
      </c>
      <c r="D29" s="72">
        <v>1</v>
      </c>
      <c r="E29" s="73">
        <v>8500</v>
      </c>
      <c r="F29" s="74">
        <f t="shared" ref="F29:F53" si="19">ROUND(E29*F$12,2)</f>
        <v>9350</v>
      </c>
      <c r="G29" s="74">
        <f>9075*1.1+0.5</f>
        <v>9983</v>
      </c>
      <c r="H29" s="74">
        <v>12337.98</v>
      </c>
      <c r="I29" s="74">
        <f t="shared" ref="I29:I43" si="20">H29*$I$12</f>
        <v>13571.778</v>
      </c>
      <c r="J29" s="74">
        <v>14386.084680000002</v>
      </c>
      <c r="K29" s="74">
        <f>ROUND('26.08.22'!K29*1.04,2)</f>
        <v>23402.77</v>
      </c>
      <c r="L29" s="105" t="s">
        <v>59</v>
      </c>
      <c r="M29" s="76">
        <v>30</v>
      </c>
      <c r="N29" s="76"/>
      <c r="O29" s="78">
        <f>ROUND((K29*M29/100),2)</f>
        <v>7020.83</v>
      </c>
      <c r="P29" s="78">
        <f>ROUND(K29*1.24,2)</f>
        <v>29019.43</v>
      </c>
      <c r="Q29" s="78">
        <f>K29*T29</f>
        <v>36040.265800000001</v>
      </c>
      <c r="R29" s="79">
        <f>K29+O29+P29+Q29</f>
        <v>95483.295799999993</v>
      </c>
      <c r="S29" s="78">
        <f>ROUND(K29*S$12,2)</f>
        <v>5850.69</v>
      </c>
      <c r="T29" s="78">
        <v>1.54</v>
      </c>
      <c r="U29" s="78">
        <f>K29+O29+P29+Q29+S29</f>
        <v>101333.98579999999</v>
      </c>
      <c r="V29" s="79">
        <f t="shared" si="15"/>
        <v>83070.46734599999</v>
      </c>
      <c r="W29" s="78">
        <f t="shared" si="0"/>
        <v>88160.567645999996</v>
      </c>
      <c r="X29" s="80">
        <v>3</v>
      </c>
      <c r="Y29" s="78">
        <v>3</v>
      </c>
      <c r="Z29" s="80">
        <f t="shared" si="1"/>
        <v>0</v>
      </c>
      <c r="AA29" s="80">
        <f t="shared" si="2"/>
        <v>0</v>
      </c>
      <c r="AB29" s="80">
        <f t="shared" si="3"/>
        <v>70208.31</v>
      </c>
      <c r="AC29" s="80"/>
      <c r="AD29">
        <v>0.1</v>
      </c>
      <c r="AE29" s="78">
        <f t="shared" si="4"/>
        <v>2340.277</v>
      </c>
      <c r="AF29">
        <v>0.2</v>
      </c>
      <c r="AG29" s="78">
        <f t="shared" si="5"/>
        <v>4680.5540000000001</v>
      </c>
    </row>
    <row r="30" spans="1:34" x14ac:dyDescent="0.2">
      <c r="A30" s="102"/>
      <c r="B30" s="87"/>
      <c r="C30" s="122" t="s">
        <v>60</v>
      </c>
      <c r="D30" s="72">
        <v>1</v>
      </c>
      <c r="E30" s="73"/>
      <c r="F30" s="74"/>
      <c r="G30" s="74"/>
      <c r="H30" s="74"/>
      <c r="I30" s="74"/>
      <c r="J30" s="74"/>
      <c r="K30" s="74">
        <f>ROUND('26.08.22'!K30*1.04,2)</f>
        <v>21200.16</v>
      </c>
      <c r="L30" s="75" t="s">
        <v>61</v>
      </c>
      <c r="M30" s="76">
        <v>30</v>
      </c>
      <c r="N30" s="76"/>
      <c r="O30" s="78">
        <f>ROUND((K30*M30/100),2)</f>
        <v>6360.05</v>
      </c>
      <c r="P30" s="78">
        <f t="shared" ref="P30:P44" si="21">ROUND(K30*1.14,2)</f>
        <v>24168.18</v>
      </c>
      <c r="Q30" s="78">
        <f>K30*T30</f>
        <v>32648.2464</v>
      </c>
      <c r="R30" s="79">
        <f>K30+O30+P30+Q30</f>
        <v>84376.636400000003</v>
      </c>
      <c r="S30" s="78">
        <f>ROUND(K30*S$12,2)</f>
        <v>5300.04</v>
      </c>
      <c r="T30" s="78">
        <v>1.54</v>
      </c>
      <c r="U30" s="78">
        <f>K30+O30+P30+Q30+S30</f>
        <v>89676.676399999997</v>
      </c>
      <c r="V30" s="79">
        <f>R30*0.87</f>
        <v>73407.673668000003</v>
      </c>
      <c r="W30" s="78">
        <f>U30*0.87</f>
        <v>78018.708467999997</v>
      </c>
      <c r="X30" s="80"/>
      <c r="Y30" s="78"/>
      <c r="Z30" s="80"/>
      <c r="AA30" s="80"/>
      <c r="AB30" s="80"/>
      <c r="AC30" s="80"/>
      <c r="AE30" s="78"/>
      <c r="AG30" s="78"/>
    </row>
    <row r="31" spans="1:34" x14ac:dyDescent="0.2">
      <c r="A31" s="102"/>
      <c r="B31" s="87"/>
      <c r="C31" s="107" t="s">
        <v>45</v>
      </c>
      <c r="D31" s="72">
        <v>1</v>
      </c>
      <c r="E31" s="73">
        <v>6500</v>
      </c>
      <c r="F31" s="74">
        <f t="shared" si="19"/>
        <v>7150</v>
      </c>
      <c r="G31" s="74">
        <f>F31*1.1*1.1+0.5</f>
        <v>8652.0000000000018</v>
      </c>
      <c r="H31" s="74">
        <v>10692.91</v>
      </c>
      <c r="I31" s="74">
        <f t="shared" si="20"/>
        <v>11762.201000000001</v>
      </c>
      <c r="J31" s="74">
        <v>12467.933060000001</v>
      </c>
      <c r="K31" s="74">
        <f>ROUND('26.08.22'!K31*1.04,2)</f>
        <v>17896.259999999998</v>
      </c>
      <c r="L31" s="105" t="s">
        <v>62</v>
      </c>
      <c r="M31" s="76">
        <v>30</v>
      </c>
      <c r="N31" s="76"/>
      <c r="O31" s="78">
        <f t="shared" ref="O31:O44" si="22">ROUND((K31*M31/100),2)</f>
        <v>5368.88</v>
      </c>
      <c r="P31" s="78">
        <f t="shared" si="21"/>
        <v>20401.740000000002</v>
      </c>
      <c r="Q31" s="78">
        <f t="shared" ref="Q31:Q44" si="23">K31*T31</f>
        <v>27560.240399999999</v>
      </c>
      <c r="R31" s="79">
        <f t="shared" ref="R31:R44" si="24">K31+O31+P31+Q31</f>
        <v>71227.1204</v>
      </c>
      <c r="S31" s="78">
        <f t="shared" ref="S31:S44" si="25">ROUND(K31*S$12,2)</f>
        <v>4474.07</v>
      </c>
      <c r="T31" s="78">
        <v>1.54</v>
      </c>
      <c r="U31" s="78">
        <f t="shared" ref="U31:U44" si="26">K31+O31+P31+Q31+S31</f>
        <v>75701.190399999992</v>
      </c>
      <c r="V31" s="79">
        <f t="shared" si="15"/>
        <v>61967.594747999996</v>
      </c>
      <c r="W31" s="78">
        <f t="shared" si="0"/>
        <v>65860.03564799999</v>
      </c>
      <c r="X31" s="80">
        <v>3</v>
      </c>
      <c r="Y31" s="78">
        <v>3</v>
      </c>
      <c r="Z31" s="80">
        <f t="shared" si="1"/>
        <v>0</v>
      </c>
      <c r="AA31" s="80">
        <f t="shared" si="2"/>
        <v>0</v>
      </c>
      <c r="AB31" s="80">
        <f t="shared" si="3"/>
        <v>53688.78</v>
      </c>
      <c r="AC31" s="80"/>
      <c r="AD31">
        <v>0.1</v>
      </c>
      <c r="AE31" s="78">
        <f t="shared" si="4"/>
        <v>1789.626</v>
      </c>
      <c r="AF31">
        <v>0.2</v>
      </c>
      <c r="AG31" s="78">
        <f t="shared" si="5"/>
        <v>3579.252</v>
      </c>
    </row>
    <row r="32" spans="1:34" x14ac:dyDescent="0.2">
      <c r="A32" s="102"/>
      <c r="B32" s="107"/>
      <c r="C32" s="107" t="s">
        <v>45</v>
      </c>
      <c r="D32" s="72">
        <v>1</v>
      </c>
      <c r="E32" s="73">
        <v>6500</v>
      </c>
      <c r="F32" s="74">
        <f t="shared" si="19"/>
        <v>7150</v>
      </c>
      <c r="G32" s="74">
        <f>F32*1.1*1.1+0.5</f>
        <v>8652.0000000000018</v>
      </c>
      <c r="H32" s="74">
        <v>10692.91</v>
      </c>
      <c r="I32" s="74">
        <f t="shared" si="20"/>
        <v>11762.201000000001</v>
      </c>
      <c r="J32" s="74">
        <v>12467.933060000001</v>
      </c>
      <c r="K32" s="74">
        <f>ROUND('26.08.22'!K32*1.04,2)</f>
        <v>17896.259999999998</v>
      </c>
      <c r="L32" s="75" t="s">
        <v>63</v>
      </c>
      <c r="M32" s="83">
        <v>30</v>
      </c>
      <c r="N32" s="76"/>
      <c r="O32" s="78">
        <f t="shared" si="22"/>
        <v>5368.88</v>
      </c>
      <c r="P32" s="78">
        <f t="shared" si="21"/>
        <v>20401.740000000002</v>
      </c>
      <c r="Q32" s="78">
        <f t="shared" si="23"/>
        <v>27560.240399999999</v>
      </c>
      <c r="R32" s="79">
        <f t="shared" si="24"/>
        <v>71227.1204</v>
      </c>
      <c r="S32" s="78">
        <f t="shared" si="25"/>
        <v>4474.07</v>
      </c>
      <c r="T32" s="78">
        <v>1.54</v>
      </c>
      <c r="U32" s="78">
        <f t="shared" si="26"/>
        <v>75701.190399999992</v>
      </c>
      <c r="V32" s="79">
        <f t="shared" si="15"/>
        <v>61967.594747999996</v>
      </c>
      <c r="W32" s="78">
        <f t="shared" si="0"/>
        <v>65860.03564799999</v>
      </c>
      <c r="X32" s="80">
        <v>3</v>
      </c>
      <c r="Y32" s="78">
        <v>3</v>
      </c>
      <c r="Z32" s="80">
        <f t="shared" si="1"/>
        <v>0</v>
      </c>
      <c r="AA32" s="80">
        <f t="shared" si="2"/>
        <v>0</v>
      </c>
      <c r="AB32" s="80">
        <f t="shared" si="3"/>
        <v>53688.78</v>
      </c>
      <c r="AC32" s="80"/>
      <c r="AD32">
        <v>0.1</v>
      </c>
      <c r="AE32" s="78">
        <f t="shared" si="4"/>
        <v>1789.626</v>
      </c>
      <c r="AF32">
        <v>0.2</v>
      </c>
      <c r="AG32" s="78">
        <f t="shared" si="5"/>
        <v>3579.252</v>
      </c>
    </row>
    <row r="33" spans="1:33" x14ac:dyDescent="0.2">
      <c r="A33" s="123"/>
      <c r="B33" s="107"/>
      <c r="C33" s="107" t="s">
        <v>45</v>
      </c>
      <c r="D33" s="109">
        <v>1</v>
      </c>
      <c r="E33" s="73">
        <v>6500</v>
      </c>
      <c r="F33" s="74">
        <f t="shared" si="19"/>
        <v>7150</v>
      </c>
      <c r="G33" s="74">
        <f>F33*1.1*1.1+0.5</f>
        <v>8652.0000000000018</v>
      </c>
      <c r="H33" s="74">
        <v>10692.91</v>
      </c>
      <c r="I33" s="74">
        <f t="shared" si="20"/>
        <v>11762.201000000001</v>
      </c>
      <c r="J33" s="74">
        <v>12467.933060000001</v>
      </c>
      <c r="K33" s="74">
        <f>ROUND('26.08.22'!K33*1.04,2)</f>
        <v>17896.259999999998</v>
      </c>
      <c r="L33" s="105" t="s">
        <v>201</v>
      </c>
      <c r="M33" s="76">
        <v>30</v>
      </c>
      <c r="N33" s="124"/>
      <c r="O33" s="78">
        <f t="shared" si="22"/>
        <v>5368.88</v>
      </c>
      <c r="P33" s="78">
        <f t="shared" si="21"/>
        <v>20401.740000000002</v>
      </c>
      <c r="Q33" s="78">
        <f t="shared" si="23"/>
        <v>27560.240399999999</v>
      </c>
      <c r="R33" s="79">
        <f t="shared" si="24"/>
        <v>71227.1204</v>
      </c>
      <c r="S33" s="78">
        <f t="shared" si="25"/>
        <v>4474.07</v>
      </c>
      <c r="T33" s="78">
        <v>1.54</v>
      </c>
      <c r="U33" s="78">
        <f t="shared" si="26"/>
        <v>75701.190399999992</v>
      </c>
      <c r="V33" s="79">
        <f t="shared" si="15"/>
        <v>61967.594747999996</v>
      </c>
      <c r="W33" s="78">
        <f t="shared" si="0"/>
        <v>65860.03564799999</v>
      </c>
      <c r="X33" s="80">
        <v>3</v>
      </c>
      <c r="Y33" s="78">
        <v>3</v>
      </c>
      <c r="Z33" s="80">
        <f t="shared" si="1"/>
        <v>0</v>
      </c>
      <c r="AA33" s="80">
        <f t="shared" si="2"/>
        <v>0</v>
      </c>
      <c r="AB33" s="80">
        <f t="shared" si="3"/>
        <v>53688.78</v>
      </c>
      <c r="AC33" s="80"/>
      <c r="AD33">
        <v>0.1</v>
      </c>
      <c r="AE33" s="78">
        <f t="shared" si="4"/>
        <v>1789.626</v>
      </c>
      <c r="AF33">
        <v>0.2</v>
      </c>
      <c r="AG33" s="78">
        <f t="shared" si="5"/>
        <v>3579.252</v>
      </c>
    </row>
    <row r="34" spans="1:33" x14ac:dyDescent="0.2">
      <c r="A34" s="102"/>
      <c r="B34" s="107"/>
      <c r="C34" s="107" t="s">
        <v>45</v>
      </c>
      <c r="D34" s="109">
        <v>1</v>
      </c>
      <c r="E34" s="73">
        <v>5600</v>
      </c>
      <c r="F34" s="74">
        <v>7150</v>
      </c>
      <c r="G34" s="74">
        <f>F34*1.1*1.1+0.5</f>
        <v>8652.0000000000018</v>
      </c>
      <c r="H34" s="74">
        <v>10692.91</v>
      </c>
      <c r="I34" s="74">
        <f t="shared" si="20"/>
        <v>11762.201000000001</v>
      </c>
      <c r="J34" s="74">
        <v>12467.933060000001</v>
      </c>
      <c r="K34" s="74">
        <f>ROUND('26.08.22'!K34*1.04,2)</f>
        <v>17896.259999999998</v>
      </c>
      <c r="L34" s="105" t="s">
        <v>64</v>
      </c>
      <c r="M34" s="76">
        <v>30</v>
      </c>
      <c r="N34" s="76"/>
      <c r="O34" s="78">
        <f t="shared" si="22"/>
        <v>5368.88</v>
      </c>
      <c r="P34" s="78">
        <f t="shared" si="21"/>
        <v>20401.740000000002</v>
      </c>
      <c r="Q34" s="78">
        <f t="shared" si="23"/>
        <v>27560.240399999999</v>
      </c>
      <c r="R34" s="79">
        <f t="shared" si="24"/>
        <v>71227.1204</v>
      </c>
      <c r="S34" s="78">
        <f t="shared" si="25"/>
        <v>4474.07</v>
      </c>
      <c r="T34" s="78">
        <v>1.54</v>
      </c>
      <c r="U34" s="78">
        <f t="shared" si="26"/>
        <v>75701.190399999992</v>
      </c>
      <c r="V34" s="79">
        <f t="shared" si="15"/>
        <v>61967.594747999996</v>
      </c>
      <c r="W34" s="78">
        <f t="shared" si="0"/>
        <v>65860.03564799999</v>
      </c>
      <c r="X34" s="80">
        <v>3</v>
      </c>
      <c r="Y34" s="78">
        <v>3</v>
      </c>
      <c r="Z34" s="80">
        <f t="shared" si="1"/>
        <v>0</v>
      </c>
      <c r="AA34" s="80">
        <f t="shared" si="2"/>
        <v>0</v>
      </c>
      <c r="AB34" s="80">
        <f t="shared" si="3"/>
        <v>53688.78</v>
      </c>
      <c r="AC34" s="80"/>
      <c r="AD34">
        <v>0.1</v>
      </c>
      <c r="AE34" s="78">
        <f t="shared" si="4"/>
        <v>1789.626</v>
      </c>
      <c r="AF34">
        <v>0.2</v>
      </c>
      <c r="AG34" s="78">
        <f t="shared" si="5"/>
        <v>3579.252</v>
      </c>
    </row>
    <row r="35" spans="1:33" x14ac:dyDescent="0.2">
      <c r="A35" s="102"/>
      <c r="B35" s="107"/>
      <c r="C35" s="107" t="s">
        <v>45</v>
      </c>
      <c r="D35" s="109">
        <v>1</v>
      </c>
      <c r="E35" s="73">
        <v>5600</v>
      </c>
      <c r="F35" s="74">
        <f>ROUND(E35*F$12,2)</f>
        <v>6160</v>
      </c>
      <c r="G35" s="74">
        <f>F35*1.1*1.1+0.4</f>
        <v>7454.0000000000009</v>
      </c>
      <c r="H35" s="74">
        <v>9212.35</v>
      </c>
      <c r="I35" s="74">
        <f>H35*$I$12</f>
        <v>10133.585000000001</v>
      </c>
      <c r="J35" s="74">
        <v>10741.600100000001</v>
      </c>
      <c r="K35" s="74">
        <f>ROUND('26.08.22'!K35*1.04,2)</f>
        <v>17896.259999999998</v>
      </c>
      <c r="L35" s="105" t="s">
        <v>185</v>
      </c>
      <c r="M35" s="83">
        <v>30</v>
      </c>
      <c r="N35" s="76"/>
      <c r="O35" s="78">
        <f t="shared" si="22"/>
        <v>5368.88</v>
      </c>
      <c r="P35" s="78">
        <f t="shared" si="21"/>
        <v>20401.740000000002</v>
      </c>
      <c r="Q35" s="78">
        <f t="shared" si="23"/>
        <v>27560.240399999999</v>
      </c>
      <c r="R35" s="79">
        <f t="shared" si="24"/>
        <v>71227.1204</v>
      </c>
      <c r="S35" s="78">
        <f t="shared" si="25"/>
        <v>4474.07</v>
      </c>
      <c r="T35" s="78">
        <v>1.54</v>
      </c>
      <c r="U35" s="78">
        <f t="shared" si="26"/>
        <v>75701.190399999992</v>
      </c>
      <c r="V35" s="79">
        <f>R35*0.87</f>
        <v>61967.594747999996</v>
      </c>
      <c r="W35" s="78">
        <f>U35*0.87</f>
        <v>65860.03564799999</v>
      </c>
      <c r="X35" s="80">
        <v>3</v>
      </c>
      <c r="Y35" s="78">
        <v>3</v>
      </c>
      <c r="Z35" s="80">
        <f t="shared" si="1"/>
        <v>0</v>
      </c>
      <c r="AA35" s="80">
        <f t="shared" si="2"/>
        <v>0</v>
      </c>
      <c r="AB35" s="80">
        <f t="shared" si="3"/>
        <v>53688.78</v>
      </c>
      <c r="AC35" s="80"/>
      <c r="AD35">
        <v>0.1</v>
      </c>
      <c r="AE35" s="78">
        <f t="shared" si="4"/>
        <v>1789.626</v>
      </c>
      <c r="AF35">
        <v>0.2</v>
      </c>
      <c r="AG35" s="78">
        <f t="shared" si="5"/>
        <v>3579.252</v>
      </c>
    </row>
    <row r="36" spans="1:33" x14ac:dyDescent="0.2">
      <c r="A36" s="102"/>
      <c r="B36" s="107"/>
      <c r="C36" s="107" t="s">
        <v>45</v>
      </c>
      <c r="D36" s="109">
        <v>1</v>
      </c>
      <c r="E36" s="73">
        <v>5600</v>
      </c>
      <c r="F36" s="74">
        <f t="shared" si="19"/>
        <v>6160</v>
      </c>
      <c r="G36" s="74">
        <f>F36*1.1*1.1+0.4</f>
        <v>7454.0000000000009</v>
      </c>
      <c r="H36" s="74">
        <v>9212.35</v>
      </c>
      <c r="I36" s="74">
        <f t="shared" si="20"/>
        <v>10133.585000000001</v>
      </c>
      <c r="J36" s="74">
        <v>10741.600100000001</v>
      </c>
      <c r="K36" s="74">
        <f>ROUND('26.08.22'!K36*1.04,2)</f>
        <v>17896.259999999998</v>
      </c>
      <c r="L36" s="105" t="s">
        <v>65</v>
      </c>
      <c r="M36" s="83">
        <v>30</v>
      </c>
      <c r="N36" s="76"/>
      <c r="O36" s="78">
        <f t="shared" si="22"/>
        <v>5368.88</v>
      </c>
      <c r="P36" s="78">
        <f t="shared" si="21"/>
        <v>20401.740000000002</v>
      </c>
      <c r="Q36" s="78">
        <f t="shared" si="23"/>
        <v>27560.240399999999</v>
      </c>
      <c r="R36" s="79">
        <f t="shared" si="24"/>
        <v>71227.1204</v>
      </c>
      <c r="S36" s="78">
        <f t="shared" si="25"/>
        <v>4474.07</v>
      </c>
      <c r="T36" s="78">
        <v>1.54</v>
      </c>
      <c r="U36" s="78">
        <f t="shared" si="26"/>
        <v>75701.190399999992</v>
      </c>
      <c r="V36" s="79">
        <f t="shared" si="15"/>
        <v>61967.594747999996</v>
      </c>
      <c r="W36" s="78">
        <f t="shared" si="0"/>
        <v>65860.03564799999</v>
      </c>
      <c r="X36" s="80">
        <v>3</v>
      </c>
      <c r="Y36" s="78">
        <v>3</v>
      </c>
      <c r="Z36" s="80">
        <f t="shared" si="1"/>
        <v>0</v>
      </c>
      <c r="AA36" s="80">
        <f t="shared" si="2"/>
        <v>0</v>
      </c>
      <c r="AB36" s="80">
        <f t="shared" si="3"/>
        <v>53688.78</v>
      </c>
      <c r="AC36" s="80"/>
      <c r="AD36">
        <v>0.1</v>
      </c>
      <c r="AE36" s="78">
        <f t="shared" si="4"/>
        <v>1789.626</v>
      </c>
      <c r="AF36">
        <v>0.2</v>
      </c>
      <c r="AG36" s="78">
        <f t="shared" si="5"/>
        <v>3579.252</v>
      </c>
    </row>
    <row r="37" spans="1:33" x14ac:dyDescent="0.2">
      <c r="A37" s="102"/>
      <c r="B37" s="107"/>
      <c r="C37" s="107" t="s">
        <v>45</v>
      </c>
      <c r="D37" s="109">
        <v>1</v>
      </c>
      <c r="E37" s="73">
        <v>5600</v>
      </c>
      <c r="F37" s="74">
        <f t="shared" si="19"/>
        <v>6160</v>
      </c>
      <c r="G37" s="74">
        <f>F37*1.1*1.1+0.4</f>
        <v>7454.0000000000009</v>
      </c>
      <c r="H37" s="74">
        <v>9213.35</v>
      </c>
      <c r="I37" s="74">
        <f t="shared" si="20"/>
        <v>10134.685000000001</v>
      </c>
      <c r="J37" s="74">
        <v>10741.600100000001</v>
      </c>
      <c r="K37" s="74">
        <f>ROUND('26.08.22'!K37*1.04,2)</f>
        <v>17896.259999999998</v>
      </c>
      <c r="L37" s="105" t="s">
        <v>229</v>
      </c>
      <c r="M37" s="83">
        <v>30</v>
      </c>
      <c r="N37" s="76"/>
      <c r="O37" s="78">
        <f t="shared" si="22"/>
        <v>5368.88</v>
      </c>
      <c r="P37" s="78">
        <f t="shared" si="21"/>
        <v>20401.740000000002</v>
      </c>
      <c r="Q37" s="78">
        <f t="shared" si="23"/>
        <v>27560.240399999999</v>
      </c>
      <c r="R37" s="79">
        <f t="shared" si="24"/>
        <v>71227.1204</v>
      </c>
      <c r="S37" s="78">
        <f t="shared" si="25"/>
        <v>4474.07</v>
      </c>
      <c r="T37" s="78">
        <v>1.54</v>
      </c>
      <c r="U37" s="78">
        <f t="shared" si="26"/>
        <v>75701.190399999992</v>
      </c>
      <c r="V37" s="79">
        <f t="shared" si="15"/>
        <v>61967.594747999996</v>
      </c>
      <c r="W37" s="78">
        <f t="shared" si="0"/>
        <v>65860.03564799999</v>
      </c>
      <c r="X37" s="80">
        <v>3</v>
      </c>
      <c r="Y37" s="78">
        <v>3</v>
      </c>
      <c r="Z37" s="80">
        <f t="shared" si="1"/>
        <v>0</v>
      </c>
      <c r="AA37" s="80">
        <f t="shared" si="2"/>
        <v>0</v>
      </c>
      <c r="AB37" s="80">
        <f t="shared" si="3"/>
        <v>53688.78</v>
      </c>
      <c r="AC37" s="80"/>
      <c r="AD37">
        <v>1.1000000000000001</v>
      </c>
      <c r="AE37" s="78">
        <f t="shared" si="4"/>
        <v>19685.885999999999</v>
      </c>
      <c r="AF37">
        <v>1.2</v>
      </c>
      <c r="AG37" s="78">
        <f t="shared" si="5"/>
        <v>21475.511999999999</v>
      </c>
    </row>
    <row r="38" spans="1:33" ht="12" customHeight="1" x14ac:dyDescent="0.2">
      <c r="A38" s="127"/>
      <c r="B38" s="107"/>
      <c r="C38" s="107" t="s">
        <v>45</v>
      </c>
      <c r="D38" s="109">
        <v>1</v>
      </c>
      <c r="E38" s="73">
        <v>5600</v>
      </c>
      <c r="F38" s="74">
        <f t="shared" si="19"/>
        <v>6160</v>
      </c>
      <c r="G38" s="74">
        <f>F38*1.1*1.1+0.4</f>
        <v>7454.0000000000009</v>
      </c>
      <c r="H38" s="74">
        <v>9212.35</v>
      </c>
      <c r="I38" s="74">
        <f t="shared" si="20"/>
        <v>10133.585000000001</v>
      </c>
      <c r="J38" s="74">
        <v>10741.600100000001</v>
      </c>
      <c r="K38" s="74">
        <f>ROUND('26.08.22'!K38*1.04,2)</f>
        <v>17896.259999999998</v>
      </c>
      <c r="L38" s="75" t="s">
        <v>190</v>
      </c>
      <c r="M38" s="83">
        <v>20</v>
      </c>
      <c r="N38" s="113"/>
      <c r="O38" s="78">
        <f t="shared" si="22"/>
        <v>3579.25</v>
      </c>
      <c r="P38" s="78">
        <f t="shared" si="21"/>
        <v>20401.740000000002</v>
      </c>
      <c r="Q38" s="78">
        <f t="shared" si="23"/>
        <v>27560.240399999999</v>
      </c>
      <c r="R38" s="79">
        <f t="shared" si="24"/>
        <v>69437.490399999995</v>
      </c>
      <c r="S38" s="78">
        <f t="shared" si="25"/>
        <v>4474.07</v>
      </c>
      <c r="T38" s="78">
        <v>1.54</v>
      </c>
      <c r="U38" s="78">
        <f t="shared" si="26"/>
        <v>73911.560399999988</v>
      </c>
      <c r="V38" s="79">
        <f t="shared" si="15"/>
        <v>60410.616647999996</v>
      </c>
      <c r="W38" s="78">
        <f t="shared" si="0"/>
        <v>64303.05754799999</v>
      </c>
      <c r="X38" s="80">
        <v>3</v>
      </c>
      <c r="Y38" s="78">
        <v>3</v>
      </c>
      <c r="Z38" s="80">
        <f t="shared" si="1"/>
        <v>0</v>
      </c>
      <c r="AA38" s="80">
        <f t="shared" si="2"/>
        <v>0</v>
      </c>
      <c r="AB38" s="80">
        <f t="shared" si="3"/>
        <v>53688.78</v>
      </c>
      <c r="AC38" s="80"/>
      <c r="AD38">
        <v>0.1</v>
      </c>
      <c r="AE38" s="78">
        <f t="shared" si="4"/>
        <v>1789.626</v>
      </c>
      <c r="AF38">
        <v>0.2</v>
      </c>
      <c r="AG38" s="78">
        <f t="shared" si="5"/>
        <v>3579.252</v>
      </c>
    </row>
    <row r="39" spans="1:33" ht="12" customHeight="1" x14ac:dyDescent="0.2">
      <c r="A39" s="127"/>
      <c r="B39" s="107"/>
      <c r="C39" s="107"/>
      <c r="D39" s="234">
        <v>1</v>
      </c>
      <c r="E39" s="73"/>
      <c r="F39" s="74"/>
      <c r="G39" s="74"/>
      <c r="H39" s="74"/>
      <c r="I39" s="74"/>
      <c r="J39" s="74"/>
      <c r="K39" s="79">
        <v>17896.259999999998</v>
      </c>
      <c r="L39" s="75"/>
      <c r="M39" s="83"/>
      <c r="N39" s="113"/>
      <c r="O39" s="78"/>
      <c r="P39" s="78"/>
      <c r="Q39" s="78"/>
      <c r="R39" s="79"/>
      <c r="S39" s="78"/>
      <c r="T39" s="78"/>
      <c r="U39" s="78"/>
      <c r="V39" s="79"/>
      <c r="W39" s="78"/>
      <c r="X39" s="80"/>
      <c r="Y39" s="78"/>
      <c r="Z39" s="80"/>
      <c r="AA39" s="80"/>
      <c r="AB39" s="80"/>
      <c r="AC39" s="80"/>
      <c r="AE39" s="78"/>
      <c r="AG39" s="78"/>
    </row>
    <row r="40" spans="1:33" ht="12" customHeight="1" x14ac:dyDescent="0.2">
      <c r="A40" s="127"/>
      <c r="B40" s="107"/>
      <c r="C40" s="107"/>
      <c r="D40" s="234">
        <v>0</v>
      </c>
      <c r="E40" s="115"/>
      <c r="F40" s="79"/>
      <c r="G40" s="79"/>
      <c r="H40" s="79"/>
      <c r="I40" s="79"/>
      <c r="J40" s="79"/>
      <c r="K40" s="79">
        <v>0</v>
      </c>
      <c r="L40" s="75"/>
      <c r="M40" s="83"/>
      <c r="N40" s="113"/>
      <c r="O40" s="78"/>
      <c r="P40" s="78"/>
      <c r="Q40" s="78"/>
      <c r="R40" s="79"/>
      <c r="S40" s="78"/>
      <c r="T40" s="78"/>
      <c r="U40" s="78"/>
      <c r="V40" s="79"/>
      <c r="W40" s="78"/>
      <c r="X40" s="80"/>
      <c r="Y40" s="78"/>
      <c r="Z40" s="80"/>
      <c r="AA40" s="80"/>
      <c r="AB40" s="80"/>
      <c r="AC40" s="80"/>
      <c r="AE40" s="78"/>
      <c r="AG40" s="78"/>
    </row>
    <row r="41" spans="1:33" ht="12" customHeight="1" x14ac:dyDescent="0.2">
      <c r="A41" s="127"/>
      <c r="B41" s="107"/>
      <c r="C41" s="107"/>
      <c r="D41" s="234">
        <v>1</v>
      </c>
      <c r="E41" s="115"/>
      <c r="F41" s="79"/>
      <c r="G41" s="79"/>
      <c r="H41" s="79"/>
      <c r="I41" s="79"/>
      <c r="J41" s="79"/>
      <c r="K41" s="79">
        <v>17896.259999999998</v>
      </c>
      <c r="L41" s="75"/>
      <c r="M41" s="83"/>
      <c r="N41" s="113"/>
      <c r="O41" s="78"/>
      <c r="P41" s="78"/>
      <c r="Q41" s="78"/>
      <c r="R41" s="79"/>
      <c r="S41" s="78"/>
      <c r="T41" s="78"/>
      <c r="U41" s="78"/>
      <c r="V41" s="79"/>
      <c r="W41" s="78"/>
      <c r="X41" s="80"/>
      <c r="Y41" s="78"/>
      <c r="Z41" s="80"/>
      <c r="AA41" s="80"/>
      <c r="AB41" s="80"/>
      <c r="AC41" s="80"/>
      <c r="AE41" s="78"/>
      <c r="AG41" s="78"/>
    </row>
    <row r="42" spans="1:33" ht="12" customHeight="1" x14ac:dyDescent="0.2">
      <c r="A42" s="127"/>
      <c r="B42" s="107"/>
      <c r="C42" s="119" t="s">
        <v>45</v>
      </c>
      <c r="D42" s="234">
        <v>1</v>
      </c>
      <c r="E42" s="115"/>
      <c r="F42" s="79"/>
      <c r="G42" s="79"/>
      <c r="H42" s="79"/>
      <c r="I42" s="79"/>
      <c r="J42" s="79"/>
      <c r="K42" s="79">
        <f>17896.26</f>
        <v>17896.259999999998</v>
      </c>
      <c r="L42" s="75"/>
      <c r="M42" s="83">
        <v>30</v>
      </c>
      <c r="N42" s="113"/>
      <c r="O42" s="78">
        <f t="shared" si="22"/>
        <v>5368.88</v>
      </c>
      <c r="P42" s="78">
        <f t="shared" si="21"/>
        <v>20401.740000000002</v>
      </c>
      <c r="Q42" s="78">
        <f t="shared" si="23"/>
        <v>27560.240399999999</v>
      </c>
      <c r="R42" s="79">
        <f t="shared" si="24"/>
        <v>71227.1204</v>
      </c>
      <c r="S42" s="78">
        <f t="shared" si="25"/>
        <v>4474.07</v>
      </c>
      <c r="T42" s="78">
        <v>1.54</v>
      </c>
      <c r="U42" s="78">
        <f t="shared" si="26"/>
        <v>75701.190399999992</v>
      </c>
      <c r="V42" s="79">
        <f t="shared" si="15"/>
        <v>61967.594747999996</v>
      </c>
      <c r="W42" s="78">
        <f t="shared" si="0"/>
        <v>65860.03564799999</v>
      </c>
      <c r="X42" s="80"/>
      <c r="Y42" s="78"/>
      <c r="Z42" s="80"/>
      <c r="AA42" s="80"/>
      <c r="AB42" s="80"/>
      <c r="AC42" s="80"/>
      <c r="AE42" s="78"/>
      <c r="AG42" s="78"/>
    </row>
    <row r="43" spans="1:33" x14ac:dyDescent="0.2">
      <c r="A43" s="127"/>
      <c r="B43" s="107"/>
      <c r="C43" s="107" t="s">
        <v>70</v>
      </c>
      <c r="D43" s="109">
        <v>1</v>
      </c>
      <c r="E43" s="73">
        <v>5600</v>
      </c>
      <c r="F43" s="74">
        <f t="shared" si="19"/>
        <v>6160</v>
      </c>
      <c r="G43" s="74">
        <f>F43*1.1*1.1+0.4</f>
        <v>7454.0000000000009</v>
      </c>
      <c r="H43" s="74">
        <v>9212.35</v>
      </c>
      <c r="I43" s="74">
        <f t="shared" si="20"/>
        <v>10133.585000000001</v>
      </c>
      <c r="J43" s="74">
        <v>10741.600100000001</v>
      </c>
      <c r="K43" s="74">
        <f>ROUND('26.08.22'!K39*1.04,2)</f>
        <v>15418.33</v>
      </c>
      <c r="L43" s="75" t="s">
        <v>189</v>
      </c>
      <c r="M43" s="83">
        <v>30</v>
      </c>
      <c r="N43" s="113"/>
      <c r="O43" s="78">
        <f t="shared" si="22"/>
        <v>4625.5</v>
      </c>
      <c r="P43" s="78">
        <f t="shared" si="21"/>
        <v>17576.900000000001</v>
      </c>
      <c r="Q43" s="78">
        <f t="shared" si="23"/>
        <v>22202.395199999999</v>
      </c>
      <c r="R43" s="79">
        <f t="shared" si="24"/>
        <v>59823.125200000002</v>
      </c>
      <c r="S43" s="78">
        <f t="shared" si="25"/>
        <v>3854.58</v>
      </c>
      <c r="T43" s="78">
        <v>1.44</v>
      </c>
      <c r="U43" s="78">
        <f t="shared" si="26"/>
        <v>63677.705200000004</v>
      </c>
      <c r="V43" s="79">
        <f>R43*0.87</f>
        <v>52046.118924000002</v>
      </c>
      <c r="W43" s="78">
        <f t="shared" si="0"/>
        <v>55399.603524000006</v>
      </c>
      <c r="X43" s="80">
        <v>3</v>
      </c>
      <c r="Y43" s="78">
        <v>3</v>
      </c>
      <c r="Z43" s="80" t="s">
        <v>68</v>
      </c>
      <c r="AA43" s="80"/>
      <c r="AB43" s="80"/>
      <c r="AC43" s="80"/>
      <c r="AE43" s="78"/>
      <c r="AG43" s="78"/>
    </row>
    <row r="44" spans="1:33" x14ac:dyDescent="0.2">
      <c r="A44" s="127"/>
      <c r="B44" s="107"/>
      <c r="C44" s="107" t="s">
        <v>70</v>
      </c>
      <c r="D44" s="109">
        <v>1</v>
      </c>
      <c r="E44" s="73"/>
      <c r="F44" s="74"/>
      <c r="G44" s="74"/>
      <c r="H44" s="74"/>
      <c r="I44" s="74"/>
      <c r="J44" s="74"/>
      <c r="K44" s="74">
        <f>ROUND('26.08.22'!K40*1.04,2)</f>
        <v>15418.33</v>
      </c>
      <c r="L44" s="75" t="s">
        <v>223</v>
      </c>
      <c r="M44" s="83">
        <v>15</v>
      </c>
      <c r="N44" s="113"/>
      <c r="O44" s="78">
        <f t="shared" si="22"/>
        <v>2312.75</v>
      </c>
      <c r="P44" s="78">
        <f t="shared" si="21"/>
        <v>17576.900000000001</v>
      </c>
      <c r="Q44" s="78">
        <f t="shared" si="23"/>
        <v>22202.395199999999</v>
      </c>
      <c r="R44" s="79">
        <f t="shared" si="24"/>
        <v>57510.375200000002</v>
      </c>
      <c r="S44" s="78">
        <f t="shared" si="25"/>
        <v>3854.58</v>
      </c>
      <c r="T44" s="78">
        <v>1.44</v>
      </c>
      <c r="U44" s="78">
        <f t="shared" si="26"/>
        <v>61364.955200000004</v>
      </c>
      <c r="V44" s="79">
        <f t="shared" si="15"/>
        <v>50034.026424000003</v>
      </c>
      <c r="W44" s="78">
        <f t="shared" si="0"/>
        <v>53387.511024000007</v>
      </c>
      <c r="X44" s="80"/>
      <c r="Y44" s="78"/>
      <c r="Z44" s="80"/>
      <c r="AA44" s="80"/>
      <c r="AB44" s="80"/>
      <c r="AC44" s="80"/>
      <c r="AE44" s="78"/>
      <c r="AG44" s="78"/>
    </row>
    <row r="45" spans="1:33" x14ac:dyDescent="0.2">
      <c r="A45" s="102"/>
      <c r="B45" s="107"/>
      <c r="C45" s="87" t="s">
        <v>51</v>
      </c>
      <c r="D45" s="88">
        <f>SUM(D29:D44)</f>
        <v>15</v>
      </c>
      <c r="E45" s="95"/>
      <c r="F45" s="90"/>
      <c r="G45" s="89">
        <f>SUM(G29:G36)</f>
        <v>59499</v>
      </c>
      <c r="H45" s="89">
        <f>SUM(H29:H36)</f>
        <v>73534.320000000007</v>
      </c>
      <c r="I45" s="89">
        <f>SUM(I29:I36)</f>
        <v>80887.752000000008</v>
      </c>
      <c r="J45" s="89">
        <v>87467.350080000004</v>
      </c>
      <c r="K45" s="90">
        <f>SUM(K29:K44)</f>
        <v>272298.45</v>
      </c>
      <c r="L45" s="90"/>
      <c r="M45" s="90"/>
      <c r="N45" s="90">
        <f t="shared" ref="N45" si="27">SUM(N29:N36)</f>
        <v>0</v>
      </c>
      <c r="O45" s="90">
        <f>SUM(O29:O44)</f>
        <v>66849.419999999984</v>
      </c>
      <c r="P45" s="90">
        <f t="shared" ref="P45:W45" si="28">SUM(P29:P44)</f>
        <v>271957.06999999995</v>
      </c>
      <c r="Q45" s="90">
        <f t="shared" si="28"/>
        <v>361135.46620000002</v>
      </c>
      <c r="R45" s="90">
        <f t="shared" si="28"/>
        <v>936447.88620000007</v>
      </c>
      <c r="S45" s="90">
        <f t="shared" si="28"/>
        <v>59126.520000000004</v>
      </c>
      <c r="T45" s="90">
        <f t="shared" si="28"/>
        <v>19.82</v>
      </c>
      <c r="U45" s="90">
        <f t="shared" si="28"/>
        <v>995574.40619999962</v>
      </c>
      <c r="V45" s="90">
        <f t="shared" si="28"/>
        <v>814709.66099399992</v>
      </c>
      <c r="W45" s="90">
        <f t="shared" si="28"/>
        <v>866149.73339399986</v>
      </c>
      <c r="X45" s="80"/>
      <c r="Y45" s="90"/>
      <c r="Z45" s="80">
        <f t="shared" si="1"/>
        <v>0</v>
      </c>
      <c r="AA45" s="80">
        <f t="shared" si="2"/>
        <v>0</v>
      </c>
      <c r="AB45" s="80">
        <f t="shared" si="3"/>
        <v>0</v>
      </c>
      <c r="AC45" s="91"/>
      <c r="AD45">
        <v>0.1</v>
      </c>
      <c r="AE45" s="89">
        <f t="shared" si="4"/>
        <v>27229.845000000001</v>
      </c>
      <c r="AF45">
        <v>0.2</v>
      </c>
      <c r="AG45" s="89">
        <f t="shared" si="5"/>
        <v>54459.69</v>
      </c>
    </row>
    <row r="46" spans="1:33" ht="45" customHeight="1" x14ac:dyDescent="0.2">
      <c r="A46" s="120" t="s">
        <v>66</v>
      </c>
      <c r="B46" s="107"/>
      <c r="C46" s="87"/>
      <c r="D46" s="111"/>
      <c r="E46" s="95"/>
      <c r="F46" s="90"/>
      <c r="G46" s="89"/>
      <c r="H46" s="89"/>
      <c r="I46" s="89"/>
      <c r="J46" s="89"/>
      <c r="K46" s="90"/>
      <c r="L46" s="112"/>
      <c r="M46" s="113"/>
      <c r="N46" s="113"/>
      <c r="O46" s="89"/>
      <c r="P46" s="99" t="s">
        <v>40</v>
      </c>
      <c r="Q46" s="89"/>
      <c r="R46" s="79"/>
      <c r="S46" s="89"/>
      <c r="T46" s="99"/>
      <c r="U46" s="89"/>
      <c r="V46" s="125"/>
      <c r="W46" s="89"/>
      <c r="X46" s="80"/>
      <c r="Y46" s="89"/>
      <c r="Z46" s="80">
        <f t="shared" si="1"/>
        <v>0</v>
      </c>
      <c r="AA46" s="80">
        <f t="shared" si="2"/>
        <v>0</v>
      </c>
      <c r="AB46" s="80">
        <f t="shared" si="3"/>
        <v>0</v>
      </c>
      <c r="AC46" s="126"/>
      <c r="AD46">
        <v>0.1</v>
      </c>
      <c r="AE46" s="89"/>
      <c r="AG46" s="89"/>
    </row>
    <row r="47" spans="1:33" x14ac:dyDescent="0.2">
      <c r="A47" s="127"/>
      <c r="B47" s="107"/>
      <c r="C47" s="87" t="s">
        <v>58</v>
      </c>
      <c r="D47" s="72">
        <v>1</v>
      </c>
      <c r="E47" s="73">
        <v>8500</v>
      </c>
      <c r="F47" s="74">
        <f t="shared" si="19"/>
        <v>9350</v>
      </c>
      <c r="G47" s="74">
        <f>9075*1.1+0.5</f>
        <v>9983</v>
      </c>
      <c r="H47" s="74">
        <v>12337.98</v>
      </c>
      <c r="I47" s="74">
        <f t="shared" ref="I47:I53" si="29">H47*$I$12</f>
        <v>13571.778</v>
      </c>
      <c r="J47" s="74">
        <v>14386.084680000002</v>
      </c>
      <c r="K47" s="74">
        <f>ROUND('26.08.22'!K43*1.04,2)</f>
        <v>23402.77</v>
      </c>
      <c r="L47" s="105" t="s">
        <v>67</v>
      </c>
      <c r="M47" s="83">
        <v>30</v>
      </c>
      <c r="N47" s="113"/>
      <c r="O47" s="78">
        <f t="shared" ref="O47:O53" si="30">ROUND((K47*M47/100),2)</f>
        <v>7020.83</v>
      </c>
      <c r="P47" s="78">
        <f>ROUND(K47*1.24,2)</f>
        <v>29019.43</v>
      </c>
      <c r="Q47" s="78">
        <f t="shared" ref="Q47:Q53" si="31">K47*T47</f>
        <v>36040.265800000001</v>
      </c>
      <c r="R47" s="79">
        <f t="shared" ref="R47:R53" si="32">K47+O47+P47+Q47</f>
        <v>95483.295799999993</v>
      </c>
      <c r="S47" s="78">
        <f t="shared" ref="S47:S53" si="33">ROUND(K47*S$12,2)</f>
        <v>5850.69</v>
      </c>
      <c r="T47" s="78">
        <v>1.54</v>
      </c>
      <c r="U47" s="78">
        <f t="shared" ref="U47:U53" si="34">K47+O47+P47+Q47+S47</f>
        <v>101333.98579999999</v>
      </c>
      <c r="V47" s="79">
        <f t="shared" si="15"/>
        <v>83070.46734599999</v>
      </c>
      <c r="W47" s="78">
        <f t="shared" si="0"/>
        <v>88160.567645999996</v>
      </c>
      <c r="X47" s="80">
        <v>3</v>
      </c>
      <c r="Y47" s="78">
        <v>3</v>
      </c>
      <c r="Z47" s="80">
        <f t="shared" si="1"/>
        <v>0</v>
      </c>
      <c r="AA47" s="80">
        <f t="shared" si="2"/>
        <v>0</v>
      </c>
      <c r="AB47" s="80">
        <f t="shared" si="3"/>
        <v>70208.31</v>
      </c>
      <c r="AC47" s="80"/>
      <c r="AD47">
        <v>0.1</v>
      </c>
      <c r="AE47" s="78">
        <f t="shared" si="4"/>
        <v>2340.277</v>
      </c>
      <c r="AF47">
        <v>0.2</v>
      </c>
      <c r="AG47" s="78">
        <f t="shared" si="5"/>
        <v>4680.5540000000001</v>
      </c>
    </row>
    <row r="48" spans="1:33" x14ac:dyDescent="0.2">
      <c r="A48" s="127"/>
      <c r="B48" s="107"/>
      <c r="C48" s="122" t="s">
        <v>60</v>
      </c>
      <c r="D48" s="72">
        <v>1</v>
      </c>
      <c r="E48" s="73">
        <v>5600</v>
      </c>
      <c r="F48" s="74">
        <f>ROUND(E48*F$12,2)</f>
        <v>6160</v>
      </c>
      <c r="G48" s="74">
        <f>F48*1.1*1.1+0.4</f>
        <v>7454.0000000000009</v>
      </c>
      <c r="H48" s="74">
        <v>9212.35</v>
      </c>
      <c r="I48" s="74">
        <f>H48*$I$12</f>
        <v>10133.585000000001</v>
      </c>
      <c r="J48" s="74">
        <v>10741.600100000001</v>
      </c>
      <c r="K48" s="74">
        <f>ROUND('26.08.22'!K44*1.04,2)</f>
        <v>21200.16</v>
      </c>
      <c r="L48" s="75" t="s">
        <v>55</v>
      </c>
      <c r="M48" s="76">
        <v>15</v>
      </c>
      <c r="N48" s="113"/>
      <c r="O48" s="78">
        <f>ROUND((K48*M48/100),2)</f>
        <v>3180.02</v>
      </c>
      <c r="P48" s="78">
        <f t="shared" ref="P48:P53" si="35">ROUND(K48*1.14,2)</f>
        <v>24168.18</v>
      </c>
      <c r="Q48" s="78">
        <f>K48*T48</f>
        <v>32648.2464</v>
      </c>
      <c r="R48" s="79">
        <f>K48+O48+P48+Q48</f>
        <v>81196.606400000004</v>
      </c>
      <c r="S48" s="78">
        <f>ROUND(K48*S$12,2)</f>
        <v>5300.04</v>
      </c>
      <c r="T48" s="78">
        <v>1.54</v>
      </c>
      <c r="U48" s="78">
        <f>K48+O48+P48+Q48+S48</f>
        <v>86496.646399999998</v>
      </c>
      <c r="V48" s="79">
        <f>R48*0.87</f>
        <v>70641.047568000009</v>
      </c>
      <c r="W48" s="78">
        <f>U48*0.87</f>
        <v>75252.082368000003</v>
      </c>
      <c r="X48" s="80"/>
      <c r="Y48" s="78"/>
      <c r="Z48" s="80"/>
      <c r="AA48" s="80"/>
      <c r="AB48" s="80"/>
      <c r="AC48" s="80"/>
      <c r="AE48" s="78"/>
      <c r="AG48" s="78"/>
    </row>
    <row r="49" spans="1:33" ht="12" customHeight="1" x14ac:dyDescent="0.2">
      <c r="A49" s="127"/>
      <c r="B49" s="107"/>
      <c r="C49" s="107" t="s">
        <v>45</v>
      </c>
      <c r="D49" s="109">
        <v>1</v>
      </c>
      <c r="E49" s="73">
        <v>6500</v>
      </c>
      <c r="F49" s="74">
        <f t="shared" si="19"/>
        <v>7150</v>
      </c>
      <c r="G49" s="74">
        <f>F49*1.1*1.1+0.5</f>
        <v>8652.0000000000018</v>
      </c>
      <c r="H49" s="74">
        <v>10692.91</v>
      </c>
      <c r="I49" s="74">
        <f t="shared" si="29"/>
        <v>11762.201000000001</v>
      </c>
      <c r="J49" s="74">
        <v>12467.933060000001</v>
      </c>
      <c r="K49" s="74">
        <f>ROUND('26.08.22'!K45*1.04,2)</f>
        <v>17896.259999999998</v>
      </c>
      <c r="L49" s="75" t="s">
        <v>69</v>
      </c>
      <c r="M49" s="76">
        <v>30</v>
      </c>
      <c r="N49" s="113"/>
      <c r="O49" s="78">
        <f t="shared" si="30"/>
        <v>5368.88</v>
      </c>
      <c r="P49" s="78">
        <f t="shared" si="35"/>
        <v>20401.740000000002</v>
      </c>
      <c r="Q49" s="78">
        <f t="shared" si="31"/>
        <v>27560.240399999999</v>
      </c>
      <c r="R49" s="79">
        <f t="shared" si="32"/>
        <v>71227.1204</v>
      </c>
      <c r="S49" s="78">
        <f t="shared" si="33"/>
        <v>4474.07</v>
      </c>
      <c r="T49" s="78">
        <v>1.54</v>
      </c>
      <c r="U49" s="78">
        <f t="shared" si="34"/>
        <v>75701.190399999992</v>
      </c>
      <c r="V49" s="79">
        <f t="shared" si="15"/>
        <v>61967.594747999996</v>
      </c>
      <c r="W49" s="78">
        <f t="shared" si="0"/>
        <v>65860.03564799999</v>
      </c>
      <c r="X49" s="80">
        <v>3</v>
      </c>
      <c r="Y49" s="78">
        <v>3</v>
      </c>
      <c r="Z49" s="80">
        <f t="shared" si="1"/>
        <v>0</v>
      </c>
      <c r="AA49" s="80">
        <f t="shared" si="2"/>
        <v>0</v>
      </c>
      <c r="AB49" s="80">
        <f t="shared" si="3"/>
        <v>53688.78</v>
      </c>
      <c r="AC49" s="80"/>
      <c r="AD49">
        <v>0.1</v>
      </c>
      <c r="AE49" s="78">
        <f t="shared" si="4"/>
        <v>1789.626</v>
      </c>
      <c r="AF49">
        <v>0.2</v>
      </c>
      <c r="AG49" s="78">
        <f t="shared" si="5"/>
        <v>3579.252</v>
      </c>
    </row>
    <row r="50" spans="1:33" x14ac:dyDescent="0.2">
      <c r="A50" s="127"/>
      <c r="B50" s="107"/>
      <c r="C50" s="107" t="s">
        <v>70</v>
      </c>
      <c r="D50" s="109">
        <v>1</v>
      </c>
      <c r="E50" s="73">
        <v>5600</v>
      </c>
      <c r="F50" s="74">
        <f t="shared" si="19"/>
        <v>6160</v>
      </c>
      <c r="G50" s="74">
        <f>F50*1.1*1.1+0.4</f>
        <v>7454.0000000000009</v>
      </c>
      <c r="H50" s="74">
        <v>9212.35</v>
      </c>
      <c r="I50" s="74">
        <f t="shared" si="29"/>
        <v>10133.585000000001</v>
      </c>
      <c r="J50" s="74">
        <v>10741.600100000001</v>
      </c>
      <c r="K50" s="74">
        <f>ROUND('26.08.22'!K46*1.04,2)</f>
        <v>15418.33</v>
      </c>
      <c r="L50" s="105" t="s">
        <v>224</v>
      </c>
      <c r="M50" s="83">
        <v>30</v>
      </c>
      <c r="N50" s="113"/>
      <c r="O50" s="78">
        <f t="shared" si="30"/>
        <v>4625.5</v>
      </c>
      <c r="P50" s="78">
        <f t="shared" si="35"/>
        <v>17576.900000000001</v>
      </c>
      <c r="Q50" s="78">
        <f t="shared" si="31"/>
        <v>22202.395199999999</v>
      </c>
      <c r="R50" s="79">
        <f t="shared" si="32"/>
        <v>59823.125200000002</v>
      </c>
      <c r="S50" s="78">
        <f t="shared" si="33"/>
        <v>3854.58</v>
      </c>
      <c r="T50" s="78">
        <v>1.44</v>
      </c>
      <c r="U50" s="78">
        <f t="shared" si="34"/>
        <v>63677.705200000004</v>
      </c>
      <c r="V50" s="79">
        <f t="shared" si="15"/>
        <v>52046.118924000002</v>
      </c>
      <c r="W50" s="78">
        <f t="shared" si="0"/>
        <v>55399.603524000006</v>
      </c>
      <c r="X50" s="80">
        <v>3</v>
      </c>
      <c r="Y50" s="78">
        <v>3</v>
      </c>
      <c r="Z50" s="80">
        <f t="shared" si="1"/>
        <v>0</v>
      </c>
      <c r="AA50" s="80">
        <f t="shared" si="2"/>
        <v>0</v>
      </c>
      <c r="AB50" s="80">
        <f t="shared" si="3"/>
        <v>46254.99</v>
      </c>
      <c r="AC50" s="80"/>
      <c r="AD50">
        <v>0.1</v>
      </c>
      <c r="AE50" s="78">
        <f t="shared" si="4"/>
        <v>1541.8330000000001</v>
      </c>
      <c r="AF50">
        <v>0.2</v>
      </c>
      <c r="AG50" s="78">
        <f t="shared" si="5"/>
        <v>3083.6660000000002</v>
      </c>
    </row>
    <row r="51" spans="1:33" x14ac:dyDescent="0.2">
      <c r="A51" s="102"/>
      <c r="B51" s="107"/>
      <c r="C51" s="107" t="s">
        <v>45</v>
      </c>
      <c r="D51" s="109">
        <v>1</v>
      </c>
      <c r="E51" s="73">
        <v>6500</v>
      </c>
      <c r="F51" s="74">
        <f t="shared" si="19"/>
        <v>7150</v>
      </c>
      <c r="G51" s="74">
        <f>F51*1.1*1.1+0.5</f>
        <v>8652.0000000000018</v>
      </c>
      <c r="H51" s="74">
        <v>10692.91</v>
      </c>
      <c r="I51" s="74">
        <f t="shared" si="29"/>
        <v>11762.201000000001</v>
      </c>
      <c r="J51" s="74">
        <v>12467.933060000001</v>
      </c>
      <c r="K51" s="74">
        <f>ROUND('26.08.22'!K47*1.04,2)</f>
        <v>17896.259999999998</v>
      </c>
      <c r="L51" s="128" t="s">
        <v>71</v>
      </c>
      <c r="M51" s="83">
        <v>30</v>
      </c>
      <c r="N51" s="76"/>
      <c r="O51" s="78">
        <f t="shared" si="30"/>
        <v>5368.88</v>
      </c>
      <c r="P51" s="78">
        <f t="shared" si="35"/>
        <v>20401.740000000002</v>
      </c>
      <c r="Q51" s="78">
        <f t="shared" si="31"/>
        <v>27560.240399999999</v>
      </c>
      <c r="R51" s="79">
        <f t="shared" si="32"/>
        <v>71227.1204</v>
      </c>
      <c r="S51" s="78">
        <f t="shared" si="33"/>
        <v>4474.07</v>
      </c>
      <c r="T51" s="78">
        <v>1.54</v>
      </c>
      <c r="U51" s="78">
        <f t="shared" si="34"/>
        <v>75701.190399999992</v>
      </c>
      <c r="V51" s="79">
        <f t="shared" si="15"/>
        <v>61967.594747999996</v>
      </c>
      <c r="W51" s="78">
        <f t="shared" si="0"/>
        <v>65860.03564799999</v>
      </c>
      <c r="X51" s="80">
        <v>3</v>
      </c>
      <c r="Y51" s="78">
        <v>3</v>
      </c>
      <c r="Z51" s="80">
        <f t="shared" si="1"/>
        <v>0</v>
      </c>
      <c r="AA51" s="80">
        <f t="shared" si="2"/>
        <v>0</v>
      </c>
      <c r="AB51" s="80">
        <f t="shared" si="3"/>
        <v>53688.78</v>
      </c>
      <c r="AC51" s="80"/>
      <c r="AD51">
        <v>0.1</v>
      </c>
      <c r="AE51" s="78">
        <f t="shared" si="4"/>
        <v>1789.626</v>
      </c>
      <c r="AF51">
        <v>0.2</v>
      </c>
      <c r="AG51" s="78">
        <f t="shared" si="5"/>
        <v>3579.252</v>
      </c>
    </row>
    <row r="52" spans="1:33" x14ac:dyDescent="0.2">
      <c r="A52" s="102"/>
      <c r="B52" s="107"/>
      <c r="C52" s="107" t="s">
        <v>45</v>
      </c>
      <c r="D52" s="109">
        <v>1</v>
      </c>
      <c r="E52" s="73">
        <v>5600</v>
      </c>
      <c r="F52" s="74">
        <f t="shared" si="19"/>
        <v>6160</v>
      </c>
      <c r="G52" s="74">
        <f>F52*1.1*1.1+0.4</f>
        <v>7454.0000000000009</v>
      </c>
      <c r="H52" s="74">
        <v>9212.35</v>
      </c>
      <c r="I52" s="74">
        <f t="shared" si="29"/>
        <v>10133.585000000001</v>
      </c>
      <c r="J52" s="74">
        <v>10741.600100000001</v>
      </c>
      <c r="K52" s="74">
        <f>ROUND('26.08.22'!K48*1.04,2)</f>
        <v>17896.259999999998</v>
      </c>
      <c r="L52" s="128" t="s">
        <v>72</v>
      </c>
      <c r="M52" s="76">
        <v>30</v>
      </c>
      <c r="N52" s="76"/>
      <c r="O52" s="78">
        <f t="shared" si="30"/>
        <v>5368.88</v>
      </c>
      <c r="P52" s="78">
        <f t="shared" si="35"/>
        <v>20401.740000000002</v>
      </c>
      <c r="Q52" s="78">
        <f t="shared" si="31"/>
        <v>27560.240399999999</v>
      </c>
      <c r="R52" s="79">
        <f t="shared" si="32"/>
        <v>71227.1204</v>
      </c>
      <c r="S52" s="78">
        <f t="shared" si="33"/>
        <v>4474.07</v>
      </c>
      <c r="T52" s="78">
        <v>1.54</v>
      </c>
      <c r="U52" s="78">
        <f t="shared" si="34"/>
        <v>75701.190399999992</v>
      </c>
      <c r="V52" s="79">
        <f t="shared" si="15"/>
        <v>61967.594747999996</v>
      </c>
      <c r="W52" s="78">
        <f t="shared" si="0"/>
        <v>65860.03564799999</v>
      </c>
      <c r="X52" s="80">
        <v>3</v>
      </c>
      <c r="Y52" s="78">
        <v>3</v>
      </c>
      <c r="Z52" s="80">
        <f t="shared" si="1"/>
        <v>0</v>
      </c>
      <c r="AA52" s="80">
        <f t="shared" si="2"/>
        <v>0</v>
      </c>
      <c r="AB52" s="80">
        <f t="shared" si="3"/>
        <v>53688.78</v>
      </c>
      <c r="AC52" s="80"/>
      <c r="AD52">
        <v>0.1</v>
      </c>
      <c r="AE52" s="78">
        <f t="shared" si="4"/>
        <v>1789.626</v>
      </c>
      <c r="AF52">
        <v>0.2</v>
      </c>
      <c r="AG52" s="78">
        <f t="shared" si="5"/>
        <v>3579.252</v>
      </c>
    </row>
    <row r="53" spans="1:33" x14ac:dyDescent="0.2">
      <c r="A53" s="102"/>
      <c r="B53" s="107"/>
      <c r="C53" s="107" t="s">
        <v>45</v>
      </c>
      <c r="D53" s="109">
        <v>1</v>
      </c>
      <c r="E53" s="73">
        <v>5600</v>
      </c>
      <c r="F53" s="74">
        <f t="shared" si="19"/>
        <v>6160</v>
      </c>
      <c r="G53" s="74">
        <f>F53*1.1*1.1+0.4</f>
        <v>7454.0000000000009</v>
      </c>
      <c r="H53" s="74">
        <v>9213.35</v>
      </c>
      <c r="I53" s="74">
        <f t="shared" si="29"/>
        <v>10134.685000000001</v>
      </c>
      <c r="J53" s="74">
        <v>10741.600100000001</v>
      </c>
      <c r="K53" s="74">
        <f>ROUND('26.08.22'!K49*1.04,2)</f>
        <v>17896.259999999998</v>
      </c>
      <c r="L53" s="128" t="s">
        <v>68</v>
      </c>
      <c r="M53" s="76">
        <v>30</v>
      </c>
      <c r="N53" s="76"/>
      <c r="O53" s="78">
        <f t="shared" si="30"/>
        <v>5368.88</v>
      </c>
      <c r="P53" s="78">
        <f t="shared" si="35"/>
        <v>20401.740000000002</v>
      </c>
      <c r="Q53" s="78">
        <f t="shared" si="31"/>
        <v>27560.240399999999</v>
      </c>
      <c r="R53" s="79">
        <f t="shared" si="32"/>
        <v>71227.1204</v>
      </c>
      <c r="S53" s="78">
        <f t="shared" si="33"/>
        <v>4474.07</v>
      </c>
      <c r="T53" s="78">
        <v>1.54</v>
      </c>
      <c r="U53" s="78">
        <f t="shared" si="34"/>
        <v>75701.190399999992</v>
      </c>
      <c r="V53" s="79">
        <f t="shared" si="15"/>
        <v>61967.594747999996</v>
      </c>
      <c r="W53" s="78">
        <f t="shared" si="0"/>
        <v>65860.03564799999</v>
      </c>
      <c r="X53" s="80">
        <v>3</v>
      </c>
      <c r="Y53" s="78">
        <v>3</v>
      </c>
      <c r="Z53" s="80">
        <f t="shared" si="1"/>
        <v>0</v>
      </c>
      <c r="AA53" s="80">
        <f t="shared" si="2"/>
        <v>0</v>
      </c>
      <c r="AB53" s="80">
        <f t="shared" si="3"/>
        <v>53688.78</v>
      </c>
      <c r="AC53" s="80"/>
      <c r="AD53">
        <v>1.1000000000000001</v>
      </c>
      <c r="AE53" s="78">
        <f t="shared" si="4"/>
        <v>19685.885999999999</v>
      </c>
      <c r="AF53">
        <v>1.2</v>
      </c>
      <c r="AG53" s="78">
        <f t="shared" si="5"/>
        <v>21475.511999999999</v>
      </c>
    </row>
    <row r="54" spans="1:33" x14ac:dyDescent="0.2">
      <c r="A54" s="86"/>
      <c r="B54" s="87"/>
      <c r="C54" s="87" t="s">
        <v>51</v>
      </c>
      <c r="D54" s="88">
        <f>SUM(D47:D52)+D53</f>
        <v>7</v>
      </c>
      <c r="E54" s="89">
        <f>SUM(E29:E52)</f>
        <v>99900</v>
      </c>
      <c r="F54" s="89">
        <f>SUM(F29:F52)</f>
        <v>110880</v>
      </c>
      <c r="G54" s="89">
        <f>SUM(G47:G52)</f>
        <v>49649</v>
      </c>
      <c r="H54" s="89">
        <f>SUM(H47:H52)</f>
        <v>61360.85</v>
      </c>
      <c r="I54" s="89">
        <f>SUM(I47:I52)</f>
        <v>67496.934999999998</v>
      </c>
      <c r="J54" s="89">
        <v>71546.751099999994</v>
      </c>
      <c r="K54" s="90">
        <f>SUM(K47:K53)</f>
        <v>131606.29999999999</v>
      </c>
      <c r="L54" s="90"/>
      <c r="M54" s="90"/>
      <c r="N54" s="90">
        <f t="shared" ref="N54" si="36">SUM(N47:N52)</f>
        <v>0</v>
      </c>
      <c r="O54" s="90">
        <f>SUM(O47:O53)</f>
        <v>36301.870000000003</v>
      </c>
      <c r="P54" s="90">
        <f t="shared" ref="P54:AG54" si="37">SUM(P47:P53)</f>
        <v>152371.47</v>
      </c>
      <c r="Q54" s="90">
        <f t="shared" si="37"/>
        <v>201131.86900000001</v>
      </c>
      <c r="R54" s="90">
        <f t="shared" si="37"/>
        <v>521411.50900000008</v>
      </c>
      <c r="S54" s="90">
        <f t="shared" si="37"/>
        <v>32901.589999999997</v>
      </c>
      <c r="T54" s="90">
        <f t="shared" si="37"/>
        <v>10.68</v>
      </c>
      <c r="U54" s="90">
        <f t="shared" si="37"/>
        <v>554313.09899999993</v>
      </c>
      <c r="V54" s="90">
        <f t="shared" si="37"/>
        <v>453628.01282999991</v>
      </c>
      <c r="W54" s="90">
        <f t="shared" si="37"/>
        <v>482252.39612999989</v>
      </c>
      <c r="X54" s="90">
        <f t="shared" si="37"/>
        <v>18</v>
      </c>
      <c r="Y54" s="90">
        <f t="shared" si="37"/>
        <v>18</v>
      </c>
      <c r="Z54" s="90">
        <f t="shared" si="37"/>
        <v>0</v>
      </c>
      <c r="AA54" s="90">
        <f t="shared" si="37"/>
        <v>0</v>
      </c>
      <c r="AB54" s="90">
        <f t="shared" si="37"/>
        <v>331218.42000000004</v>
      </c>
      <c r="AC54" s="90">
        <f t="shared" si="37"/>
        <v>0</v>
      </c>
      <c r="AD54" s="90">
        <f t="shared" si="37"/>
        <v>1.6</v>
      </c>
      <c r="AE54" s="90">
        <f t="shared" si="37"/>
        <v>28936.874</v>
      </c>
      <c r="AF54" s="90">
        <f t="shared" si="37"/>
        <v>2.2000000000000002</v>
      </c>
      <c r="AG54" s="90">
        <f t="shared" si="37"/>
        <v>39977.487999999998</v>
      </c>
    </row>
    <row r="55" spans="1:33" ht="26.25" customHeight="1" x14ac:dyDescent="0.2">
      <c r="A55" s="86"/>
      <c r="B55" s="87"/>
      <c r="C55" s="70" t="s">
        <v>73</v>
      </c>
      <c r="D55" s="88">
        <f>D26+D27+D45+D54</f>
        <v>24</v>
      </c>
      <c r="E55" s="89"/>
      <c r="F55" s="89"/>
      <c r="G55" s="89">
        <f>G26+G27+G45+G54</f>
        <v>133506</v>
      </c>
      <c r="H55" s="89">
        <f>H26+H27+H45+H54</f>
        <v>164999.82</v>
      </c>
      <c r="I55" s="89">
        <f>I26+I27+I45+I54</f>
        <v>181499.80200000003</v>
      </c>
      <c r="J55" s="89">
        <v>194116.12308000002</v>
      </c>
      <c r="K55" s="90">
        <f>K26+K27+K45+K54</f>
        <v>458144.16</v>
      </c>
      <c r="L55" s="90"/>
      <c r="M55" s="90"/>
      <c r="N55" s="90">
        <f t="shared" ref="N55" si="38">N26+N27+N45+N54</f>
        <v>0</v>
      </c>
      <c r="O55" s="90">
        <f>O26+O27+O45+O54</f>
        <v>119423.10999999999</v>
      </c>
      <c r="P55" s="90">
        <f t="shared" ref="P55:W55" si="39">P26+P27+P45+P54</f>
        <v>488873.43999999994</v>
      </c>
      <c r="Q55" s="90">
        <f t="shared" si="39"/>
        <v>645796.02659999998</v>
      </c>
      <c r="R55" s="90">
        <f t="shared" si="39"/>
        <v>1676444.2166000002</v>
      </c>
      <c r="S55" s="90">
        <f t="shared" si="39"/>
        <v>105587.97</v>
      </c>
      <c r="T55" s="90">
        <f t="shared" si="39"/>
        <v>33.58</v>
      </c>
      <c r="U55" s="90">
        <f t="shared" si="39"/>
        <v>1782032.1865999997</v>
      </c>
      <c r="V55" s="90">
        <f t="shared" si="39"/>
        <v>1458506.4684419998</v>
      </c>
      <c r="W55" s="90">
        <f t="shared" si="39"/>
        <v>1550368.0023419997</v>
      </c>
      <c r="X55" s="80"/>
      <c r="Y55" s="90"/>
      <c r="Z55" s="80"/>
      <c r="AA55" s="80">
        <f t="shared" si="2"/>
        <v>0</v>
      </c>
      <c r="AB55" s="80">
        <f t="shared" si="3"/>
        <v>0</v>
      </c>
      <c r="AC55" s="91"/>
      <c r="AD55">
        <v>0.1</v>
      </c>
      <c r="AE55" s="89">
        <f>K55*AD55</f>
        <v>45814.415999999997</v>
      </c>
      <c r="AF55">
        <v>0.2</v>
      </c>
      <c r="AG55" s="89">
        <f>AF55*K55</f>
        <v>91628.831999999995</v>
      </c>
    </row>
    <row r="56" spans="1:33" ht="26.25" customHeight="1" x14ac:dyDescent="0.2">
      <c r="A56" s="59" t="s">
        <v>74</v>
      </c>
      <c r="B56" s="93"/>
      <c r="C56" s="93"/>
      <c r="D56" s="94"/>
      <c r="E56" s="95"/>
      <c r="F56" s="95"/>
      <c r="G56" s="95"/>
      <c r="H56" s="95"/>
      <c r="I56" s="95"/>
      <c r="J56" s="95"/>
      <c r="K56" s="90"/>
      <c r="L56" s="90"/>
      <c r="M56" s="87"/>
      <c r="N56" s="97"/>
      <c r="O56" s="98"/>
      <c r="P56" s="99" t="s">
        <v>40</v>
      </c>
      <c r="Q56" s="66">
        <v>1.42</v>
      </c>
      <c r="R56" s="79"/>
      <c r="S56" s="98"/>
      <c r="T56" s="99"/>
      <c r="U56" s="98"/>
      <c r="V56" s="100"/>
      <c r="W56" s="98"/>
      <c r="X56" s="80"/>
      <c r="Y56" s="98"/>
      <c r="Z56" s="80"/>
      <c r="AA56" s="80">
        <f t="shared" si="2"/>
        <v>0</v>
      </c>
      <c r="AB56" s="80">
        <f t="shared" si="3"/>
        <v>0</v>
      </c>
      <c r="AC56" s="101"/>
      <c r="AD56">
        <v>0.1</v>
      </c>
      <c r="AE56" s="98"/>
      <c r="AG56" s="98"/>
    </row>
    <row r="57" spans="1:33" x14ac:dyDescent="0.2">
      <c r="A57" s="102"/>
      <c r="B57" s="87"/>
      <c r="C57" s="87" t="s">
        <v>58</v>
      </c>
      <c r="D57" s="72">
        <v>1</v>
      </c>
      <c r="E57" s="73">
        <v>8500</v>
      </c>
      <c r="F57" s="74">
        <f>ROUND(E57*F$12,2)</f>
        <v>9350</v>
      </c>
      <c r="G57" s="74">
        <f>F57*1.1*1.1+0.5</f>
        <v>11314.000000000002</v>
      </c>
      <c r="H57" s="74">
        <v>13983.03</v>
      </c>
      <c r="I57" s="74">
        <f>H57*$I$12</f>
        <v>15381.333000000002</v>
      </c>
      <c r="J57" s="74">
        <v>16304.212980000004</v>
      </c>
      <c r="K57" s="74">
        <f>ROUND('26.08.22'!K53*1.04,2)</f>
        <v>23402.77</v>
      </c>
      <c r="L57" s="75" t="s">
        <v>76</v>
      </c>
      <c r="M57" s="83">
        <v>30</v>
      </c>
      <c r="N57" s="76"/>
      <c r="O57" s="78">
        <f>ROUND((K57*M57/100),2)</f>
        <v>7020.83</v>
      </c>
      <c r="P57" s="78">
        <f>ROUND(K57*1.24,2)</f>
        <v>29019.43</v>
      </c>
      <c r="Q57" s="78">
        <f>K57*T57</f>
        <v>36040.265800000001</v>
      </c>
      <c r="R57" s="79">
        <f>K57+O57+P57+Q57</f>
        <v>95483.295799999993</v>
      </c>
      <c r="S57" s="78">
        <f>ROUND(K57*S$12,2)</f>
        <v>5850.69</v>
      </c>
      <c r="T57" s="78">
        <v>1.54</v>
      </c>
      <c r="U57" s="78">
        <f>K57+O57+P57+Q57+S57</f>
        <v>101333.98579999999</v>
      </c>
      <c r="V57" s="79">
        <f t="shared" si="15"/>
        <v>83070.46734599999</v>
      </c>
      <c r="W57" s="78">
        <f t="shared" si="0"/>
        <v>88160.567645999996</v>
      </c>
      <c r="X57" s="80">
        <v>3</v>
      </c>
      <c r="Y57" s="78">
        <v>3</v>
      </c>
      <c r="Z57" s="80">
        <f t="shared" si="1"/>
        <v>0</v>
      </c>
      <c r="AA57" s="80">
        <f t="shared" si="2"/>
        <v>0</v>
      </c>
      <c r="AB57" s="80">
        <f t="shared" si="3"/>
        <v>70208.31</v>
      </c>
      <c r="AC57" s="80"/>
      <c r="AD57">
        <v>0.1</v>
      </c>
      <c r="AE57" s="78">
        <f t="shared" si="4"/>
        <v>2340.277</v>
      </c>
      <c r="AF57">
        <v>0.2</v>
      </c>
      <c r="AG57" s="78">
        <f t="shared" si="5"/>
        <v>4680.5540000000001</v>
      </c>
    </row>
    <row r="58" spans="1:33" ht="12.75" customHeight="1" x14ac:dyDescent="0.2">
      <c r="A58" s="102"/>
      <c r="B58" s="107"/>
      <c r="C58" s="107" t="s">
        <v>75</v>
      </c>
      <c r="D58" s="109">
        <v>1</v>
      </c>
      <c r="E58" s="73">
        <v>6500</v>
      </c>
      <c r="F58" s="74">
        <f>ROUND(E58*F$12,2)</f>
        <v>7150</v>
      </c>
      <c r="G58" s="74">
        <f>F58*1.1*1.1+0.5</f>
        <v>8652.0000000000018</v>
      </c>
      <c r="H58" s="74">
        <v>10692.91</v>
      </c>
      <c r="I58" s="74">
        <f>H58*$I$12</f>
        <v>11762.201000000001</v>
      </c>
      <c r="J58" s="74">
        <v>12467.933060000001</v>
      </c>
      <c r="K58" s="74">
        <f>ROUND('26.08.22'!K54*1.04,2)</f>
        <v>17896.259999999998</v>
      </c>
      <c r="L58" s="75" t="s">
        <v>213</v>
      </c>
      <c r="M58" s="76">
        <v>30</v>
      </c>
      <c r="N58" s="76"/>
      <c r="O58" s="78">
        <f>ROUND((K58*M58/100),2)</f>
        <v>5368.88</v>
      </c>
      <c r="P58" s="78">
        <f>ROUND(K58*1.14,2)</f>
        <v>20401.740000000002</v>
      </c>
      <c r="Q58" s="78">
        <f>K58*T58</f>
        <v>27560.240399999999</v>
      </c>
      <c r="R58" s="79">
        <f>K58+O58+P58+Q58</f>
        <v>71227.1204</v>
      </c>
      <c r="S58" s="78">
        <f>ROUND(K58*S$12,2)</f>
        <v>4474.07</v>
      </c>
      <c r="T58" s="78">
        <v>1.54</v>
      </c>
      <c r="U58" s="78">
        <f>K58+O58+P58+Q58+S58</f>
        <v>75701.190399999992</v>
      </c>
      <c r="V58" s="79">
        <f t="shared" si="15"/>
        <v>61967.594747999996</v>
      </c>
      <c r="W58" s="78">
        <f t="shared" si="0"/>
        <v>65860.03564799999</v>
      </c>
      <c r="X58" s="80">
        <v>3</v>
      </c>
      <c r="Y58" s="78">
        <v>3</v>
      </c>
      <c r="Z58" s="80">
        <f t="shared" si="1"/>
        <v>0</v>
      </c>
      <c r="AA58" s="80">
        <f t="shared" si="2"/>
        <v>0</v>
      </c>
      <c r="AB58" s="80">
        <f t="shared" si="3"/>
        <v>53688.78</v>
      </c>
      <c r="AC58" s="80"/>
      <c r="AD58">
        <v>0.1</v>
      </c>
      <c r="AE58" s="78">
        <f t="shared" si="4"/>
        <v>1789.626</v>
      </c>
      <c r="AF58">
        <v>0.2</v>
      </c>
      <c r="AG58" s="78">
        <f t="shared" si="5"/>
        <v>3579.252</v>
      </c>
    </row>
    <row r="59" spans="1:33" ht="19.5" customHeight="1" x14ac:dyDescent="0.2">
      <c r="A59" s="102"/>
      <c r="B59" s="87"/>
      <c r="C59" s="87" t="s">
        <v>51</v>
      </c>
      <c r="D59" s="88">
        <f t="shared" ref="D59:I59" si="40">SUM(D57:D58)</f>
        <v>2</v>
      </c>
      <c r="E59" s="95">
        <f t="shared" si="40"/>
        <v>15000</v>
      </c>
      <c r="F59" s="95">
        <f t="shared" si="40"/>
        <v>16500</v>
      </c>
      <c r="G59" s="95">
        <f t="shared" si="40"/>
        <v>19966.000000000004</v>
      </c>
      <c r="H59" s="95">
        <f t="shared" si="40"/>
        <v>24675.940000000002</v>
      </c>
      <c r="I59" s="95">
        <f t="shared" si="40"/>
        <v>27143.534000000003</v>
      </c>
      <c r="J59" s="95">
        <v>28772.146040000003</v>
      </c>
      <c r="K59" s="90">
        <f>SUM(K57:K58)</f>
        <v>41299.03</v>
      </c>
      <c r="L59" s="90"/>
      <c r="M59" s="90"/>
      <c r="N59" s="90">
        <f t="shared" ref="N59" si="41">SUM(N57:N58)</f>
        <v>0</v>
      </c>
      <c r="O59" s="90">
        <f>SUM(O57:O58)</f>
        <v>12389.71</v>
      </c>
      <c r="P59" s="90">
        <f t="shared" ref="P59:W59" si="42">SUM(P57:P58)</f>
        <v>49421.17</v>
      </c>
      <c r="Q59" s="90">
        <f t="shared" si="42"/>
        <v>63600.506200000003</v>
      </c>
      <c r="R59" s="90">
        <f t="shared" si="42"/>
        <v>166710.41619999998</v>
      </c>
      <c r="S59" s="90">
        <f t="shared" si="42"/>
        <v>10324.759999999998</v>
      </c>
      <c r="T59" s="90">
        <f t="shared" si="42"/>
        <v>3.08</v>
      </c>
      <c r="U59" s="90">
        <f t="shared" si="42"/>
        <v>177035.17619999999</v>
      </c>
      <c r="V59" s="90">
        <f t="shared" si="42"/>
        <v>145038.06209399999</v>
      </c>
      <c r="W59" s="90">
        <f t="shared" si="42"/>
        <v>154020.60329399997</v>
      </c>
      <c r="X59" s="80"/>
      <c r="Y59" s="90"/>
      <c r="Z59" s="80"/>
      <c r="AA59" s="80">
        <f t="shared" si="2"/>
        <v>0</v>
      </c>
      <c r="AB59" s="80">
        <f t="shared" si="3"/>
        <v>0</v>
      </c>
      <c r="AC59" s="91"/>
      <c r="AD59">
        <v>0.1</v>
      </c>
      <c r="AE59" s="95">
        <f t="shared" si="4"/>
        <v>4129.9030000000002</v>
      </c>
      <c r="AF59">
        <v>0.2</v>
      </c>
      <c r="AG59" s="95">
        <f t="shared" si="5"/>
        <v>8259.8060000000005</v>
      </c>
    </row>
    <row r="60" spans="1:33" ht="44.25" customHeight="1" x14ac:dyDescent="0.2">
      <c r="A60" s="59" t="s">
        <v>77</v>
      </c>
      <c r="B60" s="129"/>
      <c r="C60" s="129"/>
      <c r="D60" s="94"/>
      <c r="E60" s="95"/>
      <c r="F60" s="95"/>
      <c r="G60" s="95"/>
      <c r="H60" s="95"/>
      <c r="I60" s="95"/>
      <c r="J60" s="95"/>
      <c r="K60" s="90"/>
      <c r="L60" s="96"/>
      <c r="M60" s="97"/>
      <c r="N60" s="97"/>
      <c r="O60" s="98"/>
      <c r="P60" s="130">
        <v>1.19</v>
      </c>
      <c r="Q60" s="66" t="s">
        <v>57</v>
      </c>
      <c r="R60" s="79"/>
      <c r="S60" s="98"/>
      <c r="T60" s="130"/>
      <c r="U60" s="98"/>
      <c r="V60" s="100"/>
      <c r="W60" s="98"/>
      <c r="X60" s="80"/>
      <c r="Y60" s="98"/>
      <c r="Z60" s="80"/>
      <c r="AA60" s="80">
        <f t="shared" si="2"/>
        <v>0</v>
      </c>
      <c r="AB60" s="80">
        <f t="shared" si="3"/>
        <v>0</v>
      </c>
      <c r="AC60" s="101"/>
      <c r="AD60">
        <v>0.1</v>
      </c>
      <c r="AE60" s="98"/>
      <c r="AG60" s="98"/>
    </row>
    <row r="61" spans="1:33" ht="25.5" x14ac:dyDescent="0.2">
      <c r="A61" s="102"/>
      <c r="B61" s="87"/>
      <c r="C61" s="70" t="s">
        <v>193</v>
      </c>
      <c r="D61" s="72">
        <v>1</v>
      </c>
      <c r="E61" s="73">
        <v>9600</v>
      </c>
      <c r="F61" s="74">
        <f>ROUND(E61*F$12,2)</f>
        <v>10560</v>
      </c>
      <c r="G61" s="74">
        <f>F61*1.1*1.1+0.4</f>
        <v>12778.000000000002</v>
      </c>
      <c r="H61" s="74">
        <v>15792.6</v>
      </c>
      <c r="I61" s="74">
        <f>H61*$I$12</f>
        <v>17371.86</v>
      </c>
      <c r="J61" s="74">
        <v>18414.171600000001</v>
      </c>
      <c r="K61" s="74">
        <f>ROUND('26.08.22'!K57*1.04,2)</f>
        <v>30285.94</v>
      </c>
      <c r="L61" s="75" t="s">
        <v>78</v>
      </c>
      <c r="M61" s="76">
        <v>30</v>
      </c>
      <c r="N61" s="76"/>
      <c r="O61" s="78">
        <f>ROUND((K61*M61/100),2)</f>
        <v>9085.7800000000007</v>
      </c>
      <c r="P61" s="78">
        <f>ROUND(K61*1.19,2)</f>
        <v>36040.269999999997</v>
      </c>
      <c r="Q61" s="78">
        <f>K61*T61</f>
        <v>46640.347600000001</v>
      </c>
      <c r="R61" s="79">
        <f>K61+O61+P61+Q61</f>
        <v>122052.3376</v>
      </c>
      <c r="S61" s="78">
        <f>ROUND(K61*S$12,2)</f>
        <v>7571.49</v>
      </c>
      <c r="T61" s="78">
        <v>1.54</v>
      </c>
      <c r="U61" s="78">
        <f>K61+O61+P61+Q61+S61</f>
        <v>129623.8276</v>
      </c>
      <c r="V61" s="79">
        <f t="shared" si="15"/>
        <v>106185.533712</v>
      </c>
      <c r="W61" s="78">
        <f t="shared" si="0"/>
        <v>112772.730012</v>
      </c>
      <c r="X61" s="80">
        <v>3</v>
      </c>
      <c r="Y61" s="78"/>
      <c r="Z61" s="80">
        <f t="shared" si="1"/>
        <v>3</v>
      </c>
      <c r="AA61" s="80">
        <f t="shared" si="2"/>
        <v>90857.819999999992</v>
      </c>
      <c r="AB61" s="80">
        <f t="shared" si="3"/>
        <v>0</v>
      </c>
      <c r="AC61" s="80"/>
      <c r="AD61">
        <v>0.1</v>
      </c>
      <c r="AE61" s="78">
        <f t="shared" si="4"/>
        <v>3028.5940000000001</v>
      </c>
      <c r="AF61">
        <v>0.2</v>
      </c>
      <c r="AG61" s="78">
        <f t="shared" si="5"/>
        <v>6057.1880000000001</v>
      </c>
    </row>
    <row r="62" spans="1:33" ht="32.25" customHeight="1" x14ac:dyDescent="0.2">
      <c r="A62" s="102"/>
      <c r="B62" s="82"/>
      <c r="C62" s="82" t="s">
        <v>79</v>
      </c>
      <c r="D62" s="72">
        <v>1</v>
      </c>
      <c r="E62" s="73">
        <v>8700</v>
      </c>
      <c r="F62" s="74">
        <f>ROUND(E62*F$12,2)</f>
        <v>9570</v>
      </c>
      <c r="G62" s="74">
        <f>F62*1.1*1.1+0.3</f>
        <v>11580</v>
      </c>
      <c r="H62" s="74">
        <v>14312.05</v>
      </c>
      <c r="I62" s="74">
        <f>H62*$I$12</f>
        <v>15743.255000000001</v>
      </c>
      <c r="J62" s="74">
        <v>16687.850300000002</v>
      </c>
      <c r="K62" s="74">
        <f>ROUND('26.08.22'!K58*1.04,2)</f>
        <v>23953.47</v>
      </c>
      <c r="L62" s="75" t="s">
        <v>202</v>
      </c>
      <c r="M62" s="83">
        <v>15</v>
      </c>
      <c r="N62" s="76"/>
      <c r="O62" s="78">
        <f>ROUND((K62*M62/100),2)</f>
        <v>3593.02</v>
      </c>
      <c r="P62" s="78">
        <f>ROUND(K62*1.19,2)</f>
        <v>28504.63</v>
      </c>
      <c r="Q62" s="78">
        <f>K62*T62</f>
        <v>36888.343800000002</v>
      </c>
      <c r="R62" s="79">
        <f>K62+O62+P62+Q62</f>
        <v>92939.463799999998</v>
      </c>
      <c r="S62" s="78">
        <f>ROUND(K62*S$12,2)</f>
        <v>5988.37</v>
      </c>
      <c r="T62" s="78">
        <v>1.54</v>
      </c>
      <c r="U62" s="78">
        <f>K62+O62+P62+Q62+S62</f>
        <v>98927.833799999993</v>
      </c>
      <c r="V62" s="79">
        <f t="shared" si="15"/>
        <v>80857.333505999995</v>
      </c>
      <c r="W62" s="78">
        <f t="shared" si="0"/>
        <v>86067.215405999988</v>
      </c>
      <c r="X62" s="80">
        <v>3</v>
      </c>
      <c r="Y62" s="78">
        <v>0</v>
      </c>
      <c r="Z62" s="80">
        <f t="shared" si="1"/>
        <v>3</v>
      </c>
      <c r="AA62" s="80">
        <f t="shared" si="2"/>
        <v>71860.41</v>
      </c>
      <c r="AB62" s="80">
        <f t="shared" si="3"/>
        <v>0</v>
      </c>
      <c r="AC62" s="80"/>
      <c r="AD62">
        <v>0.1</v>
      </c>
      <c r="AE62" s="78">
        <f t="shared" si="4"/>
        <v>2395.3470000000002</v>
      </c>
      <c r="AF62">
        <v>0.2</v>
      </c>
      <c r="AG62" s="78">
        <f t="shared" si="5"/>
        <v>4790.6940000000004</v>
      </c>
    </row>
    <row r="63" spans="1:33" ht="40.5" customHeight="1" x14ac:dyDescent="0.2">
      <c r="A63" s="131" t="s">
        <v>80</v>
      </c>
      <c r="B63" s="131"/>
      <c r="C63" s="131"/>
      <c r="D63" s="132"/>
      <c r="E63" s="95"/>
      <c r="F63" s="95"/>
      <c r="G63" s="95"/>
      <c r="H63" s="95"/>
      <c r="I63" s="95"/>
      <c r="J63" s="95"/>
      <c r="K63" s="90"/>
      <c r="L63" s="90"/>
      <c r="M63" s="113"/>
      <c r="N63" s="113"/>
      <c r="O63" s="90"/>
      <c r="P63" s="99" t="s">
        <v>40</v>
      </c>
      <c r="Q63" s="90"/>
      <c r="R63" s="79"/>
      <c r="S63" s="90"/>
      <c r="T63" s="99"/>
      <c r="U63" s="90"/>
      <c r="V63" s="79"/>
      <c r="W63" s="90"/>
      <c r="X63" s="80"/>
      <c r="Y63" s="90"/>
      <c r="Z63" s="80"/>
      <c r="AA63" s="80">
        <f t="shared" si="2"/>
        <v>0</v>
      </c>
      <c r="AB63" s="80">
        <f t="shared" si="3"/>
        <v>0</v>
      </c>
      <c r="AC63" s="91"/>
      <c r="AD63">
        <v>0.1</v>
      </c>
      <c r="AE63" s="90"/>
      <c r="AG63" s="90"/>
    </row>
    <row r="64" spans="1:33" x14ac:dyDescent="0.2">
      <c r="A64" s="102"/>
      <c r="B64" s="87"/>
      <c r="C64" s="87" t="s">
        <v>58</v>
      </c>
      <c r="D64" s="72">
        <v>1</v>
      </c>
      <c r="E64" s="73">
        <v>8500</v>
      </c>
      <c r="F64" s="74">
        <v>8250</v>
      </c>
      <c r="G64" s="74">
        <f>F64*1.1*1.1+0.5</f>
        <v>9983</v>
      </c>
      <c r="H64" s="74">
        <v>12337.98</v>
      </c>
      <c r="I64" s="74">
        <f t="shared" ref="I64:I69" si="43">H64*$I$12</f>
        <v>13571.778</v>
      </c>
      <c r="J64" s="74">
        <v>14386.084680000002</v>
      </c>
      <c r="K64" s="74">
        <f>ROUND('26.08.22'!K60*1.04,2)</f>
        <v>23402.77</v>
      </c>
      <c r="L64" s="75" t="s">
        <v>81</v>
      </c>
      <c r="M64" s="83">
        <v>30</v>
      </c>
      <c r="N64" s="76"/>
      <c r="O64" s="78">
        <f>ROUND((K64*M64/100),2)</f>
        <v>7020.83</v>
      </c>
      <c r="P64" s="78">
        <f>ROUND(K64*1.24,2)</f>
        <v>29019.43</v>
      </c>
      <c r="Q64" s="78">
        <f>K64*T64</f>
        <v>36040.265800000001</v>
      </c>
      <c r="R64" s="79">
        <f>K64+O64+P64+Q64</f>
        <v>95483.295799999993</v>
      </c>
      <c r="S64" s="78">
        <f>ROUND(K64*S$12,2)</f>
        <v>5850.69</v>
      </c>
      <c r="T64" s="78">
        <v>1.54</v>
      </c>
      <c r="U64" s="78">
        <f>K64+O64+P64+Q64+S64</f>
        <v>101333.98579999999</v>
      </c>
      <c r="V64" s="79">
        <f t="shared" si="15"/>
        <v>83070.46734599999</v>
      </c>
      <c r="W64" s="78">
        <f t="shared" si="0"/>
        <v>88160.567645999996</v>
      </c>
      <c r="X64" s="80">
        <v>3</v>
      </c>
      <c r="Y64" s="78">
        <v>2</v>
      </c>
      <c r="Z64" s="80">
        <f t="shared" si="1"/>
        <v>1</v>
      </c>
      <c r="AA64" s="80">
        <f t="shared" si="2"/>
        <v>23402.77</v>
      </c>
      <c r="AB64" s="80">
        <f t="shared" si="3"/>
        <v>46805.54</v>
      </c>
      <c r="AC64" s="80"/>
      <c r="AD64">
        <v>0.1</v>
      </c>
      <c r="AE64" s="78">
        <f t="shared" si="4"/>
        <v>2340.277</v>
      </c>
      <c r="AF64">
        <v>0.2</v>
      </c>
      <c r="AG64" s="78">
        <f t="shared" si="5"/>
        <v>4680.5540000000001</v>
      </c>
    </row>
    <row r="65" spans="1:33" ht="15" customHeight="1" x14ac:dyDescent="0.2">
      <c r="A65" s="102"/>
      <c r="B65" s="87"/>
      <c r="C65" s="122" t="s">
        <v>60</v>
      </c>
      <c r="D65" s="72">
        <v>1</v>
      </c>
      <c r="E65" s="73"/>
      <c r="F65" s="74"/>
      <c r="G65" s="74"/>
      <c r="H65" s="74">
        <v>10692.91</v>
      </c>
      <c r="I65" s="74">
        <f>H65*$I$12</f>
        <v>11762.201000000001</v>
      </c>
      <c r="J65" s="74">
        <v>12467.933060000001</v>
      </c>
      <c r="K65" s="74">
        <f>ROUND('26.08.22'!K61*1.04,2)</f>
        <v>21200.16</v>
      </c>
      <c r="L65" s="75" t="s">
        <v>203</v>
      </c>
      <c r="M65" s="83">
        <v>20</v>
      </c>
      <c r="N65" s="76"/>
      <c r="O65" s="78">
        <f>ROUND((K65*M65/100),2)</f>
        <v>4240.03</v>
      </c>
      <c r="P65" s="78">
        <f>ROUND(K65*1.14,2)</f>
        <v>24168.18</v>
      </c>
      <c r="Q65" s="78">
        <f>K65*T65</f>
        <v>32648.2464</v>
      </c>
      <c r="R65" s="79">
        <f>K65+O65+P65+Q65</f>
        <v>82256.616399999999</v>
      </c>
      <c r="S65" s="78">
        <f>ROUND(K65*S$12,2)</f>
        <v>5300.04</v>
      </c>
      <c r="T65" s="78">
        <v>1.54</v>
      </c>
      <c r="U65" s="78">
        <f>K65+O65+P65+Q65+S65</f>
        <v>87556.656399999993</v>
      </c>
      <c r="V65" s="79">
        <f>R65*0.87</f>
        <v>71563.256267999997</v>
      </c>
      <c r="W65" s="78">
        <f>U65*0.87</f>
        <v>76174.291067999991</v>
      </c>
      <c r="X65" s="80">
        <v>3</v>
      </c>
      <c r="Y65" s="78">
        <v>3</v>
      </c>
      <c r="Z65" s="80">
        <f t="shared" si="1"/>
        <v>0</v>
      </c>
      <c r="AA65" s="80">
        <f t="shared" si="2"/>
        <v>0</v>
      </c>
      <c r="AB65" s="80">
        <f t="shared" si="3"/>
        <v>63600.479999999996</v>
      </c>
      <c r="AC65" s="80"/>
      <c r="AD65">
        <v>0.1</v>
      </c>
      <c r="AE65" s="78">
        <f>K65*AD65</f>
        <v>2120.0160000000001</v>
      </c>
      <c r="AF65">
        <v>0.2</v>
      </c>
      <c r="AG65" s="78">
        <f>AF65*K65</f>
        <v>4240.0320000000002</v>
      </c>
    </row>
    <row r="66" spans="1:33" ht="15" customHeight="1" x14ac:dyDescent="0.2">
      <c r="A66" s="102"/>
      <c r="B66" s="87"/>
      <c r="C66" s="122" t="s">
        <v>82</v>
      </c>
      <c r="D66" s="72">
        <v>1</v>
      </c>
      <c r="E66" s="73">
        <v>6500</v>
      </c>
      <c r="F66" s="74">
        <f>ROUND(E66*F$12,2)</f>
        <v>7150</v>
      </c>
      <c r="G66" s="74">
        <f>F66*1.1*1.1+0.5</f>
        <v>8652.0000000000018</v>
      </c>
      <c r="H66" s="74">
        <v>10692.91</v>
      </c>
      <c r="I66" s="74">
        <f t="shared" si="43"/>
        <v>11762.201000000001</v>
      </c>
      <c r="J66" s="74">
        <v>12467.933060000001</v>
      </c>
      <c r="K66" s="74">
        <f>ROUND('26.08.22'!K62*1.04,2)</f>
        <v>17896.259999999998</v>
      </c>
      <c r="L66" s="75" t="s">
        <v>181</v>
      </c>
      <c r="M66" s="76">
        <v>15</v>
      </c>
      <c r="N66" s="76"/>
      <c r="O66" s="78">
        <f t="shared" ref="O66:O80" si="44">ROUND((K66*M66/100),2)</f>
        <v>2684.44</v>
      </c>
      <c r="P66" s="78">
        <f>ROUND(K66*1.14,2)</f>
        <v>20401.740000000002</v>
      </c>
      <c r="Q66" s="78">
        <f t="shared" ref="Q66:Q78" si="45">K66*T66</f>
        <v>27560.240399999999</v>
      </c>
      <c r="R66" s="79">
        <f t="shared" ref="R66:R80" si="46">K66+O66+P66+Q66</f>
        <v>68542.680399999997</v>
      </c>
      <c r="S66" s="78">
        <f t="shared" ref="S66:S80" si="47">ROUND(K66*S$12,2)</f>
        <v>4474.07</v>
      </c>
      <c r="T66" s="78">
        <v>1.54</v>
      </c>
      <c r="U66" s="78">
        <f t="shared" ref="U66:U80" si="48">K66+O66+P66+Q66+S66</f>
        <v>73016.75039999999</v>
      </c>
      <c r="V66" s="79">
        <f t="shared" si="15"/>
        <v>59632.131947999995</v>
      </c>
      <c r="W66" s="78">
        <f t="shared" si="0"/>
        <v>63524.572847999989</v>
      </c>
      <c r="X66" s="80">
        <v>3</v>
      </c>
      <c r="Y66" s="78"/>
      <c r="Z66" s="80">
        <f t="shared" si="1"/>
        <v>3</v>
      </c>
      <c r="AA66" s="80">
        <f t="shared" si="2"/>
        <v>53688.78</v>
      </c>
      <c r="AB66" s="80">
        <f t="shared" si="3"/>
        <v>0</v>
      </c>
      <c r="AC66" s="80"/>
      <c r="AD66">
        <v>0.1</v>
      </c>
      <c r="AE66" s="78">
        <f t="shared" si="4"/>
        <v>1789.626</v>
      </c>
      <c r="AF66">
        <v>0.2</v>
      </c>
      <c r="AG66" s="78">
        <f t="shared" si="5"/>
        <v>3579.252</v>
      </c>
    </row>
    <row r="67" spans="1:33" ht="15" customHeight="1" x14ac:dyDescent="0.2">
      <c r="A67" s="102"/>
      <c r="B67" s="87"/>
      <c r="C67" s="122" t="s">
        <v>82</v>
      </c>
      <c r="D67" s="72">
        <v>1</v>
      </c>
      <c r="E67" s="73">
        <v>6500</v>
      </c>
      <c r="F67" s="74">
        <f>ROUND(E67*F$12,2)</f>
        <v>7150</v>
      </c>
      <c r="G67" s="74">
        <f>F67*1.1*1.1+0.5</f>
        <v>8652.0000000000018</v>
      </c>
      <c r="H67" s="74">
        <v>10692.91</v>
      </c>
      <c r="I67" s="74">
        <f t="shared" si="43"/>
        <v>11762.201000000001</v>
      </c>
      <c r="J67" s="74">
        <v>12467.933060000001</v>
      </c>
      <c r="K67" s="74">
        <f>ROUND('26.08.22'!K63*1.04,2)</f>
        <v>17896.259999999998</v>
      </c>
      <c r="L67" s="75" t="s">
        <v>83</v>
      </c>
      <c r="M67" s="83">
        <v>30</v>
      </c>
      <c r="N67" s="76"/>
      <c r="O67" s="78">
        <f t="shared" si="44"/>
        <v>5368.88</v>
      </c>
      <c r="P67" s="78">
        <f t="shared" ref="P67:P75" si="49">ROUND(K67*1.14,2)</f>
        <v>20401.740000000002</v>
      </c>
      <c r="Q67" s="78">
        <f t="shared" si="45"/>
        <v>27560.240399999999</v>
      </c>
      <c r="R67" s="79">
        <f t="shared" si="46"/>
        <v>71227.1204</v>
      </c>
      <c r="S67" s="78">
        <f t="shared" si="47"/>
        <v>4474.07</v>
      </c>
      <c r="T67" s="78">
        <v>1.54</v>
      </c>
      <c r="U67" s="78">
        <f t="shared" si="48"/>
        <v>75701.190399999992</v>
      </c>
      <c r="V67" s="79">
        <f t="shared" si="15"/>
        <v>61967.594747999996</v>
      </c>
      <c r="W67" s="78">
        <f t="shared" si="0"/>
        <v>65860.03564799999</v>
      </c>
      <c r="X67" s="80">
        <v>3</v>
      </c>
      <c r="Y67" s="78">
        <v>3</v>
      </c>
      <c r="Z67" s="80">
        <f t="shared" si="1"/>
        <v>0</v>
      </c>
      <c r="AA67" s="80">
        <f t="shared" si="2"/>
        <v>0</v>
      </c>
      <c r="AB67" s="80">
        <f t="shared" si="3"/>
        <v>53688.78</v>
      </c>
      <c r="AC67" s="80"/>
      <c r="AD67">
        <v>0.1</v>
      </c>
      <c r="AE67" s="78">
        <f t="shared" si="4"/>
        <v>1789.626</v>
      </c>
      <c r="AF67">
        <v>0.2</v>
      </c>
      <c r="AG67" s="78">
        <f t="shared" si="5"/>
        <v>3579.252</v>
      </c>
    </row>
    <row r="68" spans="1:33" ht="15" customHeight="1" x14ac:dyDescent="0.2">
      <c r="A68" s="102"/>
      <c r="B68" s="87"/>
      <c r="C68" s="122" t="s">
        <v>45</v>
      </c>
      <c r="D68" s="72">
        <v>1</v>
      </c>
      <c r="E68" s="73">
        <v>6500</v>
      </c>
      <c r="F68" s="74">
        <f>ROUND(E68*F$12,2)</f>
        <v>7150</v>
      </c>
      <c r="G68" s="74">
        <f>F68*1.1*1.1+0.5</f>
        <v>8652.0000000000018</v>
      </c>
      <c r="H68" s="74">
        <v>10692.91</v>
      </c>
      <c r="I68" s="74">
        <f t="shared" si="43"/>
        <v>11762.201000000001</v>
      </c>
      <c r="J68" s="74">
        <v>12467.933060000001</v>
      </c>
      <c r="K68" s="74">
        <f>ROUND('26.08.22'!K64*1.04,2)</f>
        <v>17896.259999999998</v>
      </c>
      <c r="L68" s="75" t="s">
        <v>212</v>
      </c>
      <c r="M68" s="83">
        <v>30</v>
      </c>
      <c r="N68" s="76"/>
      <c r="O68" s="78">
        <f t="shared" si="44"/>
        <v>5368.88</v>
      </c>
      <c r="P68" s="78">
        <f t="shared" si="49"/>
        <v>20401.740000000002</v>
      </c>
      <c r="Q68" s="78">
        <f t="shared" si="45"/>
        <v>27560.240399999999</v>
      </c>
      <c r="R68" s="79">
        <f t="shared" si="46"/>
        <v>71227.1204</v>
      </c>
      <c r="S68" s="78">
        <f t="shared" si="47"/>
        <v>4474.07</v>
      </c>
      <c r="T68" s="78">
        <v>1.54</v>
      </c>
      <c r="U68" s="78">
        <f t="shared" si="48"/>
        <v>75701.190399999992</v>
      </c>
      <c r="V68" s="79">
        <f t="shared" si="15"/>
        <v>61967.594747999996</v>
      </c>
      <c r="W68" s="78">
        <f t="shared" si="0"/>
        <v>65860.03564799999</v>
      </c>
      <c r="X68" s="80">
        <v>3</v>
      </c>
      <c r="Y68" s="78">
        <v>3</v>
      </c>
      <c r="Z68" s="80">
        <f t="shared" si="1"/>
        <v>0</v>
      </c>
      <c r="AA68" s="80">
        <f t="shared" si="2"/>
        <v>0</v>
      </c>
      <c r="AB68" s="80">
        <f t="shared" si="3"/>
        <v>53688.78</v>
      </c>
      <c r="AC68" s="80"/>
      <c r="AD68">
        <v>0.1</v>
      </c>
      <c r="AE68" s="78">
        <f t="shared" si="4"/>
        <v>1789.626</v>
      </c>
      <c r="AF68">
        <v>0.2</v>
      </c>
      <c r="AG68" s="78">
        <f t="shared" si="5"/>
        <v>3579.252</v>
      </c>
    </row>
    <row r="69" spans="1:33" ht="15" customHeight="1" x14ac:dyDescent="0.2">
      <c r="A69" s="102"/>
      <c r="B69" s="87"/>
      <c r="C69" s="122" t="s">
        <v>45</v>
      </c>
      <c r="D69" s="72">
        <v>1</v>
      </c>
      <c r="E69" s="73"/>
      <c r="F69" s="74"/>
      <c r="G69" s="74"/>
      <c r="H69" s="74">
        <v>10692.91</v>
      </c>
      <c r="I69" s="74">
        <f t="shared" si="43"/>
        <v>11762.201000000001</v>
      </c>
      <c r="J69" s="74">
        <v>12467.933060000001</v>
      </c>
      <c r="K69" s="74">
        <f>ROUND('26.08.22'!K65*1.04,2)</f>
        <v>17896.259999999998</v>
      </c>
      <c r="L69" s="105" t="s">
        <v>204</v>
      </c>
      <c r="M69" s="83">
        <v>15</v>
      </c>
      <c r="N69" s="76"/>
      <c r="O69" s="78">
        <f t="shared" si="44"/>
        <v>2684.44</v>
      </c>
      <c r="P69" s="78">
        <f t="shared" si="49"/>
        <v>20401.740000000002</v>
      </c>
      <c r="Q69" s="78">
        <f t="shared" si="45"/>
        <v>27560.240399999999</v>
      </c>
      <c r="R69" s="79">
        <f t="shared" si="46"/>
        <v>68542.680399999997</v>
      </c>
      <c r="S69" s="78">
        <f t="shared" si="47"/>
        <v>4474.07</v>
      </c>
      <c r="T69" s="78">
        <v>1.54</v>
      </c>
      <c r="U69" s="78">
        <f t="shared" si="48"/>
        <v>73016.75039999999</v>
      </c>
      <c r="V69" s="79">
        <f t="shared" si="15"/>
        <v>59632.131947999995</v>
      </c>
      <c r="W69" s="78">
        <f t="shared" si="0"/>
        <v>63524.572847999989</v>
      </c>
      <c r="X69" s="80">
        <v>3</v>
      </c>
      <c r="Y69" s="78">
        <v>0</v>
      </c>
      <c r="Z69" s="80">
        <f t="shared" si="1"/>
        <v>3</v>
      </c>
      <c r="AA69" s="80">
        <f t="shared" si="2"/>
        <v>53688.78</v>
      </c>
      <c r="AB69" s="80">
        <f t="shared" si="3"/>
        <v>0</v>
      </c>
      <c r="AC69" s="80"/>
      <c r="AD69">
        <v>0.1</v>
      </c>
      <c r="AE69" s="78">
        <f t="shared" si="4"/>
        <v>1789.626</v>
      </c>
      <c r="AF69">
        <v>0.2</v>
      </c>
      <c r="AG69" s="78">
        <f t="shared" si="5"/>
        <v>3579.252</v>
      </c>
    </row>
    <row r="70" spans="1:33" ht="15" customHeight="1" x14ac:dyDescent="0.2">
      <c r="A70" s="102"/>
      <c r="B70" s="87"/>
      <c r="C70" s="122" t="s">
        <v>82</v>
      </c>
      <c r="D70" s="72">
        <v>1</v>
      </c>
      <c r="E70" s="73"/>
      <c r="F70" s="74"/>
      <c r="G70" s="74"/>
      <c r="H70" s="74"/>
      <c r="I70" s="74"/>
      <c r="J70" s="74">
        <v>12467.933060000001</v>
      </c>
      <c r="K70" s="74">
        <f>ROUND('26.08.22'!K66*1.04,2)</f>
        <v>17896.259999999998</v>
      </c>
      <c r="L70" s="105" t="s">
        <v>84</v>
      </c>
      <c r="M70" s="83">
        <v>30</v>
      </c>
      <c r="N70" s="76"/>
      <c r="O70" s="78">
        <f t="shared" si="44"/>
        <v>5368.88</v>
      </c>
      <c r="P70" s="78">
        <f t="shared" si="49"/>
        <v>20401.740000000002</v>
      </c>
      <c r="Q70" s="78">
        <f t="shared" si="45"/>
        <v>27560.240399999999</v>
      </c>
      <c r="R70" s="79">
        <f t="shared" si="46"/>
        <v>71227.1204</v>
      </c>
      <c r="S70" s="78">
        <f t="shared" si="47"/>
        <v>4474.07</v>
      </c>
      <c r="T70" s="78">
        <v>1.54</v>
      </c>
      <c r="U70" s="78">
        <f t="shared" si="48"/>
        <v>75701.190399999992</v>
      </c>
      <c r="V70" s="79">
        <f t="shared" si="15"/>
        <v>61967.594747999996</v>
      </c>
      <c r="W70" s="78">
        <f t="shared" si="0"/>
        <v>65860.03564799999</v>
      </c>
      <c r="X70" s="80">
        <v>3</v>
      </c>
      <c r="Y70" s="78">
        <v>3</v>
      </c>
      <c r="Z70" s="80">
        <f t="shared" si="1"/>
        <v>0</v>
      </c>
      <c r="AA70" s="80">
        <f t="shared" si="2"/>
        <v>0</v>
      </c>
      <c r="AB70" s="80">
        <f t="shared" si="3"/>
        <v>53688.78</v>
      </c>
      <c r="AC70" s="80"/>
      <c r="AD70">
        <v>0.1</v>
      </c>
      <c r="AE70" s="78">
        <f t="shared" si="4"/>
        <v>1789.626</v>
      </c>
      <c r="AF70">
        <v>0.2</v>
      </c>
      <c r="AG70" s="78">
        <f t="shared" si="5"/>
        <v>3579.252</v>
      </c>
    </row>
    <row r="71" spans="1:33" ht="15" customHeight="1" x14ac:dyDescent="0.2">
      <c r="A71" s="102"/>
      <c r="B71" s="87"/>
      <c r="C71" s="122" t="s">
        <v>82</v>
      </c>
      <c r="D71" s="72">
        <v>1</v>
      </c>
      <c r="E71" s="73"/>
      <c r="F71" s="74"/>
      <c r="G71" s="74"/>
      <c r="H71" s="74"/>
      <c r="I71" s="74"/>
      <c r="J71" s="74">
        <v>12467.933060000001</v>
      </c>
      <c r="K71" s="74">
        <f>ROUND('26.08.22'!K67*1.04,2)</f>
        <v>17896.259999999998</v>
      </c>
      <c r="L71" s="105" t="s">
        <v>230</v>
      </c>
      <c r="M71" s="83">
        <v>30</v>
      </c>
      <c r="N71" s="76"/>
      <c r="O71" s="78">
        <f t="shared" si="44"/>
        <v>5368.88</v>
      </c>
      <c r="P71" s="78">
        <f t="shared" si="49"/>
        <v>20401.740000000002</v>
      </c>
      <c r="Q71" s="78">
        <f t="shared" si="45"/>
        <v>27560.240399999999</v>
      </c>
      <c r="R71" s="79">
        <f t="shared" si="46"/>
        <v>71227.1204</v>
      </c>
      <c r="S71" s="78">
        <f t="shared" si="47"/>
        <v>4474.07</v>
      </c>
      <c r="T71" s="78">
        <v>1.54</v>
      </c>
      <c r="U71" s="78">
        <f t="shared" si="48"/>
        <v>75701.190399999992</v>
      </c>
      <c r="V71" s="79">
        <f t="shared" si="15"/>
        <v>61967.594747999996</v>
      </c>
      <c r="W71" s="78">
        <f t="shared" si="0"/>
        <v>65860.03564799999</v>
      </c>
      <c r="X71" s="80">
        <v>3</v>
      </c>
      <c r="Y71" s="78">
        <v>3</v>
      </c>
      <c r="Z71" s="80">
        <f t="shared" si="1"/>
        <v>0</v>
      </c>
      <c r="AA71" s="80">
        <f t="shared" si="2"/>
        <v>0</v>
      </c>
      <c r="AB71" s="80">
        <f t="shared" si="3"/>
        <v>53688.78</v>
      </c>
      <c r="AC71" s="80"/>
      <c r="AD71">
        <v>0.1</v>
      </c>
      <c r="AE71" s="78">
        <f t="shared" si="4"/>
        <v>1789.626</v>
      </c>
      <c r="AF71">
        <v>0.2</v>
      </c>
      <c r="AG71" s="78">
        <f t="shared" si="5"/>
        <v>3579.252</v>
      </c>
    </row>
    <row r="72" spans="1:33" ht="15" customHeight="1" x14ac:dyDescent="0.2">
      <c r="A72" s="102"/>
      <c r="B72" s="87"/>
      <c r="C72" s="122" t="s">
        <v>82</v>
      </c>
      <c r="D72" s="72">
        <v>1</v>
      </c>
      <c r="E72" s="73"/>
      <c r="F72" s="74"/>
      <c r="G72" s="74"/>
      <c r="H72" s="74"/>
      <c r="I72" s="74"/>
      <c r="J72" s="74"/>
      <c r="K72" s="74">
        <f>ROUND('26.08.22'!K68*1.04,2)</f>
        <v>17896.259999999998</v>
      </c>
      <c r="L72" s="105" t="s">
        <v>85</v>
      </c>
      <c r="M72" s="83">
        <v>30</v>
      </c>
      <c r="N72" s="76"/>
      <c r="O72" s="78">
        <f t="shared" si="44"/>
        <v>5368.88</v>
      </c>
      <c r="P72" s="78">
        <f t="shared" si="49"/>
        <v>20401.740000000002</v>
      </c>
      <c r="Q72" s="78">
        <f t="shared" si="45"/>
        <v>27560.240399999999</v>
      </c>
      <c r="R72" s="79">
        <f t="shared" si="46"/>
        <v>71227.1204</v>
      </c>
      <c r="S72" s="78">
        <f t="shared" si="47"/>
        <v>4474.07</v>
      </c>
      <c r="T72" s="78">
        <v>1.54</v>
      </c>
      <c r="U72" s="78">
        <f t="shared" si="48"/>
        <v>75701.190399999992</v>
      </c>
      <c r="V72" s="79">
        <f t="shared" si="15"/>
        <v>61967.594747999996</v>
      </c>
      <c r="W72" s="78">
        <f t="shared" si="0"/>
        <v>65860.03564799999</v>
      </c>
      <c r="X72" s="80"/>
      <c r="Y72" s="78"/>
      <c r="Z72" s="80"/>
      <c r="AA72" s="80"/>
      <c r="AB72" s="80"/>
      <c r="AC72" s="80"/>
      <c r="AE72" s="78"/>
      <c r="AG72" s="78"/>
    </row>
    <row r="73" spans="1:33" ht="16.5" customHeight="1" x14ac:dyDescent="0.2">
      <c r="A73" s="102"/>
      <c r="B73" s="87"/>
      <c r="C73" s="122" t="s">
        <v>82</v>
      </c>
      <c r="D73" s="109">
        <v>1</v>
      </c>
      <c r="E73" s="73"/>
      <c r="F73" s="74"/>
      <c r="G73" s="74"/>
      <c r="H73" s="74">
        <v>9212.35</v>
      </c>
      <c r="I73" s="74">
        <f>H73*$I$12</f>
        <v>10133.585000000001</v>
      </c>
      <c r="J73" s="74">
        <v>10741.600100000001</v>
      </c>
      <c r="K73" s="74">
        <f>ROUND('26.08.22'!K69*1.04,2)</f>
        <v>17896.259999999998</v>
      </c>
      <c r="L73" s="75" t="s">
        <v>86</v>
      </c>
      <c r="M73" s="83">
        <v>30</v>
      </c>
      <c r="N73" s="76"/>
      <c r="O73" s="78">
        <f t="shared" si="44"/>
        <v>5368.88</v>
      </c>
      <c r="P73" s="78">
        <f t="shared" si="49"/>
        <v>20401.740000000002</v>
      </c>
      <c r="Q73" s="78">
        <f t="shared" si="45"/>
        <v>27560.240399999999</v>
      </c>
      <c r="R73" s="79">
        <f t="shared" si="46"/>
        <v>71227.1204</v>
      </c>
      <c r="S73" s="78">
        <f t="shared" si="47"/>
        <v>4474.07</v>
      </c>
      <c r="T73" s="78">
        <v>1.54</v>
      </c>
      <c r="U73" s="78">
        <f t="shared" si="48"/>
        <v>75701.190399999992</v>
      </c>
      <c r="V73" s="79">
        <f t="shared" si="15"/>
        <v>61967.594747999996</v>
      </c>
      <c r="W73" s="78">
        <f t="shared" si="0"/>
        <v>65860.03564799999</v>
      </c>
      <c r="X73" s="80">
        <v>3</v>
      </c>
      <c r="Y73" s="78">
        <v>3</v>
      </c>
      <c r="Z73" s="80">
        <f t="shared" si="1"/>
        <v>0</v>
      </c>
      <c r="AA73" s="80">
        <f t="shared" si="2"/>
        <v>0</v>
      </c>
      <c r="AB73" s="80">
        <f t="shared" si="3"/>
        <v>53688.78</v>
      </c>
      <c r="AC73" s="80"/>
      <c r="AD73">
        <v>0.1</v>
      </c>
      <c r="AE73" s="78">
        <f t="shared" si="4"/>
        <v>1789.626</v>
      </c>
      <c r="AF73">
        <v>0.2</v>
      </c>
      <c r="AG73" s="78">
        <f t="shared" si="5"/>
        <v>3579.252</v>
      </c>
    </row>
    <row r="74" spans="1:33" ht="16.5" customHeight="1" x14ac:dyDescent="0.2">
      <c r="A74" s="102"/>
      <c r="B74" s="87"/>
      <c r="C74" s="122" t="s">
        <v>82</v>
      </c>
      <c r="D74" s="109">
        <v>1</v>
      </c>
      <c r="E74" s="73"/>
      <c r="F74" s="74"/>
      <c r="G74" s="74"/>
      <c r="H74" s="74">
        <v>9212.35</v>
      </c>
      <c r="I74" s="74">
        <f>H74*$I$12</f>
        <v>10133.585000000001</v>
      </c>
      <c r="J74" s="74">
        <v>10741.600100000001</v>
      </c>
      <c r="K74" s="74">
        <f>ROUND('26.08.22'!K70*1.04,2)</f>
        <v>17896.259999999998</v>
      </c>
      <c r="L74" s="75" t="s">
        <v>87</v>
      </c>
      <c r="M74" s="83">
        <v>30</v>
      </c>
      <c r="N74" s="76"/>
      <c r="O74" s="78">
        <f t="shared" si="44"/>
        <v>5368.88</v>
      </c>
      <c r="P74" s="78">
        <f t="shared" si="49"/>
        <v>20401.740000000002</v>
      </c>
      <c r="Q74" s="78">
        <f t="shared" si="45"/>
        <v>27560.240399999999</v>
      </c>
      <c r="R74" s="79">
        <f t="shared" si="46"/>
        <v>71227.1204</v>
      </c>
      <c r="S74" s="78">
        <f t="shared" si="47"/>
        <v>4474.07</v>
      </c>
      <c r="T74" s="78">
        <v>1.54</v>
      </c>
      <c r="U74" s="78">
        <f t="shared" si="48"/>
        <v>75701.190399999992</v>
      </c>
      <c r="V74" s="79">
        <f t="shared" si="15"/>
        <v>61967.594747999996</v>
      </c>
      <c r="W74" s="78">
        <f t="shared" si="0"/>
        <v>65860.03564799999</v>
      </c>
      <c r="X74" s="80">
        <v>3</v>
      </c>
      <c r="Y74" s="78">
        <v>0</v>
      </c>
      <c r="Z74" s="80">
        <f t="shared" si="1"/>
        <v>3</v>
      </c>
      <c r="AA74" s="80">
        <f t="shared" si="2"/>
        <v>53688.78</v>
      </c>
      <c r="AB74" s="80">
        <f t="shared" si="3"/>
        <v>0</v>
      </c>
      <c r="AC74" s="80"/>
      <c r="AD74">
        <v>0.1</v>
      </c>
      <c r="AE74" s="78">
        <f t="shared" si="4"/>
        <v>1789.626</v>
      </c>
      <c r="AF74">
        <v>0.2</v>
      </c>
      <c r="AG74" s="78">
        <f t="shared" si="5"/>
        <v>3579.252</v>
      </c>
    </row>
    <row r="75" spans="1:33" ht="16.5" customHeight="1" x14ac:dyDescent="0.2">
      <c r="A75" s="102"/>
      <c r="B75" s="87"/>
      <c r="C75" s="120" t="s">
        <v>45</v>
      </c>
      <c r="D75" s="109">
        <v>1</v>
      </c>
      <c r="E75" s="73"/>
      <c r="F75" s="74"/>
      <c r="G75" s="74"/>
      <c r="H75" s="74"/>
      <c r="I75" s="74"/>
      <c r="J75" s="74"/>
      <c r="K75" s="74">
        <f>ROUND('26.08.22'!K71*1.04,2)</f>
        <v>17896.259999999998</v>
      </c>
      <c r="L75" s="75" t="s">
        <v>220</v>
      </c>
      <c r="M75" s="83">
        <v>20</v>
      </c>
      <c r="N75" s="76"/>
      <c r="O75" s="78">
        <f t="shared" si="44"/>
        <v>3579.25</v>
      </c>
      <c r="P75" s="78">
        <f t="shared" si="49"/>
        <v>20401.740000000002</v>
      </c>
      <c r="Q75" s="78">
        <f t="shared" si="45"/>
        <v>27560.240399999999</v>
      </c>
      <c r="R75" s="79">
        <f t="shared" si="46"/>
        <v>69437.490399999995</v>
      </c>
      <c r="S75" s="78">
        <f t="shared" si="47"/>
        <v>4474.07</v>
      </c>
      <c r="T75" s="78">
        <v>1.54</v>
      </c>
      <c r="U75" s="78">
        <f t="shared" si="48"/>
        <v>73911.560399999988</v>
      </c>
      <c r="V75" s="79">
        <f t="shared" si="15"/>
        <v>60410.616647999996</v>
      </c>
      <c r="W75" s="78">
        <f t="shared" si="0"/>
        <v>64303.05754799999</v>
      </c>
      <c r="X75" s="80">
        <v>3</v>
      </c>
      <c r="Y75" s="78">
        <v>3</v>
      </c>
      <c r="Z75" s="80">
        <f t="shared" si="1"/>
        <v>0</v>
      </c>
      <c r="AA75" s="80">
        <f t="shared" si="2"/>
        <v>0</v>
      </c>
      <c r="AB75" s="80">
        <f t="shared" si="3"/>
        <v>53688.78</v>
      </c>
      <c r="AC75" s="80"/>
      <c r="AD75">
        <v>0.1</v>
      </c>
      <c r="AE75" s="78">
        <f t="shared" si="4"/>
        <v>1789.626</v>
      </c>
      <c r="AF75">
        <v>0.2</v>
      </c>
      <c r="AG75" s="78">
        <f t="shared" si="5"/>
        <v>3579.252</v>
      </c>
    </row>
    <row r="76" spans="1:33" ht="16.5" customHeight="1" x14ac:dyDescent="0.2">
      <c r="A76" s="102"/>
      <c r="B76" s="87"/>
      <c r="C76" s="120" t="s">
        <v>45</v>
      </c>
      <c r="D76" s="109">
        <v>1</v>
      </c>
      <c r="E76" s="73"/>
      <c r="F76" s="74"/>
      <c r="G76" s="74"/>
      <c r="H76" s="74">
        <v>9212.35</v>
      </c>
      <c r="I76" s="74">
        <f>H76*$I$12</f>
        <v>10133.585000000001</v>
      </c>
      <c r="J76" s="74">
        <v>10741.600100000001</v>
      </c>
      <c r="K76" s="74">
        <f>ROUND('26.08.22'!K72*1.04,2)</f>
        <v>17896.259999999998</v>
      </c>
      <c r="L76" s="75" t="s">
        <v>222</v>
      </c>
      <c r="M76" s="83">
        <v>30</v>
      </c>
      <c r="N76" s="76"/>
      <c r="O76" s="78">
        <f t="shared" si="44"/>
        <v>5368.88</v>
      </c>
      <c r="P76" s="78">
        <f>ROUND(K76*1.14,2)</f>
        <v>20401.740000000002</v>
      </c>
      <c r="Q76" s="78">
        <f t="shared" si="45"/>
        <v>27560.240399999999</v>
      </c>
      <c r="R76" s="79">
        <f t="shared" si="46"/>
        <v>71227.1204</v>
      </c>
      <c r="S76" s="78">
        <f t="shared" si="47"/>
        <v>4474.07</v>
      </c>
      <c r="T76" s="78">
        <v>1.54</v>
      </c>
      <c r="U76" s="78">
        <f t="shared" si="48"/>
        <v>75701.190399999992</v>
      </c>
      <c r="V76" s="79">
        <f t="shared" si="15"/>
        <v>61967.594747999996</v>
      </c>
      <c r="W76" s="78">
        <f t="shared" si="0"/>
        <v>65860.03564799999</v>
      </c>
      <c r="X76" s="80">
        <v>3</v>
      </c>
      <c r="Y76" s="78"/>
      <c r="Z76" s="80">
        <f t="shared" si="1"/>
        <v>3</v>
      </c>
      <c r="AA76" s="80">
        <f t="shared" si="2"/>
        <v>53688.78</v>
      </c>
      <c r="AB76" s="80">
        <f t="shared" si="3"/>
        <v>0</v>
      </c>
      <c r="AC76" s="80"/>
      <c r="AD76">
        <v>0.1</v>
      </c>
      <c r="AE76" s="78">
        <f t="shared" si="4"/>
        <v>1789.626</v>
      </c>
      <c r="AF76">
        <v>0.2</v>
      </c>
      <c r="AG76" s="78">
        <f t="shared" si="5"/>
        <v>3579.252</v>
      </c>
    </row>
    <row r="77" spans="1:33" ht="16.5" hidden="1" customHeight="1" x14ac:dyDescent="0.2">
      <c r="A77" s="102"/>
      <c r="B77" s="215"/>
      <c r="C77" s="120" t="s">
        <v>70</v>
      </c>
      <c r="D77" s="109">
        <v>0</v>
      </c>
      <c r="E77" s="73"/>
      <c r="F77" s="74"/>
      <c r="G77" s="74"/>
      <c r="H77" s="74"/>
      <c r="I77" s="74"/>
      <c r="J77" s="74"/>
      <c r="K77" s="74">
        <f>ROUND('26.08.22'!K73*1.04,2)</f>
        <v>0</v>
      </c>
      <c r="L77" s="75"/>
      <c r="M77" s="83">
        <v>10</v>
      </c>
      <c r="N77" s="76"/>
      <c r="O77" s="78">
        <f t="shared" si="44"/>
        <v>0</v>
      </c>
      <c r="P77" s="78">
        <f>ROUND(K77*1.14,2)</f>
        <v>0</v>
      </c>
      <c r="Q77" s="78">
        <f t="shared" si="45"/>
        <v>0</v>
      </c>
      <c r="R77" s="79">
        <f t="shared" si="46"/>
        <v>0</v>
      </c>
      <c r="S77" s="78">
        <f t="shared" si="47"/>
        <v>0</v>
      </c>
      <c r="T77" s="78">
        <v>2.54</v>
      </c>
      <c r="U77" s="78">
        <f t="shared" si="48"/>
        <v>0</v>
      </c>
      <c r="V77" s="79">
        <f t="shared" si="15"/>
        <v>0</v>
      </c>
      <c r="W77" s="78">
        <f t="shared" si="0"/>
        <v>0</v>
      </c>
      <c r="X77" s="80">
        <v>4</v>
      </c>
      <c r="Y77" s="78"/>
      <c r="Z77" s="80"/>
      <c r="AA77" s="80"/>
      <c r="AB77" s="80"/>
      <c r="AC77" s="80"/>
      <c r="AE77" s="78"/>
      <c r="AG77" s="78"/>
    </row>
    <row r="78" spans="1:33" ht="16.5" hidden="1" customHeight="1" x14ac:dyDescent="0.2">
      <c r="A78" s="102"/>
      <c r="B78" s="215"/>
      <c r="C78" s="120" t="s">
        <v>70</v>
      </c>
      <c r="D78" s="109">
        <v>0</v>
      </c>
      <c r="E78" s="73"/>
      <c r="F78" s="74"/>
      <c r="G78" s="74"/>
      <c r="H78" s="74"/>
      <c r="I78" s="74"/>
      <c r="J78" s="74"/>
      <c r="K78" s="74">
        <f>ROUND('26.08.22'!K74*1.04,2)</f>
        <v>0</v>
      </c>
      <c r="L78" s="75"/>
      <c r="M78" s="83">
        <v>15</v>
      </c>
      <c r="N78" s="76"/>
      <c r="O78" s="78">
        <f t="shared" si="44"/>
        <v>0</v>
      </c>
      <c r="P78" s="78">
        <f>ROUND(K78*1.14,2)</f>
        <v>0</v>
      </c>
      <c r="Q78" s="78">
        <f t="shared" si="45"/>
        <v>0</v>
      </c>
      <c r="R78" s="79">
        <f t="shared" si="46"/>
        <v>0</v>
      </c>
      <c r="S78" s="78">
        <f t="shared" si="47"/>
        <v>0</v>
      </c>
      <c r="T78" s="78">
        <v>3.54</v>
      </c>
      <c r="U78" s="78">
        <f t="shared" si="48"/>
        <v>0</v>
      </c>
      <c r="V78" s="79">
        <f t="shared" si="15"/>
        <v>0</v>
      </c>
      <c r="W78" s="78">
        <f t="shared" si="0"/>
        <v>0</v>
      </c>
      <c r="X78" s="80">
        <v>5</v>
      </c>
      <c r="Y78" s="78"/>
      <c r="Z78" s="80"/>
      <c r="AA78" s="80"/>
      <c r="AB78" s="80"/>
      <c r="AC78" s="80"/>
      <c r="AE78" s="78"/>
      <c r="AG78" s="78"/>
    </row>
    <row r="79" spans="1:33" ht="16.5" customHeight="1" x14ac:dyDescent="0.2">
      <c r="A79" s="102"/>
      <c r="B79" s="87"/>
      <c r="C79" s="120" t="s">
        <v>70</v>
      </c>
      <c r="D79" s="109">
        <v>1</v>
      </c>
      <c r="E79" s="73"/>
      <c r="F79" s="74"/>
      <c r="G79" s="74"/>
      <c r="H79" s="74"/>
      <c r="I79" s="74"/>
      <c r="J79" s="74"/>
      <c r="K79" s="74">
        <f>ROUND('26.08.22'!K75*1.04,2)</f>
        <v>15418.33</v>
      </c>
      <c r="L79" s="75" t="s">
        <v>226</v>
      </c>
      <c r="M79" s="83">
        <v>0</v>
      </c>
      <c r="N79" s="76"/>
      <c r="O79" s="78">
        <f t="shared" si="44"/>
        <v>0</v>
      </c>
      <c r="P79" s="78">
        <f>ROUND(K79*1.14,2)</f>
        <v>17576.900000000001</v>
      </c>
      <c r="Q79" s="78">
        <f>K79*T79</f>
        <v>22202.395199999999</v>
      </c>
      <c r="R79" s="79">
        <f t="shared" si="46"/>
        <v>55197.625200000002</v>
      </c>
      <c r="S79" s="78">
        <f t="shared" si="47"/>
        <v>3854.58</v>
      </c>
      <c r="T79" s="78">
        <v>1.44</v>
      </c>
      <c r="U79" s="78">
        <f t="shared" si="48"/>
        <v>59052.205200000004</v>
      </c>
      <c r="V79" s="79">
        <f t="shared" si="15"/>
        <v>48021.933924000004</v>
      </c>
      <c r="W79" s="78">
        <f t="shared" si="0"/>
        <v>51375.418524000001</v>
      </c>
      <c r="X79" s="80">
        <v>6</v>
      </c>
      <c r="Y79" s="78"/>
      <c r="Z79" s="80"/>
      <c r="AA79" s="80"/>
      <c r="AB79" s="80"/>
      <c r="AC79" s="80"/>
      <c r="AE79" s="78"/>
      <c r="AG79" s="78"/>
    </row>
    <row r="80" spans="1:33" ht="16.5" customHeight="1" x14ac:dyDescent="0.2">
      <c r="A80" s="102"/>
      <c r="B80" s="87"/>
      <c r="C80" s="107" t="s">
        <v>150</v>
      </c>
      <c r="D80" s="109">
        <v>1</v>
      </c>
      <c r="E80" s="73"/>
      <c r="F80" s="74"/>
      <c r="G80" s="74"/>
      <c r="H80" s="74"/>
      <c r="I80" s="74"/>
      <c r="J80" s="74"/>
      <c r="K80" s="74">
        <f>ROUND('26.08.22'!K76*1.04,2)</f>
        <v>17896.259999999998</v>
      </c>
      <c r="L80" s="75" t="s">
        <v>233</v>
      </c>
      <c r="M80" s="83">
        <v>30</v>
      </c>
      <c r="N80" s="76"/>
      <c r="O80" s="78">
        <f t="shared" si="44"/>
        <v>5368.88</v>
      </c>
      <c r="P80" s="78">
        <f>ROUND(K80*1.14,2)</f>
        <v>20401.740000000002</v>
      </c>
      <c r="Q80" s="78">
        <f>K80*T80</f>
        <v>27560.240399999999</v>
      </c>
      <c r="R80" s="79">
        <f t="shared" si="46"/>
        <v>71227.1204</v>
      </c>
      <c r="S80" s="78">
        <f t="shared" si="47"/>
        <v>4474.07</v>
      </c>
      <c r="T80" s="78">
        <v>1.54</v>
      </c>
      <c r="U80" s="78">
        <f t="shared" si="48"/>
        <v>75701.190399999992</v>
      </c>
      <c r="V80" s="79">
        <f t="shared" si="15"/>
        <v>61967.594747999996</v>
      </c>
      <c r="W80" s="78">
        <f t="shared" si="0"/>
        <v>65860.03564799999</v>
      </c>
      <c r="X80" s="80"/>
      <c r="Y80" s="78"/>
      <c r="Z80" s="80"/>
      <c r="AA80" s="80"/>
      <c r="AB80" s="80"/>
      <c r="AC80" s="80"/>
      <c r="AE80" s="78"/>
      <c r="AG80" s="78"/>
    </row>
    <row r="81" spans="1:34" ht="15.75" customHeight="1" x14ac:dyDescent="0.2">
      <c r="A81" s="102"/>
      <c r="B81" s="87"/>
      <c r="C81" s="87" t="s">
        <v>51</v>
      </c>
      <c r="D81" s="88">
        <f>SUM(D64:D80)</f>
        <v>15</v>
      </c>
      <c r="E81" s="88">
        <f t="shared" ref="E81:J81" si="50">SUM(E64:E71)</f>
        <v>28000</v>
      </c>
      <c r="F81" s="88">
        <f t="shared" si="50"/>
        <v>29700</v>
      </c>
      <c r="G81" s="88">
        <f t="shared" si="50"/>
        <v>35939</v>
      </c>
      <c r="H81" s="88">
        <f t="shared" si="50"/>
        <v>65802.530000000013</v>
      </c>
      <c r="I81" s="88">
        <f t="shared" si="50"/>
        <v>72382.782999999996</v>
      </c>
      <c r="J81" s="88">
        <f t="shared" si="50"/>
        <v>101661.6161</v>
      </c>
      <c r="K81" s="90">
        <f>SUM(K64:K80)</f>
        <v>274776.38</v>
      </c>
      <c r="L81" s="90"/>
      <c r="M81" s="90"/>
      <c r="N81" s="90">
        <f t="shared" ref="N81" si="51">SUM(N64:N76)</f>
        <v>0</v>
      </c>
      <c r="O81" s="90">
        <f>SUM(O64:O80)</f>
        <v>68528.909999999989</v>
      </c>
      <c r="P81" s="90">
        <f>SUM(P64:P80)</f>
        <v>315585.38999999996</v>
      </c>
      <c r="Q81" s="90">
        <f t="shared" ref="Q81:AH81" si="52">SUM(Q64:Q79)</f>
        <v>394053.55180000002</v>
      </c>
      <c r="R81" s="90">
        <f t="shared" si="52"/>
        <v>1009277.3518000001</v>
      </c>
      <c r="S81" s="90">
        <f>SUM(S64:S80)</f>
        <v>68694.149999999994</v>
      </c>
      <c r="T81" s="90">
        <f t="shared" si="52"/>
        <v>27.539999999999996</v>
      </c>
      <c r="U81" s="90">
        <f t="shared" si="52"/>
        <v>1073497.4317999997</v>
      </c>
      <c r="V81" s="90">
        <f t="shared" si="52"/>
        <v>878071.29606600001</v>
      </c>
      <c r="W81" s="90">
        <f t="shared" si="52"/>
        <v>933942.76566599961</v>
      </c>
      <c r="X81" s="90">
        <f t="shared" si="52"/>
        <v>51</v>
      </c>
      <c r="Y81" s="90">
        <f t="shared" si="52"/>
        <v>23</v>
      </c>
      <c r="Z81" s="90">
        <f t="shared" si="52"/>
        <v>13</v>
      </c>
      <c r="AA81" s="90">
        <f t="shared" si="52"/>
        <v>238157.88999999998</v>
      </c>
      <c r="AB81" s="90">
        <f t="shared" si="52"/>
        <v>432538.70000000007</v>
      </c>
      <c r="AC81" s="90">
        <f t="shared" si="52"/>
        <v>0</v>
      </c>
      <c r="AD81" s="90">
        <f t="shared" si="52"/>
        <v>1.2</v>
      </c>
      <c r="AE81" s="90">
        <f t="shared" si="52"/>
        <v>22356.553</v>
      </c>
      <c r="AF81" s="90">
        <f t="shared" si="52"/>
        <v>2.4</v>
      </c>
      <c r="AG81" s="90">
        <f t="shared" si="52"/>
        <v>44713.106</v>
      </c>
      <c r="AH81" s="90">
        <f t="shared" si="52"/>
        <v>0</v>
      </c>
    </row>
    <row r="82" spans="1:34" ht="25.5" customHeight="1" x14ac:dyDescent="0.2">
      <c r="A82" s="131" t="s">
        <v>88</v>
      </c>
      <c r="B82" s="87"/>
      <c r="C82" s="131"/>
      <c r="D82" s="132"/>
      <c r="E82" s="95"/>
      <c r="F82" s="95"/>
      <c r="G82" s="95"/>
      <c r="H82" s="95"/>
      <c r="I82" s="95"/>
      <c r="J82" s="95"/>
      <c r="K82" s="90"/>
      <c r="L82" s="90"/>
      <c r="M82" s="113"/>
      <c r="N82" s="113"/>
      <c r="O82" s="90"/>
      <c r="P82" s="132"/>
      <c r="Q82" s="95"/>
      <c r="R82" s="79"/>
      <c r="S82" s="90"/>
      <c r="T82" s="132"/>
      <c r="U82" s="90"/>
      <c r="V82" s="115"/>
      <c r="W82" s="90"/>
      <c r="X82" s="80"/>
      <c r="Y82" s="90"/>
      <c r="Z82" s="80"/>
      <c r="AA82" s="80">
        <f t="shared" si="2"/>
        <v>0</v>
      </c>
      <c r="AB82" s="80">
        <f t="shared" si="3"/>
        <v>0</v>
      </c>
      <c r="AC82" s="91"/>
      <c r="AD82">
        <v>0.1</v>
      </c>
      <c r="AE82" s="90"/>
      <c r="AG82" s="90"/>
    </row>
    <row r="83" spans="1:34" x14ac:dyDescent="0.2">
      <c r="A83" s="133"/>
      <c r="B83" s="87"/>
      <c r="C83" s="87" t="s">
        <v>58</v>
      </c>
      <c r="D83" s="109">
        <v>1</v>
      </c>
      <c r="E83" s="73">
        <v>7500</v>
      </c>
      <c r="F83" s="74">
        <f>ROUND(E83*F$12,2)</f>
        <v>8250</v>
      </c>
      <c r="G83" s="74">
        <f>F83*1.1*1.1+0.5</f>
        <v>9983</v>
      </c>
      <c r="H83" s="74">
        <v>12337.98</v>
      </c>
      <c r="I83" s="74">
        <f t="shared" ref="I83:I91" si="53">H83*$I$12</f>
        <v>13571.778</v>
      </c>
      <c r="J83" s="74">
        <v>14386.084680000002</v>
      </c>
      <c r="K83" s="74">
        <f>ROUND('26.08.22'!K79*1.04,2)</f>
        <v>23402.77</v>
      </c>
      <c r="L83" s="75" t="s">
        <v>89</v>
      </c>
      <c r="M83" s="76">
        <v>30</v>
      </c>
      <c r="N83" s="76"/>
      <c r="O83" s="78">
        <f t="shared" ref="O83:O89" si="54">ROUND((K83*M83/100),2)</f>
        <v>7020.83</v>
      </c>
      <c r="P83" s="78">
        <f>ROUND(K83*1.24,2)</f>
        <v>29019.43</v>
      </c>
      <c r="Q83" s="78">
        <f t="shared" ref="Q83:Q91" si="55">K83*T83</f>
        <v>36040.265800000001</v>
      </c>
      <c r="R83" s="79">
        <f t="shared" ref="R83:R91" si="56">K83+O83+P83+Q83</f>
        <v>95483.295799999993</v>
      </c>
      <c r="S83" s="78">
        <f t="shared" ref="S83:S91" si="57">ROUND(K83*S$12,2)</f>
        <v>5850.69</v>
      </c>
      <c r="T83" s="78">
        <v>1.54</v>
      </c>
      <c r="U83" s="78">
        <f t="shared" ref="U83:U91" si="58">K83+O83+P83+Q83+S83</f>
        <v>101333.98579999999</v>
      </c>
      <c r="V83" s="79">
        <f t="shared" si="15"/>
        <v>83070.46734599999</v>
      </c>
      <c r="W83" s="78">
        <f t="shared" si="0"/>
        <v>88160.567645999996</v>
      </c>
      <c r="X83" s="80">
        <v>3</v>
      </c>
      <c r="Y83" s="78">
        <v>3</v>
      </c>
      <c r="Z83" s="80">
        <f t="shared" si="1"/>
        <v>0</v>
      </c>
      <c r="AA83" s="80">
        <f t="shared" si="2"/>
        <v>0</v>
      </c>
      <c r="AB83" s="80">
        <f t="shared" si="3"/>
        <v>70208.31</v>
      </c>
      <c r="AC83" s="80"/>
      <c r="AD83">
        <v>0.1</v>
      </c>
      <c r="AE83" s="78">
        <f t="shared" si="4"/>
        <v>2340.277</v>
      </c>
      <c r="AF83">
        <v>0.2</v>
      </c>
      <c r="AG83" s="78">
        <f t="shared" si="5"/>
        <v>4680.5540000000001</v>
      </c>
    </row>
    <row r="84" spans="1:34" x14ac:dyDescent="0.2">
      <c r="A84" s="133"/>
      <c r="B84" s="87"/>
      <c r="C84" s="122" t="s">
        <v>60</v>
      </c>
      <c r="D84" s="72">
        <v>1</v>
      </c>
      <c r="E84" s="73"/>
      <c r="F84" s="74"/>
      <c r="G84" s="74"/>
      <c r="H84" s="74">
        <v>10692.91</v>
      </c>
      <c r="I84" s="74">
        <f>H84*$I$12</f>
        <v>11762.201000000001</v>
      </c>
      <c r="J84" s="74">
        <v>12467.933060000001</v>
      </c>
      <c r="K84" s="74">
        <f>ROUND('26.08.22'!K80*1.04,2)</f>
        <v>21200.16</v>
      </c>
      <c r="L84" s="75" t="s">
        <v>192</v>
      </c>
      <c r="M84" s="83">
        <v>30</v>
      </c>
      <c r="N84" s="76"/>
      <c r="O84" s="78">
        <f>ROUND((K84*M84/100),2)</f>
        <v>6360.05</v>
      </c>
      <c r="P84" s="78">
        <f>ROUND(K84*1.14,2)</f>
        <v>24168.18</v>
      </c>
      <c r="Q84" s="78">
        <f>K84*T84</f>
        <v>32648.2464</v>
      </c>
      <c r="R84" s="79">
        <f>K84+O84+P84+Q84</f>
        <v>84376.636400000003</v>
      </c>
      <c r="S84" s="78">
        <f>ROUND(K84*S$12,2)</f>
        <v>5300.04</v>
      </c>
      <c r="T84" s="78">
        <v>1.54</v>
      </c>
      <c r="U84" s="78">
        <f>K84+O84+P84+Q84+S84</f>
        <v>89676.676399999997</v>
      </c>
      <c r="V84" s="79">
        <f>R84*0.87</f>
        <v>73407.673668000003</v>
      </c>
      <c r="W84" s="78">
        <f>U84*0.87</f>
        <v>78018.708467999997</v>
      </c>
      <c r="X84" s="80"/>
      <c r="Y84" s="78"/>
      <c r="Z84" s="80"/>
      <c r="AA84" s="80"/>
      <c r="AB84" s="80"/>
      <c r="AC84" s="80"/>
      <c r="AE84" s="78"/>
      <c r="AG84" s="78"/>
    </row>
    <row r="85" spans="1:34" ht="15" customHeight="1" x14ac:dyDescent="0.2">
      <c r="A85" s="102"/>
      <c r="B85" s="131"/>
      <c r="C85" s="131" t="s">
        <v>90</v>
      </c>
      <c r="D85" s="109">
        <v>1</v>
      </c>
      <c r="E85" s="73">
        <v>6500</v>
      </c>
      <c r="F85" s="74">
        <f>ROUND(E85*F$12,2)</f>
        <v>7150</v>
      </c>
      <c r="G85" s="74">
        <f>F85*1.1*1.1+0.5</f>
        <v>8652.0000000000018</v>
      </c>
      <c r="H85" s="74">
        <v>10692.91</v>
      </c>
      <c r="I85" s="74">
        <f t="shared" si="53"/>
        <v>11762.201000000001</v>
      </c>
      <c r="J85" s="74">
        <v>12467.933060000001</v>
      </c>
      <c r="K85" s="74">
        <f>ROUND('26.08.22'!K81*1.04,2)</f>
        <v>17896.259999999998</v>
      </c>
      <c r="L85" s="75" t="s">
        <v>194</v>
      </c>
      <c r="M85" s="83">
        <v>30</v>
      </c>
      <c r="N85" s="76"/>
      <c r="O85" s="78">
        <f>ROUND((K85*M85/100),2)</f>
        <v>5368.88</v>
      </c>
      <c r="P85" s="78">
        <f t="shared" ref="P85:P91" si="59">ROUND(K85*1.14,2)</f>
        <v>20401.740000000002</v>
      </c>
      <c r="Q85" s="78">
        <f t="shared" si="55"/>
        <v>27560.240399999999</v>
      </c>
      <c r="R85" s="79">
        <f t="shared" si="56"/>
        <v>71227.1204</v>
      </c>
      <c r="S85" s="78">
        <f t="shared" si="57"/>
        <v>4474.07</v>
      </c>
      <c r="T85" s="78">
        <v>1.54</v>
      </c>
      <c r="U85" s="78">
        <f t="shared" si="58"/>
        <v>75701.190399999992</v>
      </c>
      <c r="V85" s="79">
        <f t="shared" si="15"/>
        <v>61967.594747999996</v>
      </c>
      <c r="W85" s="78">
        <f t="shared" si="0"/>
        <v>65860.03564799999</v>
      </c>
      <c r="X85" s="80">
        <v>3</v>
      </c>
      <c r="Y85" s="78">
        <v>3</v>
      </c>
      <c r="Z85" s="80">
        <f t="shared" si="1"/>
        <v>0</v>
      </c>
      <c r="AA85" s="80">
        <f t="shared" si="2"/>
        <v>0</v>
      </c>
      <c r="AB85" s="80">
        <f t="shared" si="3"/>
        <v>53688.78</v>
      </c>
      <c r="AC85" s="80"/>
      <c r="AD85">
        <v>0.1</v>
      </c>
      <c r="AE85" s="78">
        <f t="shared" si="4"/>
        <v>1789.626</v>
      </c>
      <c r="AF85">
        <v>0.2</v>
      </c>
      <c r="AG85" s="78">
        <f t="shared" si="5"/>
        <v>3579.252</v>
      </c>
    </row>
    <row r="86" spans="1:34" ht="12.75" customHeight="1" x14ac:dyDescent="0.2">
      <c r="A86" s="102"/>
      <c r="B86" s="107"/>
      <c r="C86" s="131" t="s">
        <v>90</v>
      </c>
      <c r="D86" s="109">
        <v>1</v>
      </c>
      <c r="E86" s="73">
        <v>6500</v>
      </c>
      <c r="F86" s="74">
        <f>ROUND(E86*F$12,2)</f>
        <v>7150</v>
      </c>
      <c r="G86" s="74">
        <f>F86*1.1*1.1+0.5</f>
        <v>8652.0000000000018</v>
      </c>
      <c r="H86" s="74">
        <v>10692.91</v>
      </c>
      <c r="I86" s="74">
        <f t="shared" si="53"/>
        <v>11762.201000000001</v>
      </c>
      <c r="J86" s="74">
        <v>12467.933060000001</v>
      </c>
      <c r="K86" s="74">
        <f>ROUND('26.08.22'!K82*1.04,2)</f>
        <v>17896.259999999998</v>
      </c>
      <c r="L86" s="75" t="s">
        <v>92</v>
      </c>
      <c r="M86" s="83">
        <v>30</v>
      </c>
      <c r="N86" s="76"/>
      <c r="O86" s="78">
        <f t="shared" si="54"/>
        <v>5368.88</v>
      </c>
      <c r="P86" s="78">
        <f t="shared" si="59"/>
        <v>20401.740000000002</v>
      </c>
      <c r="Q86" s="78">
        <f t="shared" si="55"/>
        <v>27560.240399999999</v>
      </c>
      <c r="R86" s="79">
        <f t="shared" si="56"/>
        <v>71227.1204</v>
      </c>
      <c r="S86" s="78">
        <f t="shared" si="57"/>
        <v>4474.07</v>
      </c>
      <c r="T86" s="78">
        <v>1.54</v>
      </c>
      <c r="U86" s="78">
        <f t="shared" si="58"/>
        <v>75701.190399999992</v>
      </c>
      <c r="V86" s="79">
        <f t="shared" si="15"/>
        <v>61967.594747999996</v>
      </c>
      <c r="W86" s="78">
        <f t="shared" si="0"/>
        <v>65860.03564799999</v>
      </c>
      <c r="X86" s="80">
        <v>3</v>
      </c>
      <c r="Y86" s="78">
        <v>3</v>
      </c>
      <c r="Z86" s="80">
        <f t="shared" si="1"/>
        <v>0</v>
      </c>
      <c r="AA86" s="80">
        <f t="shared" si="2"/>
        <v>0</v>
      </c>
      <c r="AB86" s="80">
        <f t="shared" si="3"/>
        <v>53688.78</v>
      </c>
      <c r="AC86" s="80"/>
      <c r="AD86">
        <v>0.1</v>
      </c>
      <c r="AE86" s="78">
        <f t="shared" si="4"/>
        <v>1789.626</v>
      </c>
      <c r="AF86">
        <v>0.2</v>
      </c>
      <c r="AG86" s="78">
        <f t="shared" si="5"/>
        <v>3579.252</v>
      </c>
    </row>
    <row r="87" spans="1:34" ht="12.75" customHeight="1" x14ac:dyDescent="0.2">
      <c r="A87" s="102"/>
      <c r="B87" s="107"/>
      <c r="C87" s="131" t="s">
        <v>90</v>
      </c>
      <c r="D87" s="109">
        <v>1</v>
      </c>
      <c r="E87" s="73">
        <v>6500</v>
      </c>
      <c r="F87" s="74">
        <f>ROUND(E87*F$12,2)</f>
        <v>7150</v>
      </c>
      <c r="G87" s="74">
        <f>F87*1.1*1.1+0.5</f>
        <v>8652.0000000000018</v>
      </c>
      <c r="H87" s="74">
        <v>10692.91</v>
      </c>
      <c r="I87" s="74">
        <f t="shared" si="53"/>
        <v>11762.201000000001</v>
      </c>
      <c r="J87" s="74">
        <v>12467.933060000001</v>
      </c>
      <c r="K87" s="74">
        <f>ROUND('26.08.22'!K83*1.04,2)</f>
        <v>17896.259999999998</v>
      </c>
      <c r="L87" s="75" t="s">
        <v>91</v>
      </c>
      <c r="M87" s="83">
        <v>30</v>
      </c>
      <c r="N87" s="76"/>
      <c r="O87" s="78">
        <f t="shared" si="54"/>
        <v>5368.88</v>
      </c>
      <c r="P87" s="78">
        <f t="shared" si="59"/>
        <v>20401.740000000002</v>
      </c>
      <c r="Q87" s="78">
        <f t="shared" si="55"/>
        <v>27560.240399999999</v>
      </c>
      <c r="R87" s="79">
        <f t="shared" si="56"/>
        <v>71227.1204</v>
      </c>
      <c r="S87" s="78">
        <f t="shared" si="57"/>
        <v>4474.07</v>
      </c>
      <c r="T87" s="78">
        <v>1.54</v>
      </c>
      <c r="U87" s="78">
        <f t="shared" si="58"/>
        <v>75701.190399999992</v>
      </c>
      <c r="V87" s="79">
        <f t="shared" si="15"/>
        <v>61967.594747999996</v>
      </c>
      <c r="W87" s="78">
        <f t="shared" si="0"/>
        <v>65860.03564799999</v>
      </c>
      <c r="X87" s="80">
        <v>3</v>
      </c>
      <c r="Y87" s="78"/>
      <c r="Z87" s="80">
        <f t="shared" si="1"/>
        <v>3</v>
      </c>
      <c r="AA87" s="80">
        <f t="shared" si="2"/>
        <v>53688.78</v>
      </c>
      <c r="AB87" s="80">
        <f t="shared" si="3"/>
        <v>0</v>
      </c>
      <c r="AC87" s="80"/>
      <c r="AD87">
        <v>0.1</v>
      </c>
      <c r="AE87" s="78">
        <f t="shared" si="4"/>
        <v>1789.626</v>
      </c>
      <c r="AF87">
        <v>0.2</v>
      </c>
      <c r="AG87" s="78">
        <f t="shared" si="5"/>
        <v>3579.252</v>
      </c>
    </row>
    <row r="88" spans="1:34" ht="12.75" customHeight="1" x14ac:dyDescent="0.2">
      <c r="A88" s="102"/>
      <c r="B88" s="107"/>
      <c r="C88" s="131" t="s">
        <v>90</v>
      </c>
      <c r="D88" s="109">
        <v>1</v>
      </c>
      <c r="E88" s="73"/>
      <c r="F88" s="74"/>
      <c r="G88" s="74"/>
      <c r="H88" s="74"/>
      <c r="I88" s="74"/>
      <c r="J88" s="74"/>
      <c r="K88" s="74">
        <f>ROUND('26.08.22'!K84*1.04,2)</f>
        <v>17896.259999999998</v>
      </c>
      <c r="L88" s="75" t="s">
        <v>199</v>
      </c>
      <c r="M88" s="83">
        <v>30</v>
      </c>
      <c r="N88" s="76"/>
      <c r="O88" s="78">
        <f t="shared" si="54"/>
        <v>5368.88</v>
      </c>
      <c r="P88" s="78">
        <f t="shared" si="59"/>
        <v>20401.740000000002</v>
      </c>
      <c r="Q88" s="78">
        <f t="shared" si="55"/>
        <v>27560.240399999999</v>
      </c>
      <c r="R88" s="79">
        <f t="shared" si="56"/>
        <v>71227.1204</v>
      </c>
      <c r="S88" s="78">
        <f t="shared" si="57"/>
        <v>4474.07</v>
      </c>
      <c r="T88" s="78">
        <v>1.54</v>
      </c>
      <c r="U88" s="78">
        <f t="shared" si="58"/>
        <v>75701.190399999992</v>
      </c>
      <c r="V88" s="79">
        <f t="shared" si="15"/>
        <v>61967.594747999996</v>
      </c>
      <c r="W88" s="78">
        <f t="shared" si="0"/>
        <v>65860.03564799999</v>
      </c>
      <c r="X88" s="80"/>
      <c r="Y88" s="78"/>
      <c r="Z88" s="80"/>
      <c r="AA88" s="80"/>
      <c r="AB88" s="80">
        <f t="shared" si="3"/>
        <v>0</v>
      </c>
      <c r="AC88" s="80"/>
      <c r="AE88" s="78"/>
      <c r="AG88" s="78"/>
    </row>
    <row r="89" spans="1:34" ht="12.75" customHeight="1" x14ac:dyDescent="0.2">
      <c r="A89" s="102"/>
      <c r="B89" s="107"/>
      <c r="C89" s="120" t="s">
        <v>48</v>
      </c>
      <c r="D89" s="109">
        <v>1</v>
      </c>
      <c r="E89" s="73"/>
      <c r="F89" s="74"/>
      <c r="G89" s="74"/>
      <c r="H89" s="74">
        <v>9212.35</v>
      </c>
      <c r="I89" s="74">
        <f t="shared" si="53"/>
        <v>10133.585000000001</v>
      </c>
      <c r="J89" s="74">
        <v>10741.600100000001</v>
      </c>
      <c r="K89" s="74">
        <f>ROUND('26.08.22'!K85*1.04,2)</f>
        <v>15418.33</v>
      </c>
      <c r="L89" s="75" t="s">
        <v>198</v>
      </c>
      <c r="M89" s="83">
        <v>30</v>
      </c>
      <c r="N89" s="76"/>
      <c r="O89" s="78">
        <f t="shared" si="54"/>
        <v>4625.5</v>
      </c>
      <c r="P89" s="78">
        <f t="shared" si="59"/>
        <v>17576.900000000001</v>
      </c>
      <c r="Q89" s="78">
        <f t="shared" si="55"/>
        <v>22202.395199999999</v>
      </c>
      <c r="R89" s="79">
        <f t="shared" si="56"/>
        <v>59823.125200000002</v>
      </c>
      <c r="S89" s="78">
        <f t="shared" si="57"/>
        <v>3854.58</v>
      </c>
      <c r="T89" s="78">
        <v>1.44</v>
      </c>
      <c r="U89" s="78">
        <f t="shared" si="58"/>
        <v>63677.705200000004</v>
      </c>
      <c r="V89" s="79">
        <f t="shared" si="15"/>
        <v>52046.118924000002</v>
      </c>
      <c r="W89" s="78">
        <f t="shared" si="0"/>
        <v>55399.603524000006</v>
      </c>
      <c r="X89" s="80">
        <v>3</v>
      </c>
      <c r="Y89" s="78">
        <v>3</v>
      </c>
      <c r="Z89" s="80">
        <f t="shared" si="1"/>
        <v>0</v>
      </c>
      <c r="AA89" s="80">
        <f t="shared" si="2"/>
        <v>0</v>
      </c>
      <c r="AB89" s="80">
        <f t="shared" si="3"/>
        <v>46254.99</v>
      </c>
      <c r="AC89" s="80"/>
      <c r="AD89">
        <v>0.1</v>
      </c>
      <c r="AE89" s="78">
        <f t="shared" si="4"/>
        <v>1541.8330000000001</v>
      </c>
      <c r="AF89">
        <v>0.2</v>
      </c>
      <c r="AG89" s="78">
        <f t="shared" si="5"/>
        <v>3083.6660000000002</v>
      </c>
    </row>
    <row r="90" spans="1:34" ht="12.75" hidden="1" customHeight="1" x14ac:dyDescent="0.2">
      <c r="A90" s="102"/>
      <c r="B90" s="107"/>
      <c r="C90" s="120" t="s">
        <v>48</v>
      </c>
      <c r="D90" s="109">
        <v>0</v>
      </c>
      <c r="E90" s="73"/>
      <c r="F90" s="74"/>
      <c r="G90" s="74"/>
      <c r="H90" s="74">
        <v>9212.35</v>
      </c>
      <c r="I90" s="74">
        <f t="shared" si="53"/>
        <v>10133.585000000001</v>
      </c>
      <c r="J90" s="74">
        <v>10741.600100000001</v>
      </c>
      <c r="K90" s="74">
        <f>ROUND('26.08.22'!K86*1.04,2)</f>
        <v>0</v>
      </c>
      <c r="M90" s="83">
        <v>0</v>
      </c>
      <c r="N90" s="76"/>
      <c r="O90" s="78">
        <f>ROUND((K90*M90/100),2)</f>
        <v>0</v>
      </c>
      <c r="P90" s="78">
        <f t="shared" si="59"/>
        <v>0</v>
      </c>
      <c r="Q90" s="78">
        <f t="shared" si="55"/>
        <v>0</v>
      </c>
      <c r="R90" s="79">
        <f t="shared" si="56"/>
        <v>0</v>
      </c>
      <c r="S90" s="78">
        <f t="shared" si="57"/>
        <v>0</v>
      </c>
      <c r="T90" s="78">
        <v>1.44</v>
      </c>
      <c r="U90" s="78">
        <f t="shared" si="58"/>
        <v>0</v>
      </c>
      <c r="V90" s="79">
        <f t="shared" si="15"/>
        <v>0</v>
      </c>
      <c r="W90" s="78">
        <f t="shared" si="0"/>
        <v>0</v>
      </c>
      <c r="X90" s="80">
        <v>3</v>
      </c>
      <c r="Y90" s="78"/>
      <c r="Z90" s="80">
        <f t="shared" si="1"/>
        <v>3</v>
      </c>
      <c r="AA90" s="80">
        <f t="shared" si="2"/>
        <v>0</v>
      </c>
      <c r="AB90" s="80">
        <f t="shared" si="3"/>
        <v>0</v>
      </c>
      <c r="AC90" s="80"/>
      <c r="AD90">
        <v>0.1</v>
      </c>
      <c r="AE90" s="78">
        <f t="shared" si="4"/>
        <v>0</v>
      </c>
      <c r="AF90">
        <v>0.2</v>
      </c>
      <c r="AG90" s="78">
        <f t="shared" si="5"/>
        <v>0</v>
      </c>
    </row>
    <row r="91" spans="1:34" ht="12.75" customHeight="1" x14ac:dyDescent="0.2">
      <c r="A91" s="102"/>
      <c r="B91" s="107"/>
      <c r="C91" s="120" t="s">
        <v>48</v>
      </c>
      <c r="D91" s="109">
        <v>1</v>
      </c>
      <c r="E91" s="73"/>
      <c r="F91" s="74"/>
      <c r="G91" s="74"/>
      <c r="H91" s="74">
        <v>9212.35</v>
      </c>
      <c r="I91" s="74">
        <f t="shared" si="53"/>
        <v>10133.585000000001</v>
      </c>
      <c r="J91" s="74">
        <v>10741.600100000001</v>
      </c>
      <c r="K91" s="74">
        <f>ROUND('26.08.22'!K87*1.04,2)</f>
        <v>15418.33</v>
      </c>
      <c r="L91" s="75" t="s">
        <v>200</v>
      </c>
      <c r="M91" s="145">
        <v>30</v>
      </c>
      <c r="N91" s="76"/>
      <c r="O91" s="78">
        <f>ROUND((K91*M91/100),2)</f>
        <v>4625.5</v>
      </c>
      <c r="P91" s="78">
        <f t="shared" si="59"/>
        <v>17576.900000000001</v>
      </c>
      <c r="Q91" s="78">
        <f t="shared" si="55"/>
        <v>22202.395199999999</v>
      </c>
      <c r="R91" s="79">
        <f t="shared" si="56"/>
        <v>59823.125200000002</v>
      </c>
      <c r="S91" s="78">
        <f t="shared" si="57"/>
        <v>3854.58</v>
      </c>
      <c r="T91" s="78">
        <v>1.44</v>
      </c>
      <c r="U91" s="78">
        <f t="shared" si="58"/>
        <v>63677.705200000004</v>
      </c>
      <c r="V91" s="79">
        <f t="shared" ref="V91" si="60">R91*0.87</f>
        <v>52046.118924000002</v>
      </c>
      <c r="W91" s="78">
        <f t="shared" ref="W91" si="61">U91*0.87</f>
        <v>55399.603524000006</v>
      </c>
      <c r="X91" s="80">
        <v>4</v>
      </c>
      <c r="Y91" s="78"/>
      <c r="Z91" s="80">
        <f t="shared" si="1"/>
        <v>4</v>
      </c>
      <c r="AA91" s="80">
        <f t="shared" si="2"/>
        <v>61673.32</v>
      </c>
      <c r="AB91" s="80">
        <f t="shared" si="3"/>
        <v>0</v>
      </c>
      <c r="AC91" s="80"/>
      <c r="AD91">
        <v>1.1000000000000001</v>
      </c>
      <c r="AE91" s="78">
        <f t="shared" si="4"/>
        <v>16960.163</v>
      </c>
      <c r="AF91">
        <v>1.2</v>
      </c>
      <c r="AG91" s="78">
        <f t="shared" si="5"/>
        <v>18501.995999999999</v>
      </c>
    </row>
    <row r="92" spans="1:34" x14ac:dyDescent="0.2">
      <c r="A92" s="86"/>
      <c r="B92" s="107"/>
      <c r="C92" s="87" t="s">
        <v>51</v>
      </c>
      <c r="D92" s="111">
        <f>SUM(D83:D91)</f>
        <v>8</v>
      </c>
      <c r="E92" s="134">
        <f>SUM(E83:E89)</f>
        <v>27000</v>
      </c>
      <c r="F92" s="134">
        <f>SUM(F83:F89)</f>
        <v>29700</v>
      </c>
      <c r="G92" s="134">
        <f>SUM(G83:G89)</f>
        <v>35939</v>
      </c>
      <c r="H92" s="134">
        <f>SUM(H83:H90)</f>
        <v>73534.320000000007</v>
      </c>
      <c r="I92" s="134">
        <f>SUM(I83:I90)</f>
        <v>80887.752000000008</v>
      </c>
      <c r="J92" s="134">
        <v>73273.084060000008</v>
      </c>
      <c r="K92" s="90">
        <f>SUM(K83:K91)</f>
        <v>147024.62999999998</v>
      </c>
      <c r="L92" s="90"/>
      <c r="M92" s="90"/>
      <c r="N92" s="90">
        <f t="shared" ref="N92" si="62">SUM(N83:N90)</f>
        <v>0</v>
      </c>
      <c r="O92" s="90">
        <f>SUM(O83:O91)</f>
        <v>44107.4</v>
      </c>
      <c r="P92" s="90">
        <f t="shared" ref="P92:W92" si="63">SUM(P83:P91)</f>
        <v>169948.37</v>
      </c>
      <c r="Q92" s="90">
        <f t="shared" si="63"/>
        <v>223334.26420000001</v>
      </c>
      <c r="R92" s="90">
        <f t="shared" si="63"/>
        <v>584414.6642</v>
      </c>
      <c r="S92" s="90">
        <f t="shared" si="63"/>
        <v>36756.17</v>
      </c>
      <c r="T92" s="90">
        <f t="shared" si="63"/>
        <v>13.559999999999999</v>
      </c>
      <c r="U92" s="90">
        <f t="shared" si="63"/>
        <v>621170.83419999981</v>
      </c>
      <c r="V92" s="90">
        <f t="shared" si="63"/>
        <v>508440.75785399997</v>
      </c>
      <c r="W92" s="90">
        <f t="shared" si="63"/>
        <v>540418.62575400004</v>
      </c>
      <c r="X92" s="80"/>
      <c r="Y92" s="90"/>
      <c r="Z92" s="80"/>
      <c r="AA92" s="80">
        <f t="shared" si="2"/>
        <v>0</v>
      </c>
      <c r="AB92" s="80">
        <f t="shared" si="3"/>
        <v>0</v>
      </c>
      <c r="AC92" s="91"/>
      <c r="AD92">
        <v>0.1</v>
      </c>
      <c r="AE92" s="134">
        <f t="shared" si="4"/>
        <v>14702.462999999998</v>
      </c>
      <c r="AF92">
        <v>0.2</v>
      </c>
      <c r="AG92" s="134">
        <f t="shared" si="5"/>
        <v>29404.925999999996</v>
      </c>
    </row>
    <row r="93" spans="1:34" ht="18" customHeight="1" x14ac:dyDescent="0.2">
      <c r="A93" s="86"/>
      <c r="B93" s="87"/>
      <c r="C93" s="70" t="s">
        <v>73</v>
      </c>
      <c r="D93" s="111">
        <f>D81+D92+D61+D62</f>
        <v>25</v>
      </c>
      <c r="E93" s="134">
        <f t="shared" ref="E93:I93" si="64">SUM(E61:E62)+E81+E92</f>
        <v>73300</v>
      </c>
      <c r="F93" s="134">
        <f t="shared" si="64"/>
        <v>79530</v>
      </c>
      <c r="G93" s="134">
        <f t="shared" si="64"/>
        <v>96236</v>
      </c>
      <c r="H93" s="134">
        <f t="shared" si="64"/>
        <v>169441.50000000003</v>
      </c>
      <c r="I93" s="134">
        <f t="shared" si="64"/>
        <v>186385.65000000002</v>
      </c>
      <c r="J93" s="134">
        <v>185100.85594000004</v>
      </c>
      <c r="K93" s="90">
        <f>K92+K81+K61+K62</f>
        <v>476040.42000000004</v>
      </c>
      <c r="L93" s="90"/>
      <c r="M93" s="90"/>
      <c r="N93" s="90">
        <f t="shared" ref="N93" si="65">N92+N81+N61+N62</f>
        <v>0</v>
      </c>
      <c r="O93" s="90">
        <f>O92+O81+O61+O62</f>
        <v>125315.11</v>
      </c>
      <c r="P93" s="90">
        <f t="shared" ref="P93:W93" si="66">P92+P81+P61+P62</f>
        <v>550078.65999999992</v>
      </c>
      <c r="Q93" s="90">
        <f t="shared" si="66"/>
        <v>700916.5074</v>
      </c>
      <c r="R93" s="90">
        <f t="shared" si="66"/>
        <v>1808683.8174000001</v>
      </c>
      <c r="S93" s="90">
        <f t="shared" si="66"/>
        <v>119010.18</v>
      </c>
      <c r="T93" s="90">
        <f t="shared" si="66"/>
        <v>44.179999999999993</v>
      </c>
      <c r="U93" s="90">
        <f t="shared" si="66"/>
        <v>1923219.9273999992</v>
      </c>
      <c r="V93" s="90">
        <f t="shared" si="66"/>
        <v>1573554.921138</v>
      </c>
      <c r="W93" s="90">
        <f t="shared" si="66"/>
        <v>1673201.3368379998</v>
      </c>
      <c r="X93" s="80"/>
      <c r="Y93" s="90"/>
      <c r="Z93" s="80"/>
      <c r="AA93" s="80">
        <f t="shared" si="2"/>
        <v>0</v>
      </c>
      <c r="AB93" s="80">
        <f t="shared" si="3"/>
        <v>0</v>
      </c>
      <c r="AC93" s="91"/>
      <c r="AD93">
        <v>0.1</v>
      </c>
      <c r="AE93" s="134">
        <f t="shared" si="4"/>
        <v>47604.042000000009</v>
      </c>
      <c r="AF93">
        <v>0.2</v>
      </c>
      <c r="AG93" s="134">
        <f t="shared" si="5"/>
        <v>95208.084000000017</v>
      </c>
    </row>
    <row r="94" spans="1:34" ht="23.25" customHeight="1" x14ac:dyDescent="0.2">
      <c r="A94" s="59" t="s">
        <v>93</v>
      </c>
      <c r="B94" s="87"/>
      <c r="C94" s="70"/>
      <c r="D94" s="111"/>
      <c r="E94" s="134"/>
      <c r="F94" s="134"/>
      <c r="G94" s="134"/>
      <c r="H94" s="134"/>
      <c r="I94" s="134"/>
      <c r="J94" s="134"/>
      <c r="K94" s="90"/>
      <c r="L94" s="90"/>
      <c r="M94" s="111"/>
      <c r="N94" s="111"/>
      <c r="O94" s="134"/>
      <c r="P94" s="134"/>
      <c r="Q94" s="134"/>
      <c r="R94" s="79"/>
      <c r="S94" s="134"/>
      <c r="T94" s="134"/>
      <c r="U94" s="134"/>
      <c r="V94" s="135"/>
      <c r="W94" s="134"/>
      <c r="X94" s="80"/>
      <c r="Y94" s="134"/>
      <c r="Z94" s="80"/>
      <c r="AA94" s="80">
        <f t="shared" si="2"/>
        <v>0</v>
      </c>
      <c r="AB94" s="80">
        <f t="shared" si="3"/>
        <v>0</v>
      </c>
      <c r="AC94" s="136"/>
      <c r="AD94">
        <v>0.1</v>
      </c>
      <c r="AE94" s="134"/>
      <c r="AG94" s="134"/>
    </row>
    <row r="95" spans="1:34" x14ac:dyDescent="0.2">
      <c r="A95" s="86"/>
      <c r="B95" s="87"/>
      <c r="C95" s="87" t="s">
        <v>58</v>
      </c>
      <c r="D95" s="137">
        <v>1</v>
      </c>
      <c r="E95" s="134"/>
      <c r="F95" s="134"/>
      <c r="G95" s="134"/>
      <c r="H95" s="134"/>
      <c r="I95" s="134"/>
      <c r="J95" s="138">
        <v>16304.212980000004</v>
      </c>
      <c r="K95" s="74">
        <f>ROUND('26.08.22'!K91*1.04,2)</f>
        <v>23402.77</v>
      </c>
      <c r="L95" s="105" t="s">
        <v>94</v>
      </c>
      <c r="M95" s="139">
        <v>20</v>
      </c>
      <c r="N95" s="137"/>
      <c r="O95" s="78">
        <f>ROUND((K95*M95/100),2)</f>
        <v>4680.55</v>
      </c>
      <c r="P95" s="78">
        <f>ROUND(K95*1.24,2)</f>
        <v>29019.43</v>
      </c>
      <c r="Q95" s="78">
        <f>K95*T95</f>
        <v>36040.265800000001</v>
      </c>
      <c r="R95" s="79">
        <f>K95+O95+P95+Q95</f>
        <v>93143.015799999994</v>
      </c>
      <c r="S95" s="78">
        <f>ROUND(K95*S$12,2)</f>
        <v>5850.69</v>
      </c>
      <c r="T95" s="78">
        <v>1.54</v>
      </c>
      <c r="U95" s="78">
        <f>K95+O95+P95+Q95+S95</f>
        <v>98993.705799999996</v>
      </c>
      <c r="V95" s="79">
        <f t="shared" ref="V95:V158" si="67">R95*0.87</f>
        <v>81034.423746</v>
      </c>
      <c r="W95" s="78">
        <f t="shared" ref="W95:W158" si="68">U95*0.87</f>
        <v>86124.524045999991</v>
      </c>
      <c r="X95" s="80">
        <v>3</v>
      </c>
      <c r="Y95" s="78">
        <v>3</v>
      </c>
      <c r="Z95" s="80">
        <f t="shared" si="1"/>
        <v>0</v>
      </c>
      <c r="AA95" s="80">
        <f t="shared" si="2"/>
        <v>0</v>
      </c>
      <c r="AB95" s="80">
        <f t="shared" si="3"/>
        <v>70208.31</v>
      </c>
      <c r="AC95" s="80"/>
      <c r="AD95">
        <v>0.1</v>
      </c>
      <c r="AE95" s="78">
        <f t="shared" si="4"/>
        <v>2340.277</v>
      </c>
      <c r="AF95">
        <v>0.2</v>
      </c>
      <c r="AG95" s="78">
        <f t="shared" si="5"/>
        <v>4680.5540000000001</v>
      </c>
    </row>
    <row r="96" spans="1:34" x14ac:dyDescent="0.2">
      <c r="A96" s="86"/>
      <c r="B96" s="87"/>
      <c r="C96" s="107" t="s">
        <v>45</v>
      </c>
      <c r="D96" s="137">
        <v>1</v>
      </c>
      <c r="E96" s="134"/>
      <c r="F96" s="134"/>
      <c r="G96" s="134"/>
      <c r="H96" s="134"/>
      <c r="I96" s="134"/>
      <c r="J96" s="138">
        <v>12467.933060000001</v>
      </c>
      <c r="K96" s="74">
        <f>ROUND('26.08.22'!K92*1.04,2)</f>
        <v>17896.259999999998</v>
      </c>
      <c r="L96" s="75" t="s">
        <v>95</v>
      </c>
      <c r="M96" s="76">
        <v>30</v>
      </c>
      <c r="N96" s="76"/>
      <c r="O96" s="78">
        <f>ROUND((K96*M96/100),2)</f>
        <v>5368.88</v>
      </c>
      <c r="P96" s="78">
        <f>ROUND(K96*1.14,2)</f>
        <v>20401.740000000002</v>
      </c>
      <c r="Q96" s="78">
        <f>K96*T96</f>
        <v>27560.240399999999</v>
      </c>
      <c r="R96" s="79">
        <f>K96+O96+P96+Q96</f>
        <v>71227.1204</v>
      </c>
      <c r="S96" s="78">
        <f>ROUND(K96*S$12,2)</f>
        <v>4474.07</v>
      </c>
      <c r="T96" s="78">
        <v>1.54</v>
      </c>
      <c r="U96" s="78">
        <f>K96+O96+P96+Q96+S96</f>
        <v>75701.190399999992</v>
      </c>
      <c r="V96" s="79">
        <f t="shared" si="67"/>
        <v>61967.594747999996</v>
      </c>
      <c r="W96" s="78">
        <f t="shared" si="68"/>
        <v>65860.03564799999</v>
      </c>
      <c r="X96" s="80">
        <v>3</v>
      </c>
      <c r="Y96" s="78"/>
      <c r="Z96" s="80">
        <f t="shared" ref="Z96:Z159" si="69">X96-Y96</f>
        <v>3</v>
      </c>
      <c r="AA96" s="80">
        <f t="shared" ref="AA96:AA159" si="70">K96*Z96</f>
        <v>53688.78</v>
      </c>
      <c r="AB96" s="80">
        <f t="shared" ref="AB96:AB159" si="71">K96*Y96</f>
        <v>0</v>
      </c>
      <c r="AC96" s="80"/>
      <c r="AD96">
        <v>0.1</v>
      </c>
      <c r="AE96" s="78">
        <f t="shared" ref="AE96:AE159" si="72">K96*AD96</f>
        <v>1789.626</v>
      </c>
      <c r="AF96">
        <v>0.2</v>
      </c>
      <c r="AG96" s="78">
        <f t="shared" ref="AG96:AG135" si="73">AF96*K96</f>
        <v>3579.252</v>
      </c>
    </row>
    <row r="97" spans="1:33" x14ac:dyDescent="0.2">
      <c r="A97" s="86"/>
      <c r="B97" s="87"/>
      <c r="C97" s="87" t="s">
        <v>96</v>
      </c>
      <c r="D97" s="111">
        <f>SUM(D95:D96)</f>
        <v>2</v>
      </c>
      <c r="E97" s="134"/>
      <c r="F97" s="134"/>
      <c r="G97" s="134"/>
      <c r="H97" s="134"/>
      <c r="I97" s="134"/>
      <c r="J97" s="134">
        <v>28772.146040000007</v>
      </c>
      <c r="K97" s="90">
        <f>SUM(K95:K96)</f>
        <v>41299.03</v>
      </c>
      <c r="L97" s="90"/>
      <c r="M97" s="90"/>
      <c r="N97" s="90">
        <f t="shared" ref="N97:W97" si="74">SUM(N95:N96)</f>
        <v>0</v>
      </c>
      <c r="O97" s="90">
        <f t="shared" si="74"/>
        <v>10049.43</v>
      </c>
      <c r="P97" s="90">
        <f t="shared" si="74"/>
        <v>49421.17</v>
      </c>
      <c r="Q97" s="90">
        <f t="shared" si="74"/>
        <v>63600.506200000003</v>
      </c>
      <c r="R97" s="90">
        <f t="shared" si="74"/>
        <v>164370.13620000001</v>
      </c>
      <c r="S97" s="90">
        <f t="shared" si="74"/>
        <v>10324.759999999998</v>
      </c>
      <c r="T97" s="90"/>
      <c r="U97" s="90">
        <f t="shared" si="74"/>
        <v>174694.89619999999</v>
      </c>
      <c r="V97" s="90">
        <f t="shared" si="74"/>
        <v>143002.01849399999</v>
      </c>
      <c r="W97" s="90">
        <f t="shared" si="74"/>
        <v>151984.559694</v>
      </c>
      <c r="X97" s="80"/>
      <c r="Y97" s="90"/>
      <c r="Z97" s="80"/>
      <c r="AA97" s="80">
        <f t="shared" si="70"/>
        <v>0</v>
      </c>
      <c r="AB97" s="80">
        <f t="shared" si="71"/>
        <v>0</v>
      </c>
      <c r="AC97" s="91"/>
      <c r="AD97">
        <v>0.1</v>
      </c>
      <c r="AE97" s="89">
        <f t="shared" si="72"/>
        <v>4129.9030000000002</v>
      </c>
      <c r="AF97">
        <v>0.2</v>
      </c>
      <c r="AG97" s="89">
        <f t="shared" si="73"/>
        <v>8259.8060000000005</v>
      </c>
    </row>
    <row r="98" spans="1:33" ht="32.25" customHeight="1" x14ac:dyDescent="0.2">
      <c r="A98" s="59" t="s">
        <v>97</v>
      </c>
      <c r="B98" s="93"/>
      <c r="C98" s="93"/>
      <c r="D98" s="111"/>
      <c r="E98" s="95"/>
      <c r="F98" s="95"/>
      <c r="G98" s="95"/>
      <c r="H98" s="95"/>
      <c r="I98" s="95"/>
      <c r="J98" s="95"/>
      <c r="K98" s="90"/>
      <c r="L98" s="90"/>
      <c r="M98" s="97"/>
      <c r="N98" s="97"/>
      <c r="O98" s="98"/>
      <c r="P98" s="99" t="s">
        <v>40</v>
      </c>
      <c r="Q98" s="66" t="s">
        <v>57</v>
      </c>
      <c r="R98" s="79"/>
      <c r="S98" s="98"/>
      <c r="T98" s="99"/>
      <c r="U98" s="98"/>
      <c r="V98" s="100"/>
      <c r="W98" s="98"/>
      <c r="X98" s="80"/>
      <c r="Y98" s="98"/>
      <c r="Z98" s="80"/>
      <c r="AA98" s="80">
        <f t="shared" si="70"/>
        <v>0</v>
      </c>
      <c r="AB98" s="80">
        <f t="shared" si="71"/>
        <v>0</v>
      </c>
      <c r="AC98" s="101"/>
      <c r="AD98">
        <v>0.1</v>
      </c>
      <c r="AE98" s="98"/>
      <c r="AG98" s="98"/>
    </row>
    <row r="99" spans="1:33" x14ac:dyDescent="0.2">
      <c r="A99" s="102"/>
      <c r="B99" s="87"/>
      <c r="C99" s="87" t="s">
        <v>58</v>
      </c>
      <c r="D99" s="108">
        <v>1</v>
      </c>
      <c r="E99" s="118">
        <v>8500</v>
      </c>
      <c r="F99" s="74">
        <f t="shared" ref="F99:F108" si="75">ROUND(E99*F$12,2)</f>
        <v>9350</v>
      </c>
      <c r="G99" s="74">
        <f>F99*1.1*1.1+0.5</f>
        <v>11314.000000000002</v>
      </c>
      <c r="H99" s="74">
        <v>13983.03</v>
      </c>
      <c r="I99" s="74">
        <f t="shared" ref="I99:I108" si="76">H99*$I$12</f>
        <v>15381.333000000002</v>
      </c>
      <c r="J99" s="74">
        <v>16304.212980000004</v>
      </c>
      <c r="K99" s="74">
        <f>ROUND('26.08.22'!K95*1.04,2)</f>
        <v>23402.77</v>
      </c>
      <c r="L99" s="105" t="s">
        <v>98</v>
      </c>
      <c r="M99" s="76">
        <v>30</v>
      </c>
      <c r="N99" s="76"/>
      <c r="O99" s="78">
        <f>ROUND((K99*M99/100),2)</f>
        <v>7020.83</v>
      </c>
      <c r="P99" s="78">
        <f>ROUND(K99*1.24,2)</f>
        <v>29019.43</v>
      </c>
      <c r="Q99" s="78">
        <f>K99*T99</f>
        <v>36040.265800000001</v>
      </c>
      <c r="R99" s="79">
        <f>K99+O99+P99+Q99</f>
        <v>95483.295799999993</v>
      </c>
      <c r="S99" s="78">
        <f>ROUND(K99*S$12,2)</f>
        <v>5850.69</v>
      </c>
      <c r="T99" s="78">
        <v>1.54</v>
      </c>
      <c r="U99" s="78">
        <f>K99+O99+P99+Q99+S99</f>
        <v>101333.98579999999</v>
      </c>
      <c r="V99" s="79">
        <f t="shared" si="67"/>
        <v>83070.46734599999</v>
      </c>
      <c r="W99" s="78">
        <f t="shared" si="68"/>
        <v>88160.567645999996</v>
      </c>
      <c r="X99" s="80">
        <v>3</v>
      </c>
      <c r="Y99" s="78"/>
      <c r="Z99" s="80">
        <f t="shared" si="69"/>
        <v>3</v>
      </c>
      <c r="AA99" s="80">
        <f t="shared" si="70"/>
        <v>70208.31</v>
      </c>
      <c r="AB99" s="80">
        <f t="shared" si="71"/>
        <v>0</v>
      </c>
      <c r="AC99" s="80"/>
      <c r="AD99">
        <v>0.1</v>
      </c>
      <c r="AE99" s="78">
        <f t="shared" si="72"/>
        <v>2340.277</v>
      </c>
      <c r="AF99">
        <v>0.2</v>
      </c>
      <c r="AG99" s="78">
        <f t="shared" si="73"/>
        <v>4680.5540000000001</v>
      </c>
    </row>
    <row r="100" spans="1:33" ht="21.75" customHeight="1" x14ac:dyDescent="0.2">
      <c r="A100" s="102"/>
      <c r="B100" s="107"/>
      <c r="C100" s="82" t="s">
        <v>99</v>
      </c>
      <c r="D100" s="72">
        <v>1</v>
      </c>
      <c r="E100" s="73">
        <v>7700</v>
      </c>
      <c r="F100" s="74">
        <f t="shared" si="75"/>
        <v>8470</v>
      </c>
      <c r="G100" s="74">
        <f>F100*1.1*1.1+0.3</f>
        <v>10249</v>
      </c>
      <c r="H100" s="74">
        <v>12666.98</v>
      </c>
      <c r="I100" s="74">
        <f t="shared" si="76"/>
        <v>13933.678</v>
      </c>
      <c r="J100" s="74">
        <v>14769.698680000001</v>
      </c>
      <c r="K100" s="74">
        <f>ROUND('26.08.22'!K96*1.04,2)</f>
        <v>21200.16</v>
      </c>
      <c r="L100" s="75" t="s">
        <v>103</v>
      </c>
      <c r="M100" s="83">
        <v>30</v>
      </c>
      <c r="N100" s="76"/>
      <c r="O100" s="78">
        <f t="shared" ref="O100:O108" si="77">ROUND((K100*M100/100),2)</f>
        <v>6360.05</v>
      </c>
      <c r="P100" s="78">
        <f>ROUND(K100*1.14,2)</f>
        <v>24168.18</v>
      </c>
      <c r="Q100" s="78">
        <f t="shared" ref="Q100:Q108" si="78">K100*T100</f>
        <v>32648.2464</v>
      </c>
      <c r="R100" s="79">
        <f t="shared" ref="R100:R134" si="79">K100+O100+P100+Q100</f>
        <v>84376.636400000003</v>
      </c>
      <c r="S100" s="78">
        <f t="shared" ref="S100:S134" si="80">ROUND(K100*S$12,2)</f>
        <v>5300.04</v>
      </c>
      <c r="T100" s="78">
        <v>1.54</v>
      </c>
      <c r="U100" s="78">
        <f t="shared" ref="U100:U134" si="81">K100+O100+P100+Q100+S100</f>
        <v>89676.676399999997</v>
      </c>
      <c r="V100" s="79">
        <f t="shared" si="67"/>
        <v>73407.673668000003</v>
      </c>
      <c r="W100" s="78">
        <f t="shared" si="68"/>
        <v>78018.708467999997</v>
      </c>
      <c r="X100" s="80">
        <v>3</v>
      </c>
      <c r="Y100" s="78"/>
      <c r="Z100" s="80">
        <f t="shared" si="69"/>
        <v>3</v>
      </c>
      <c r="AA100" s="80">
        <f t="shared" si="70"/>
        <v>63600.479999999996</v>
      </c>
      <c r="AB100" s="80">
        <f t="shared" si="71"/>
        <v>0</v>
      </c>
      <c r="AC100" s="80"/>
      <c r="AD100">
        <v>0.1</v>
      </c>
      <c r="AE100" s="78">
        <f t="shared" si="72"/>
        <v>2120.0160000000001</v>
      </c>
      <c r="AF100">
        <v>0.2</v>
      </c>
      <c r="AG100" s="78">
        <f t="shared" si="73"/>
        <v>4240.0320000000002</v>
      </c>
    </row>
    <row r="101" spans="1:33" x14ac:dyDescent="0.2">
      <c r="A101" s="102">
        <f>K102/2</f>
        <v>8948.1299999999992</v>
      </c>
      <c r="B101" s="107"/>
      <c r="C101" s="107" t="s">
        <v>45</v>
      </c>
      <c r="D101" s="109">
        <v>1</v>
      </c>
      <c r="E101" s="73">
        <v>6500</v>
      </c>
      <c r="F101" s="74">
        <f t="shared" si="75"/>
        <v>7150</v>
      </c>
      <c r="G101" s="74">
        <f>F101*1.1*1.1+0.5</f>
        <v>8652.0000000000018</v>
      </c>
      <c r="H101" s="74">
        <v>10692.91</v>
      </c>
      <c r="I101" s="74">
        <f t="shared" si="76"/>
        <v>11762.201000000001</v>
      </c>
      <c r="J101" s="74">
        <v>12467.933060000001</v>
      </c>
      <c r="K101" s="74">
        <f>ROUND('26.08.22'!K97*1.04,2)</f>
        <v>17896.259999999998</v>
      </c>
      <c r="L101" s="75" t="s">
        <v>100</v>
      </c>
      <c r="M101" s="76">
        <v>30</v>
      </c>
      <c r="N101" s="76"/>
      <c r="O101" s="78">
        <f t="shared" si="77"/>
        <v>5368.88</v>
      </c>
      <c r="P101" s="78">
        <f t="shared" ref="P101:P108" si="82">ROUND(K101*1.14,2)</f>
        <v>20401.740000000002</v>
      </c>
      <c r="Q101" s="78">
        <f>K101*T101</f>
        <v>27560.240399999999</v>
      </c>
      <c r="R101" s="79">
        <f t="shared" si="79"/>
        <v>71227.1204</v>
      </c>
      <c r="S101" s="78">
        <f t="shared" si="80"/>
        <v>4474.07</v>
      </c>
      <c r="T101" s="78">
        <v>1.54</v>
      </c>
      <c r="U101" s="78">
        <f t="shared" si="81"/>
        <v>75701.190399999992</v>
      </c>
      <c r="V101" s="79">
        <f t="shared" si="67"/>
        <v>61967.594747999996</v>
      </c>
      <c r="W101" s="78">
        <f t="shared" si="68"/>
        <v>65860.03564799999</v>
      </c>
      <c r="X101" s="80">
        <v>3</v>
      </c>
      <c r="Y101" s="78">
        <v>2</v>
      </c>
      <c r="Z101" s="80">
        <f t="shared" si="69"/>
        <v>1</v>
      </c>
      <c r="AA101" s="80">
        <f t="shared" si="70"/>
        <v>17896.259999999998</v>
      </c>
      <c r="AB101" s="80">
        <f t="shared" si="71"/>
        <v>35792.519999999997</v>
      </c>
      <c r="AC101" s="80"/>
      <c r="AD101">
        <v>0.1</v>
      </c>
      <c r="AE101" s="78">
        <f t="shared" si="72"/>
        <v>1789.626</v>
      </c>
      <c r="AF101">
        <v>0.2</v>
      </c>
      <c r="AG101" s="78">
        <f t="shared" si="73"/>
        <v>3579.252</v>
      </c>
    </row>
    <row r="102" spans="1:33" x14ac:dyDescent="0.2">
      <c r="A102" s="102"/>
      <c r="B102" s="107"/>
      <c r="C102" s="107" t="s">
        <v>45</v>
      </c>
      <c r="D102" s="109">
        <v>1</v>
      </c>
      <c r="E102" s="73"/>
      <c r="F102" s="74"/>
      <c r="G102" s="74"/>
      <c r="H102" s="74"/>
      <c r="I102" s="74"/>
      <c r="J102" s="74"/>
      <c r="K102" s="74">
        <f>ROUND('26.08.22'!K98*1.04,2)</f>
        <v>17896.259999999998</v>
      </c>
      <c r="L102" s="75" t="s">
        <v>101</v>
      </c>
      <c r="M102" s="76">
        <v>10</v>
      </c>
      <c r="N102" s="76"/>
      <c r="O102" s="78">
        <f t="shared" si="77"/>
        <v>1789.63</v>
      </c>
      <c r="P102" s="78">
        <f t="shared" si="82"/>
        <v>20401.740000000002</v>
      </c>
      <c r="Q102" s="78">
        <f t="shared" si="78"/>
        <v>27560.240399999999</v>
      </c>
      <c r="R102" s="79">
        <f t="shared" si="79"/>
        <v>67647.8704</v>
      </c>
      <c r="S102" s="78">
        <f t="shared" si="80"/>
        <v>4474.07</v>
      </c>
      <c r="T102" s="78">
        <v>1.54</v>
      </c>
      <c r="U102" s="78">
        <f t="shared" si="81"/>
        <v>72121.940399999992</v>
      </c>
      <c r="V102" s="79">
        <f t="shared" si="67"/>
        <v>58853.647248000001</v>
      </c>
      <c r="W102" s="78">
        <f t="shared" si="68"/>
        <v>62746.088147999995</v>
      </c>
      <c r="X102" s="80"/>
      <c r="Y102" s="78"/>
      <c r="Z102" s="80"/>
      <c r="AA102" s="80"/>
      <c r="AB102" s="80"/>
      <c r="AC102" s="80"/>
      <c r="AE102" s="78"/>
      <c r="AG102" s="78"/>
    </row>
    <row r="103" spans="1:33" x14ac:dyDescent="0.2">
      <c r="A103" s="102"/>
      <c r="B103" s="107"/>
      <c r="C103" s="107" t="s">
        <v>45</v>
      </c>
      <c r="D103" s="109">
        <v>1</v>
      </c>
      <c r="E103" s="73">
        <v>6500</v>
      </c>
      <c r="F103" s="74">
        <f>ROUND(E103*F$12,2)</f>
        <v>7150</v>
      </c>
      <c r="G103" s="74">
        <f>F103*1.1*1.1+0.5</f>
        <v>8652.0000000000018</v>
      </c>
      <c r="H103" s="74">
        <v>10692.91</v>
      </c>
      <c r="I103" s="74">
        <f>H103*$I$12</f>
        <v>11762.201000000001</v>
      </c>
      <c r="J103" s="74">
        <v>12467.933060000001</v>
      </c>
      <c r="K103" s="74">
        <f>ROUND('26.08.22'!K99*1.04,2)</f>
        <v>17896.259999999998</v>
      </c>
      <c r="L103" s="75" t="s">
        <v>102</v>
      </c>
      <c r="M103" s="83">
        <v>20</v>
      </c>
      <c r="N103" s="76"/>
      <c r="O103" s="78">
        <f>ROUND((K103*M103/100),2)</f>
        <v>3579.25</v>
      </c>
      <c r="P103" s="78">
        <f>ROUND(K103*1.14,2)</f>
        <v>20401.740000000002</v>
      </c>
      <c r="Q103" s="78">
        <f>K103*T103</f>
        <v>27560.240399999999</v>
      </c>
      <c r="R103" s="79">
        <f>K103+O103+P103+Q103</f>
        <v>69437.490399999995</v>
      </c>
      <c r="S103" s="78">
        <f>ROUND(K103*S$12,2)</f>
        <v>4474.07</v>
      </c>
      <c r="T103" s="78">
        <v>1.54</v>
      </c>
      <c r="U103" s="78">
        <f>K103+O103+P103+Q103+S103</f>
        <v>73911.560399999988</v>
      </c>
      <c r="V103" s="79">
        <f>R103*0.87</f>
        <v>60410.616647999996</v>
      </c>
      <c r="W103" s="78">
        <f>U103*0.87</f>
        <v>64303.05754799999</v>
      </c>
      <c r="X103" s="80">
        <v>3</v>
      </c>
      <c r="Y103" s="78">
        <v>3</v>
      </c>
      <c r="Z103" s="80">
        <f>X103-Y103</f>
        <v>0</v>
      </c>
      <c r="AA103" s="80">
        <f>K103*Z103</f>
        <v>0</v>
      </c>
      <c r="AB103" s="80">
        <f>K103*Y103</f>
        <v>53688.78</v>
      </c>
      <c r="AC103" s="80"/>
      <c r="AD103">
        <v>0.1</v>
      </c>
      <c r="AE103" s="78">
        <f>K103*AD103</f>
        <v>1789.626</v>
      </c>
      <c r="AF103">
        <v>0.2</v>
      </c>
      <c r="AG103" s="78">
        <f>AF103*K103</f>
        <v>3579.252</v>
      </c>
    </row>
    <row r="104" spans="1:33" x14ac:dyDescent="0.2">
      <c r="A104" s="102"/>
      <c r="B104" s="107"/>
      <c r="C104" s="107" t="s">
        <v>45</v>
      </c>
      <c r="D104" s="109">
        <v>1</v>
      </c>
      <c r="E104" s="73">
        <v>6500</v>
      </c>
      <c r="F104" s="74">
        <f>ROUND(E104*F$12,2)</f>
        <v>7150</v>
      </c>
      <c r="G104" s="74">
        <f>F104*1.1*1.1+0.5</f>
        <v>8652.0000000000018</v>
      </c>
      <c r="H104" s="74">
        <v>10692.91</v>
      </c>
      <c r="I104" s="74">
        <f>H104*$I$12</f>
        <v>11762.201000000001</v>
      </c>
      <c r="J104" s="74">
        <v>12467.933060000001</v>
      </c>
      <c r="K104" s="74">
        <v>17896.259999999998</v>
      </c>
      <c r="L104" s="105" t="s">
        <v>208</v>
      </c>
      <c r="M104" s="83">
        <v>30</v>
      </c>
      <c r="N104" s="83"/>
      <c r="O104" s="74">
        <f>ROUND((K104*M104/100),2)</f>
        <v>5368.88</v>
      </c>
      <c r="P104" s="74">
        <f>ROUND(K104*1.14,2)</f>
        <v>20401.740000000002</v>
      </c>
      <c r="Q104" s="74">
        <f>K104*T104</f>
        <v>27560.240399999999</v>
      </c>
      <c r="R104" s="79">
        <f>K104+O104+P104+Q104</f>
        <v>71227.1204</v>
      </c>
      <c r="S104" s="78">
        <f>ROUND(K104*S$12,2)</f>
        <v>4474.07</v>
      </c>
      <c r="T104" s="78">
        <v>1.54</v>
      </c>
      <c r="U104" s="78">
        <f>K104+O104+P104+Q104+S104</f>
        <v>75701.190399999992</v>
      </c>
      <c r="V104" s="79">
        <f>R104*0.87</f>
        <v>61967.594747999996</v>
      </c>
      <c r="W104" s="78">
        <f>U104*0.87</f>
        <v>65860.03564799999</v>
      </c>
      <c r="X104" s="80">
        <v>3</v>
      </c>
      <c r="Y104" s="78"/>
      <c r="Z104" s="80">
        <f>X104-Y104</f>
        <v>3</v>
      </c>
      <c r="AA104" s="80">
        <f>K104*Z104</f>
        <v>53688.78</v>
      </c>
      <c r="AB104" s="80">
        <f>K104*Y104</f>
        <v>0</v>
      </c>
      <c r="AC104" s="80"/>
      <c r="AD104">
        <v>0.1</v>
      </c>
      <c r="AE104" s="78">
        <f>K104*AD104</f>
        <v>1789.626</v>
      </c>
      <c r="AF104">
        <v>0.2</v>
      </c>
      <c r="AG104" s="78">
        <f>AF104*K104</f>
        <v>3579.252</v>
      </c>
    </row>
    <row r="105" spans="1:33" x14ac:dyDescent="0.2">
      <c r="A105" s="102"/>
      <c r="B105" s="107"/>
      <c r="C105" s="107" t="s">
        <v>45</v>
      </c>
      <c r="D105" s="109">
        <v>1</v>
      </c>
      <c r="E105" s="73">
        <v>6500</v>
      </c>
      <c r="F105" s="74">
        <f>ROUND(E105*F$12,2)</f>
        <v>7150</v>
      </c>
      <c r="G105" s="74">
        <f>F105*1.1*1.1+0.5</f>
        <v>8652.0000000000018</v>
      </c>
      <c r="H105" s="74">
        <v>10692.91</v>
      </c>
      <c r="I105" s="74">
        <f>H105*$I$12</f>
        <v>11762.201000000001</v>
      </c>
      <c r="J105" s="74">
        <v>12467.933060000001</v>
      </c>
      <c r="K105" s="74">
        <f>ROUND('26.08.22'!K101*1.04,2)</f>
        <v>17896.259999999998</v>
      </c>
      <c r="L105" s="105" t="s">
        <v>104</v>
      </c>
      <c r="M105" s="83">
        <v>20</v>
      </c>
      <c r="N105" s="76"/>
      <c r="O105" s="78">
        <f>ROUND((K105*M105/100),2)</f>
        <v>3579.25</v>
      </c>
      <c r="P105" s="78">
        <f>ROUND(K105*1.14,2)</f>
        <v>20401.740000000002</v>
      </c>
      <c r="Q105" s="78">
        <f>K105*T105</f>
        <v>27560.240399999999</v>
      </c>
      <c r="R105" s="79">
        <f>K105+O105+P105+Q105</f>
        <v>69437.490399999995</v>
      </c>
      <c r="S105" s="78">
        <f>ROUND(K105*S$12,2)</f>
        <v>4474.07</v>
      </c>
      <c r="T105" s="78">
        <v>1.54</v>
      </c>
      <c r="U105" s="78">
        <f>K105+O105+P105+Q105+S105</f>
        <v>73911.560399999988</v>
      </c>
      <c r="V105" s="79">
        <f>R105*0.87</f>
        <v>60410.616647999996</v>
      </c>
      <c r="W105" s="78">
        <f>U105*0.87</f>
        <v>64303.05754799999</v>
      </c>
      <c r="X105" s="80">
        <v>3</v>
      </c>
      <c r="Y105" s="78"/>
      <c r="Z105" s="80">
        <f>X105-Y105</f>
        <v>3</v>
      </c>
      <c r="AA105" s="80">
        <f>K105*Z105</f>
        <v>53688.78</v>
      </c>
      <c r="AB105" s="80">
        <f>K105*Y105</f>
        <v>0</v>
      </c>
      <c r="AC105" s="80"/>
      <c r="AD105">
        <v>0.1</v>
      </c>
      <c r="AE105" s="78">
        <f>K105*AD105</f>
        <v>1789.626</v>
      </c>
      <c r="AF105">
        <v>0.2</v>
      </c>
      <c r="AG105" s="78">
        <f>AF105*K105</f>
        <v>3579.252</v>
      </c>
    </row>
    <row r="106" spans="1:33" x14ac:dyDescent="0.2">
      <c r="A106" s="86" t="s">
        <v>0</v>
      </c>
      <c r="B106" s="107"/>
      <c r="C106" s="107" t="s">
        <v>48</v>
      </c>
      <c r="D106" s="109">
        <v>1</v>
      </c>
      <c r="E106" s="73">
        <v>5600</v>
      </c>
      <c r="F106" s="74">
        <f t="shared" si="75"/>
        <v>6160</v>
      </c>
      <c r="G106" s="74">
        <f>F106*1.1*1.1+0.4</f>
        <v>7454.0000000000009</v>
      </c>
      <c r="H106" s="74">
        <v>9212.35</v>
      </c>
      <c r="I106" s="74">
        <f t="shared" si="76"/>
        <v>10133.585000000001</v>
      </c>
      <c r="J106" s="74">
        <v>10741.600100000001</v>
      </c>
      <c r="K106" s="74">
        <f>ROUND('26.08.22'!K102*1.04,2)</f>
        <v>15418.33</v>
      </c>
      <c r="L106" s="105" t="s">
        <v>197</v>
      </c>
      <c r="M106" s="83">
        <v>30</v>
      </c>
      <c r="N106" s="83"/>
      <c r="O106" s="78">
        <f t="shared" si="77"/>
        <v>4625.5</v>
      </c>
      <c r="P106" s="78">
        <f t="shared" si="82"/>
        <v>17576.900000000001</v>
      </c>
      <c r="Q106" s="78">
        <f t="shared" si="78"/>
        <v>22202.395199999999</v>
      </c>
      <c r="R106" s="79">
        <f t="shared" si="79"/>
        <v>59823.125200000002</v>
      </c>
      <c r="S106" s="78">
        <f t="shared" si="80"/>
        <v>3854.58</v>
      </c>
      <c r="T106" s="78">
        <v>1.44</v>
      </c>
      <c r="U106" s="78">
        <f t="shared" si="81"/>
        <v>63677.705200000004</v>
      </c>
      <c r="V106" s="79">
        <f t="shared" si="67"/>
        <v>52046.118924000002</v>
      </c>
      <c r="W106" s="78">
        <f t="shared" si="68"/>
        <v>55399.603524000006</v>
      </c>
      <c r="X106" s="80">
        <v>3</v>
      </c>
      <c r="Y106" s="78"/>
      <c r="Z106" s="80">
        <f t="shared" si="69"/>
        <v>3</v>
      </c>
      <c r="AA106" s="80">
        <f t="shared" si="70"/>
        <v>46254.99</v>
      </c>
      <c r="AB106" s="80">
        <f t="shared" si="71"/>
        <v>0</v>
      </c>
      <c r="AC106" s="80"/>
      <c r="AD106">
        <v>0.1</v>
      </c>
      <c r="AE106" s="78">
        <f t="shared" si="72"/>
        <v>1541.8330000000001</v>
      </c>
      <c r="AF106">
        <v>0.2</v>
      </c>
      <c r="AG106" s="78">
        <f t="shared" si="73"/>
        <v>3083.6660000000002</v>
      </c>
    </row>
    <row r="107" spans="1:33" ht="12" customHeight="1" x14ac:dyDescent="0.2">
      <c r="A107" s="102"/>
      <c r="B107" s="107"/>
      <c r="C107" s="107" t="s">
        <v>48</v>
      </c>
      <c r="D107" s="109">
        <v>1</v>
      </c>
      <c r="E107" s="73">
        <v>5600</v>
      </c>
      <c r="F107" s="74">
        <f t="shared" si="75"/>
        <v>6160</v>
      </c>
      <c r="G107" s="74">
        <f>F107*1.1*1.1+0.4</f>
        <v>7454.0000000000009</v>
      </c>
      <c r="H107" s="74">
        <v>9212.35</v>
      </c>
      <c r="I107" s="74">
        <f t="shared" si="76"/>
        <v>10133.585000000001</v>
      </c>
      <c r="J107" s="74">
        <v>10741.600100000001</v>
      </c>
      <c r="K107" s="74">
        <f>ROUND('26.08.22'!K103*1.04,2)</f>
        <v>15418.33</v>
      </c>
      <c r="L107" s="75" t="s">
        <v>105</v>
      </c>
      <c r="M107" s="76">
        <v>30</v>
      </c>
      <c r="N107" s="76"/>
      <c r="O107" s="78">
        <f t="shared" si="77"/>
        <v>4625.5</v>
      </c>
      <c r="P107" s="78">
        <f t="shared" si="82"/>
        <v>17576.900000000001</v>
      </c>
      <c r="Q107" s="78">
        <f t="shared" si="78"/>
        <v>22202.395199999999</v>
      </c>
      <c r="R107" s="79">
        <f t="shared" si="79"/>
        <v>59823.125200000002</v>
      </c>
      <c r="S107" s="78">
        <f t="shared" si="80"/>
        <v>3854.58</v>
      </c>
      <c r="T107" s="78">
        <v>1.44</v>
      </c>
      <c r="U107" s="78">
        <f t="shared" si="81"/>
        <v>63677.705200000004</v>
      </c>
      <c r="V107" s="79">
        <f t="shared" si="67"/>
        <v>52046.118924000002</v>
      </c>
      <c r="W107" s="78">
        <f t="shared" si="68"/>
        <v>55399.603524000006</v>
      </c>
      <c r="X107" s="80">
        <v>3</v>
      </c>
      <c r="Y107" s="78">
        <v>3</v>
      </c>
      <c r="Z107" s="80">
        <f t="shared" si="69"/>
        <v>0</v>
      </c>
      <c r="AA107" s="80">
        <f t="shared" si="70"/>
        <v>0</v>
      </c>
      <c r="AB107" s="80">
        <f t="shared" si="71"/>
        <v>46254.99</v>
      </c>
      <c r="AC107" s="80"/>
      <c r="AD107">
        <v>0.1</v>
      </c>
      <c r="AE107" s="78">
        <f t="shared" si="72"/>
        <v>1541.8330000000001</v>
      </c>
      <c r="AF107">
        <v>0.2</v>
      </c>
      <c r="AG107" s="78">
        <f t="shared" si="73"/>
        <v>3083.6660000000002</v>
      </c>
    </row>
    <row r="108" spans="1:33" x14ac:dyDescent="0.2">
      <c r="A108" s="102"/>
      <c r="B108" s="107"/>
      <c r="C108" s="107" t="s">
        <v>45</v>
      </c>
      <c r="D108" s="109">
        <v>1</v>
      </c>
      <c r="E108" s="73">
        <v>5600</v>
      </c>
      <c r="F108" s="74">
        <f t="shared" si="75"/>
        <v>6160</v>
      </c>
      <c r="G108" s="74">
        <f>F108*1.1*1.1+0.4</f>
        <v>7454.0000000000009</v>
      </c>
      <c r="H108" s="74">
        <v>9212.35</v>
      </c>
      <c r="I108" s="74">
        <f t="shared" si="76"/>
        <v>10133.585000000001</v>
      </c>
      <c r="J108" s="74">
        <v>10741.600100000001</v>
      </c>
      <c r="K108" s="74">
        <f>ROUND('26.08.22'!K104*1.04,2)</f>
        <v>17896.259999999998</v>
      </c>
      <c r="L108" s="75" t="s">
        <v>106</v>
      </c>
      <c r="M108" s="83">
        <v>30</v>
      </c>
      <c r="N108" s="76"/>
      <c r="O108" s="78">
        <f t="shared" si="77"/>
        <v>5368.88</v>
      </c>
      <c r="P108" s="78">
        <f t="shared" si="82"/>
        <v>20401.740000000002</v>
      </c>
      <c r="Q108" s="78">
        <f t="shared" si="78"/>
        <v>27560.240399999999</v>
      </c>
      <c r="R108" s="79">
        <f t="shared" si="79"/>
        <v>71227.1204</v>
      </c>
      <c r="S108" s="78">
        <f t="shared" si="80"/>
        <v>4474.07</v>
      </c>
      <c r="T108" s="78">
        <v>1.54</v>
      </c>
      <c r="U108" s="78">
        <f t="shared" si="81"/>
        <v>75701.190399999992</v>
      </c>
      <c r="V108" s="79">
        <f t="shared" si="67"/>
        <v>61967.594747999996</v>
      </c>
      <c r="W108" s="78">
        <f t="shared" si="68"/>
        <v>65860.03564799999</v>
      </c>
      <c r="X108" s="80">
        <v>3</v>
      </c>
      <c r="Y108" s="78">
        <v>3</v>
      </c>
      <c r="Z108" s="80">
        <f t="shared" si="69"/>
        <v>0</v>
      </c>
      <c r="AA108" s="80">
        <f t="shared" si="70"/>
        <v>0</v>
      </c>
      <c r="AB108" s="80">
        <f t="shared" si="71"/>
        <v>53688.78</v>
      </c>
      <c r="AC108" s="80"/>
      <c r="AD108">
        <v>0.1</v>
      </c>
      <c r="AE108" s="78">
        <f t="shared" si="72"/>
        <v>1789.626</v>
      </c>
      <c r="AF108">
        <v>0.2</v>
      </c>
      <c r="AG108" s="78">
        <f t="shared" si="73"/>
        <v>3579.252</v>
      </c>
    </row>
    <row r="109" spans="1:33" x14ac:dyDescent="0.2">
      <c r="A109" s="102"/>
      <c r="B109" s="87"/>
      <c r="C109" s="87" t="s">
        <v>96</v>
      </c>
      <c r="D109" s="111">
        <f t="shared" ref="D109:I109" si="83">SUM(D99:D108)</f>
        <v>10</v>
      </c>
      <c r="E109" s="95">
        <f t="shared" si="83"/>
        <v>59000</v>
      </c>
      <c r="F109" s="95">
        <f t="shared" si="83"/>
        <v>64900</v>
      </c>
      <c r="G109" s="95">
        <f t="shared" si="83"/>
        <v>78533</v>
      </c>
      <c r="H109" s="95">
        <f t="shared" si="83"/>
        <v>97058.700000000026</v>
      </c>
      <c r="I109" s="95">
        <f t="shared" si="83"/>
        <v>106764.57000000002</v>
      </c>
      <c r="J109" s="95">
        <v>113170.44420000001</v>
      </c>
      <c r="K109" s="90">
        <f>SUM(K99:K108)</f>
        <v>182817.14999999997</v>
      </c>
      <c r="L109" s="90"/>
      <c r="M109" s="90"/>
      <c r="N109" s="90">
        <f t="shared" ref="N109" si="84">SUM(N99:N108)</f>
        <v>0</v>
      </c>
      <c r="O109" s="90">
        <f>SUM(O99:O108)</f>
        <v>47686.65</v>
      </c>
      <c r="P109" s="90">
        <f t="shared" ref="P109:W109" si="85">SUM(P99:P108)</f>
        <v>210751.84999999998</v>
      </c>
      <c r="Q109" s="90">
        <f t="shared" si="85"/>
        <v>278454.745</v>
      </c>
      <c r="R109" s="90">
        <f t="shared" si="85"/>
        <v>719710.39500000002</v>
      </c>
      <c r="S109" s="90">
        <f t="shared" si="85"/>
        <v>45704.310000000005</v>
      </c>
      <c r="T109" s="90">
        <f t="shared" si="85"/>
        <v>15.2</v>
      </c>
      <c r="U109" s="90">
        <f t="shared" si="85"/>
        <v>765414.70499999973</v>
      </c>
      <c r="V109" s="90">
        <f t="shared" si="85"/>
        <v>626148.04365000001</v>
      </c>
      <c r="W109" s="90">
        <f t="shared" si="85"/>
        <v>665910.79335000005</v>
      </c>
      <c r="X109" s="80"/>
      <c r="Y109" s="90"/>
      <c r="Z109" s="80"/>
      <c r="AA109" s="80">
        <f t="shared" si="70"/>
        <v>0</v>
      </c>
      <c r="AB109" s="80">
        <f t="shared" si="71"/>
        <v>0</v>
      </c>
      <c r="AC109" s="91"/>
      <c r="AD109">
        <v>0.1</v>
      </c>
      <c r="AE109" s="95">
        <f t="shared" si="72"/>
        <v>18281.714999999997</v>
      </c>
      <c r="AF109">
        <v>0.2</v>
      </c>
      <c r="AG109" s="95">
        <f t="shared" si="73"/>
        <v>36563.429999999993</v>
      </c>
    </row>
    <row r="110" spans="1:33" ht="19.5" customHeight="1" x14ac:dyDescent="0.2">
      <c r="A110" s="59" t="s">
        <v>107</v>
      </c>
      <c r="B110" s="93"/>
      <c r="C110" s="93"/>
      <c r="D110" s="94"/>
      <c r="E110" s="95"/>
      <c r="F110" s="95"/>
      <c r="G110" s="95"/>
      <c r="H110" s="95"/>
      <c r="I110" s="95"/>
      <c r="J110" s="95"/>
      <c r="K110" s="90"/>
      <c r="L110" s="96"/>
      <c r="M110" s="97"/>
      <c r="N110" s="97"/>
      <c r="O110" s="98"/>
      <c r="P110" s="99" t="s">
        <v>108</v>
      </c>
      <c r="Q110" s="66" t="s">
        <v>109</v>
      </c>
      <c r="R110" s="79"/>
      <c r="S110" s="98"/>
      <c r="T110" s="99"/>
      <c r="U110" s="98"/>
      <c r="V110" s="100"/>
      <c r="W110" s="98"/>
      <c r="X110" s="80"/>
      <c r="Y110" s="98"/>
      <c r="Z110" s="80"/>
      <c r="AA110" s="80">
        <f t="shared" si="70"/>
        <v>0</v>
      </c>
      <c r="AB110" s="80">
        <f t="shared" si="71"/>
        <v>0</v>
      </c>
      <c r="AC110" s="101"/>
      <c r="AD110">
        <v>0.1</v>
      </c>
      <c r="AE110" s="98"/>
      <c r="AG110" s="98"/>
    </row>
    <row r="111" spans="1:33" x14ac:dyDescent="0.2">
      <c r="A111" s="102"/>
      <c r="B111" s="87"/>
      <c r="C111" s="87" t="s">
        <v>58</v>
      </c>
      <c r="D111" s="72">
        <v>1</v>
      </c>
      <c r="E111" s="73">
        <v>8500</v>
      </c>
      <c r="F111" s="74">
        <f t="shared" ref="F111:F120" si="86">ROUND(E111*F$12,2)</f>
        <v>9350</v>
      </c>
      <c r="G111" s="74">
        <f>F111*1.1*1.1+0.5</f>
        <v>11314.000000000002</v>
      </c>
      <c r="H111" s="74">
        <v>13983.03</v>
      </c>
      <c r="I111" s="74">
        <f t="shared" ref="I111:I120" si="87">H111*$I$12</f>
        <v>15381.333000000002</v>
      </c>
      <c r="J111" s="74">
        <v>16304.212980000004</v>
      </c>
      <c r="K111" s="74">
        <f>ROUND('26.08.22'!K107*1.04,2)</f>
        <v>23402.77</v>
      </c>
      <c r="L111" s="105" t="s">
        <v>110</v>
      </c>
      <c r="M111" s="76">
        <v>30</v>
      </c>
      <c r="N111" s="76"/>
      <c r="O111" s="78">
        <f>ROUND((K111*M111/100),2)</f>
        <v>7020.83</v>
      </c>
      <c r="P111" s="78">
        <f>ROUND(K111*1.24,2)</f>
        <v>29019.43</v>
      </c>
      <c r="Q111" s="78">
        <f>K111*T111</f>
        <v>36040.265800000001</v>
      </c>
      <c r="R111" s="79">
        <f t="shared" si="79"/>
        <v>95483.295799999993</v>
      </c>
      <c r="S111" s="78">
        <f t="shared" si="80"/>
        <v>5850.69</v>
      </c>
      <c r="T111" s="78">
        <v>1.54</v>
      </c>
      <c r="U111" s="78">
        <f t="shared" si="81"/>
        <v>101333.98579999999</v>
      </c>
      <c r="V111" s="79">
        <f t="shared" si="67"/>
        <v>83070.46734599999</v>
      </c>
      <c r="W111" s="78">
        <f t="shared" si="68"/>
        <v>88160.567645999996</v>
      </c>
      <c r="X111" s="80">
        <v>3</v>
      </c>
      <c r="Y111" s="78">
        <v>3</v>
      </c>
      <c r="Z111" s="80">
        <f t="shared" si="69"/>
        <v>0</v>
      </c>
      <c r="AA111" s="80">
        <f t="shared" si="70"/>
        <v>0</v>
      </c>
      <c r="AB111" s="80">
        <f t="shared" si="71"/>
        <v>70208.31</v>
      </c>
      <c r="AC111" s="80"/>
      <c r="AD111">
        <v>0.1</v>
      </c>
      <c r="AE111" s="78">
        <f t="shared" si="72"/>
        <v>2340.277</v>
      </c>
      <c r="AF111">
        <v>0.2</v>
      </c>
      <c r="AG111" s="78">
        <f t="shared" si="73"/>
        <v>4680.5540000000001</v>
      </c>
    </row>
    <row r="112" spans="1:33" ht="16.5" customHeight="1" x14ac:dyDescent="0.2">
      <c r="A112" s="102"/>
      <c r="B112" s="87"/>
      <c r="C112" s="82" t="s">
        <v>99</v>
      </c>
      <c r="D112" s="72">
        <v>1</v>
      </c>
      <c r="E112" s="73">
        <v>7700</v>
      </c>
      <c r="F112" s="74">
        <f t="shared" si="86"/>
        <v>8470</v>
      </c>
      <c r="G112" s="74">
        <f>F112*1.1*1.1+0.3</f>
        <v>10249</v>
      </c>
      <c r="H112" s="74">
        <v>12666.98</v>
      </c>
      <c r="I112" s="74">
        <f t="shared" si="87"/>
        <v>13933.678</v>
      </c>
      <c r="J112" s="74">
        <v>14769.698680000001</v>
      </c>
      <c r="K112" s="74">
        <f>ROUND('26.08.22'!K108*1.04,2)</f>
        <v>21200.16</v>
      </c>
      <c r="L112" s="75" t="s">
        <v>111</v>
      </c>
      <c r="M112" s="76">
        <v>30</v>
      </c>
      <c r="N112" s="76"/>
      <c r="O112" s="78">
        <f t="shared" ref="O112:O134" si="88">ROUND((K112*M112/100),2)</f>
        <v>6360.05</v>
      </c>
      <c r="P112" s="78">
        <f>ROUND(K112*1.14,2)</f>
        <v>24168.18</v>
      </c>
      <c r="Q112" s="78">
        <f t="shared" ref="Q112:Q134" si="89">K112*T112</f>
        <v>32648.2464</v>
      </c>
      <c r="R112" s="79">
        <f t="shared" si="79"/>
        <v>84376.636400000003</v>
      </c>
      <c r="S112" s="78">
        <f t="shared" si="80"/>
        <v>5300.04</v>
      </c>
      <c r="T112" s="78">
        <v>1.54</v>
      </c>
      <c r="U112" s="78">
        <f t="shared" si="81"/>
        <v>89676.676399999997</v>
      </c>
      <c r="V112" s="79">
        <f t="shared" si="67"/>
        <v>73407.673668000003</v>
      </c>
      <c r="W112" s="78">
        <f t="shared" si="68"/>
        <v>78018.708467999997</v>
      </c>
      <c r="X112" s="80">
        <v>3</v>
      </c>
      <c r="Y112" s="78">
        <v>3</v>
      </c>
      <c r="Z112" s="80">
        <f t="shared" si="69"/>
        <v>0</v>
      </c>
      <c r="AA112" s="80">
        <f t="shared" si="70"/>
        <v>0</v>
      </c>
      <c r="AB112" s="80">
        <f t="shared" si="71"/>
        <v>63600.479999999996</v>
      </c>
      <c r="AC112" s="80"/>
      <c r="AD112">
        <v>0.1</v>
      </c>
      <c r="AE112" s="78">
        <f t="shared" si="72"/>
        <v>2120.0160000000001</v>
      </c>
      <c r="AF112">
        <v>0.2</v>
      </c>
      <c r="AG112" s="78">
        <f t="shared" si="73"/>
        <v>4240.0320000000002</v>
      </c>
    </row>
    <row r="113" spans="1:33" x14ac:dyDescent="0.2">
      <c r="A113" s="102"/>
      <c r="B113" s="107"/>
      <c r="C113" s="107" t="s">
        <v>48</v>
      </c>
      <c r="D113" s="109">
        <v>1</v>
      </c>
      <c r="E113" s="73">
        <v>5600</v>
      </c>
      <c r="F113" s="74">
        <f t="shared" si="86"/>
        <v>6160</v>
      </c>
      <c r="G113" s="74">
        <f>F113*1.1*1.1+0.4</f>
        <v>7454.0000000000009</v>
      </c>
      <c r="H113" s="74">
        <v>9212.35</v>
      </c>
      <c r="I113" s="74">
        <f t="shared" si="87"/>
        <v>10133.585000000001</v>
      </c>
      <c r="J113" s="74">
        <v>10741.600100000001</v>
      </c>
      <c r="K113" s="74">
        <f>ROUND('26.08.22'!K109*1.04,2)</f>
        <v>15418.33</v>
      </c>
      <c r="L113" s="105" t="s">
        <v>196</v>
      </c>
      <c r="M113" s="76">
        <v>10</v>
      </c>
      <c r="N113" s="76"/>
      <c r="O113" s="78">
        <f t="shared" si="88"/>
        <v>1541.83</v>
      </c>
      <c r="P113" s="78">
        <f>ROUND(K113*1.14,2)</f>
        <v>17576.900000000001</v>
      </c>
      <c r="Q113" s="78">
        <f t="shared" si="89"/>
        <v>22202.395199999999</v>
      </c>
      <c r="R113" s="79">
        <f t="shared" si="79"/>
        <v>56739.455199999997</v>
      </c>
      <c r="S113" s="78">
        <f t="shared" si="80"/>
        <v>3854.58</v>
      </c>
      <c r="T113" s="78">
        <v>1.44</v>
      </c>
      <c r="U113" s="78">
        <f t="shared" si="81"/>
        <v>60594.035199999998</v>
      </c>
      <c r="V113" s="79">
        <f t="shared" si="67"/>
        <v>49363.326023999995</v>
      </c>
      <c r="W113" s="78">
        <f t="shared" si="68"/>
        <v>52716.810623999998</v>
      </c>
      <c r="X113" s="80">
        <v>3</v>
      </c>
      <c r="Y113" s="78">
        <v>3</v>
      </c>
      <c r="Z113" s="80">
        <f t="shared" si="69"/>
        <v>0</v>
      </c>
      <c r="AA113" s="80">
        <f t="shared" si="70"/>
        <v>0</v>
      </c>
      <c r="AB113" s="80">
        <f t="shared" si="71"/>
        <v>46254.99</v>
      </c>
      <c r="AC113" s="80"/>
      <c r="AD113">
        <v>0.1</v>
      </c>
      <c r="AE113" s="78">
        <f t="shared" si="72"/>
        <v>1541.8330000000001</v>
      </c>
      <c r="AF113">
        <v>0.2</v>
      </c>
      <c r="AG113" s="78">
        <f t="shared" si="73"/>
        <v>3083.6660000000002</v>
      </c>
    </row>
    <row r="114" spans="1:33" x14ac:dyDescent="0.2">
      <c r="A114" s="140"/>
      <c r="B114" s="107"/>
      <c r="C114" s="107" t="s">
        <v>48</v>
      </c>
      <c r="D114" s="109">
        <v>1</v>
      </c>
      <c r="E114" s="73">
        <v>5600</v>
      </c>
      <c r="F114" s="74">
        <f t="shared" si="86"/>
        <v>6160</v>
      </c>
      <c r="G114" s="74">
        <f>F114*1.1*1.1+0.4</f>
        <v>7454.0000000000009</v>
      </c>
      <c r="H114" s="74">
        <v>9212.35</v>
      </c>
      <c r="I114" s="74">
        <f t="shared" si="87"/>
        <v>10133.585000000001</v>
      </c>
      <c r="J114" s="74">
        <v>10741.600100000001</v>
      </c>
      <c r="K114" s="74">
        <f>ROUND('26.08.22'!K110*1.04,2)</f>
        <v>15418.33</v>
      </c>
      <c r="L114" s="141" t="s">
        <v>112</v>
      </c>
      <c r="M114" s="83">
        <v>20</v>
      </c>
      <c r="N114" s="142"/>
      <c r="O114" s="78">
        <f t="shared" si="88"/>
        <v>3083.67</v>
      </c>
      <c r="P114" s="78">
        <f>ROUND(K114*1.14,2)</f>
        <v>17576.900000000001</v>
      </c>
      <c r="Q114" s="78">
        <f t="shared" si="89"/>
        <v>22202.395199999999</v>
      </c>
      <c r="R114" s="79">
        <f t="shared" si="79"/>
        <v>58281.2952</v>
      </c>
      <c r="S114" s="78">
        <f t="shared" si="80"/>
        <v>3854.58</v>
      </c>
      <c r="T114" s="78">
        <v>1.44</v>
      </c>
      <c r="U114" s="78">
        <f t="shared" si="81"/>
        <v>62135.875200000002</v>
      </c>
      <c r="V114" s="79">
        <f t="shared" si="67"/>
        <v>50704.726823999998</v>
      </c>
      <c r="W114" s="78">
        <f t="shared" si="68"/>
        <v>54058.211424000001</v>
      </c>
      <c r="X114" s="80">
        <v>3</v>
      </c>
      <c r="Y114" s="78">
        <v>3</v>
      </c>
      <c r="Z114" s="80">
        <f t="shared" si="69"/>
        <v>0</v>
      </c>
      <c r="AA114" s="80">
        <f t="shared" si="70"/>
        <v>0</v>
      </c>
      <c r="AB114" s="80">
        <f t="shared" si="71"/>
        <v>46254.99</v>
      </c>
      <c r="AC114" s="80"/>
      <c r="AD114">
        <v>0.1</v>
      </c>
      <c r="AE114" s="78">
        <f t="shared" si="72"/>
        <v>1541.8330000000001</v>
      </c>
      <c r="AF114">
        <v>0.2</v>
      </c>
      <c r="AG114" s="78">
        <f t="shared" si="73"/>
        <v>3083.6660000000002</v>
      </c>
    </row>
    <row r="115" spans="1:33" x14ac:dyDescent="0.2">
      <c r="A115" s="102"/>
      <c r="B115" s="107"/>
      <c r="C115" s="107" t="s">
        <v>48</v>
      </c>
      <c r="D115" s="109">
        <v>1</v>
      </c>
      <c r="E115" s="73">
        <v>5600</v>
      </c>
      <c r="F115" s="74">
        <f t="shared" si="86"/>
        <v>6160</v>
      </c>
      <c r="G115" s="74">
        <f>F115*1.1*1.1+0.4</f>
        <v>7454.0000000000009</v>
      </c>
      <c r="H115" s="74">
        <v>9212.35</v>
      </c>
      <c r="I115" s="74">
        <f t="shared" si="87"/>
        <v>10133.585000000001</v>
      </c>
      <c r="J115" s="74">
        <v>10741.600100000001</v>
      </c>
      <c r="K115" s="74">
        <f>ROUND('26.08.22'!K111*1.04,2)</f>
        <v>15418.33</v>
      </c>
      <c r="L115" s="105" t="s">
        <v>113</v>
      </c>
      <c r="M115" s="76">
        <v>20</v>
      </c>
      <c r="N115" s="76"/>
      <c r="O115" s="78">
        <f t="shared" si="88"/>
        <v>3083.67</v>
      </c>
      <c r="P115" s="78">
        <f>ROUND(K115*1.14,2)</f>
        <v>17576.900000000001</v>
      </c>
      <c r="Q115" s="78">
        <f t="shared" si="89"/>
        <v>22202.395199999999</v>
      </c>
      <c r="R115" s="79">
        <f t="shared" si="79"/>
        <v>58281.2952</v>
      </c>
      <c r="S115" s="78">
        <f t="shared" si="80"/>
        <v>3854.58</v>
      </c>
      <c r="T115" s="78">
        <v>1.44</v>
      </c>
      <c r="U115" s="78">
        <f t="shared" si="81"/>
        <v>62135.875200000002</v>
      </c>
      <c r="V115" s="79">
        <f t="shared" si="67"/>
        <v>50704.726823999998</v>
      </c>
      <c r="W115" s="78">
        <f t="shared" si="68"/>
        <v>54058.211424000001</v>
      </c>
      <c r="X115" s="80">
        <v>3</v>
      </c>
      <c r="Y115" s="78">
        <v>1</v>
      </c>
      <c r="Z115" s="80">
        <f t="shared" si="69"/>
        <v>2</v>
      </c>
      <c r="AA115" s="80">
        <f t="shared" si="70"/>
        <v>30836.66</v>
      </c>
      <c r="AB115" s="80">
        <f t="shared" si="71"/>
        <v>15418.33</v>
      </c>
      <c r="AC115" s="80"/>
      <c r="AD115">
        <v>0.1</v>
      </c>
      <c r="AE115" s="78">
        <f t="shared" si="72"/>
        <v>1541.8330000000001</v>
      </c>
      <c r="AF115">
        <v>0.2</v>
      </c>
      <c r="AG115" s="78">
        <f t="shared" si="73"/>
        <v>3083.6660000000002</v>
      </c>
    </row>
    <row r="116" spans="1:33" x14ac:dyDescent="0.2">
      <c r="A116" s="102"/>
      <c r="B116" s="107"/>
      <c r="C116" s="107" t="s">
        <v>45</v>
      </c>
      <c r="D116" s="109">
        <v>1</v>
      </c>
      <c r="E116" s="73">
        <v>5600</v>
      </c>
      <c r="F116" s="74">
        <v>7150</v>
      </c>
      <c r="G116" s="74">
        <f>F116*1.1*1.1+0.5</f>
        <v>8652.0000000000018</v>
      </c>
      <c r="H116" s="74">
        <v>10692.91</v>
      </c>
      <c r="I116" s="74">
        <f t="shared" si="87"/>
        <v>11762.201000000001</v>
      </c>
      <c r="J116" s="74">
        <v>12467.933060000001</v>
      </c>
      <c r="K116" s="74">
        <f>ROUND('26.08.22'!K112*1.04,2)</f>
        <v>17896.259999999998</v>
      </c>
      <c r="L116" s="105" t="s">
        <v>114</v>
      </c>
      <c r="M116" s="83">
        <v>20</v>
      </c>
      <c r="N116" s="76"/>
      <c r="O116" s="78">
        <f t="shared" si="88"/>
        <v>3579.25</v>
      </c>
      <c r="P116" s="78">
        <f>ROUND(K116*1.14,2)</f>
        <v>20401.740000000002</v>
      </c>
      <c r="Q116" s="78">
        <f t="shared" si="89"/>
        <v>27560.240399999999</v>
      </c>
      <c r="R116" s="79">
        <f t="shared" si="79"/>
        <v>69437.490399999995</v>
      </c>
      <c r="S116" s="78">
        <f t="shared" si="80"/>
        <v>4474.07</v>
      </c>
      <c r="T116" s="78">
        <v>1.54</v>
      </c>
      <c r="U116" s="78">
        <f t="shared" si="81"/>
        <v>73911.560399999988</v>
      </c>
      <c r="V116" s="79">
        <f t="shared" si="67"/>
        <v>60410.616647999996</v>
      </c>
      <c r="W116" s="78">
        <f t="shared" si="68"/>
        <v>64303.05754799999</v>
      </c>
      <c r="X116" s="80">
        <v>3</v>
      </c>
      <c r="Y116" s="78">
        <v>3</v>
      </c>
      <c r="Z116" s="80">
        <f t="shared" si="69"/>
        <v>0</v>
      </c>
      <c r="AA116" s="80">
        <f t="shared" si="70"/>
        <v>0</v>
      </c>
      <c r="AB116" s="80">
        <f t="shared" si="71"/>
        <v>53688.78</v>
      </c>
      <c r="AC116" s="80"/>
      <c r="AD116">
        <v>0.1</v>
      </c>
      <c r="AE116" s="78">
        <f t="shared" si="72"/>
        <v>1789.626</v>
      </c>
      <c r="AF116">
        <v>0.2</v>
      </c>
      <c r="AG116" s="78">
        <f t="shared" si="73"/>
        <v>3579.252</v>
      </c>
    </row>
    <row r="117" spans="1:33" x14ac:dyDescent="0.2">
      <c r="A117" s="86"/>
      <c r="B117" s="107"/>
      <c r="C117" s="107" t="s">
        <v>115</v>
      </c>
      <c r="D117" s="143">
        <v>1</v>
      </c>
      <c r="E117" s="118">
        <v>4500</v>
      </c>
      <c r="F117" s="74">
        <f t="shared" si="86"/>
        <v>4950</v>
      </c>
      <c r="G117" s="74">
        <f>F117*1.1*1.1+0.5</f>
        <v>5990.0000000000009</v>
      </c>
      <c r="H117" s="74">
        <v>7402.79</v>
      </c>
      <c r="I117" s="74">
        <f t="shared" si="87"/>
        <v>8143.0690000000004</v>
      </c>
      <c r="J117" s="74">
        <v>8631.6531400000003</v>
      </c>
      <c r="K117" s="74">
        <f>ROUND('26.08.22'!K113*1.04,2)</f>
        <v>12389.73</v>
      </c>
      <c r="L117" s="105" t="s">
        <v>221</v>
      </c>
      <c r="M117" s="83">
        <v>0</v>
      </c>
      <c r="N117" s="83"/>
      <c r="O117" s="78">
        <f t="shared" si="88"/>
        <v>0</v>
      </c>
      <c r="P117" s="78">
        <f>ROUND(K117*1.54,2)</f>
        <v>19080.18</v>
      </c>
      <c r="Q117" s="78">
        <f t="shared" si="89"/>
        <v>17841.211199999998</v>
      </c>
      <c r="R117" s="79">
        <f t="shared" si="79"/>
        <v>49311.121199999994</v>
      </c>
      <c r="S117" s="78">
        <f t="shared" si="80"/>
        <v>3097.43</v>
      </c>
      <c r="T117" s="78">
        <v>1.44</v>
      </c>
      <c r="U117" s="78">
        <f t="shared" si="81"/>
        <v>52408.551199999994</v>
      </c>
      <c r="V117" s="79">
        <f t="shared" si="67"/>
        <v>42900.675443999993</v>
      </c>
      <c r="W117" s="78">
        <f t="shared" si="68"/>
        <v>45595.439543999993</v>
      </c>
      <c r="X117" s="80">
        <v>3</v>
      </c>
      <c r="Y117" s="78"/>
      <c r="Z117" s="80">
        <f t="shared" si="69"/>
        <v>3</v>
      </c>
      <c r="AA117" s="80">
        <f t="shared" si="70"/>
        <v>37169.19</v>
      </c>
      <c r="AB117" s="80">
        <f t="shared" si="71"/>
        <v>0</v>
      </c>
      <c r="AC117" s="80"/>
      <c r="AD117">
        <v>0.1</v>
      </c>
      <c r="AE117" s="78">
        <f t="shared" si="72"/>
        <v>1238.973</v>
      </c>
      <c r="AF117">
        <v>0.2</v>
      </c>
      <c r="AG117" s="78">
        <f t="shared" si="73"/>
        <v>2477.9459999999999</v>
      </c>
    </row>
    <row r="118" spans="1:33" x14ac:dyDescent="0.2">
      <c r="A118" s="86"/>
      <c r="B118" s="107"/>
      <c r="C118" s="107" t="s">
        <v>117</v>
      </c>
      <c r="D118" s="143">
        <v>1</v>
      </c>
      <c r="E118" s="118">
        <v>4500</v>
      </c>
      <c r="F118" s="74">
        <f t="shared" si="86"/>
        <v>4950</v>
      </c>
      <c r="G118" s="74">
        <f>F118*1.1*1.1+0.5</f>
        <v>5990.0000000000009</v>
      </c>
      <c r="H118" s="74">
        <v>7402.79</v>
      </c>
      <c r="I118" s="74">
        <f t="shared" si="87"/>
        <v>8143.0690000000004</v>
      </c>
      <c r="J118" s="74">
        <v>8631.6531400000003</v>
      </c>
      <c r="K118" s="74">
        <f>ROUND('26.08.22'!K114*1.04,2)</f>
        <v>12389.73</v>
      </c>
      <c r="L118" s="105" t="s">
        <v>116</v>
      </c>
      <c r="M118" s="83">
        <v>0</v>
      </c>
      <c r="N118" s="83"/>
      <c r="O118" s="78">
        <f t="shared" si="88"/>
        <v>0</v>
      </c>
      <c r="P118" s="78">
        <f>ROUND(K118*1.34,2)</f>
        <v>16602.240000000002</v>
      </c>
      <c r="Q118" s="78">
        <f t="shared" si="89"/>
        <v>17841.211199999998</v>
      </c>
      <c r="R118" s="79">
        <f t="shared" si="79"/>
        <v>46833.181199999999</v>
      </c>
      <c r="S118" s="78">
        <f t="shared" si="80"/>
        <v>3097.43</v>
      </c>
      <c r="T118" s="78">
        <v>1.44</v>
      </c>
      <c r="U118" s="78">
        <f t="shared" si="81"/>
        <v>49930.611199999999</v>
      </c>
      <c r="V118" s="79">
        <f t="shared" si="67"/>
        <v>40744.867643999998</v>
      </c>
      <c r="W118" s="78">
        <f t="shared" si="68"/>
        <v>43439.631743999998</v>
      </c>
      <c r="X118" s="80">
        <v>3</v>
      </c>
      <c r="Y118" s="78">
        <v>3</v>
      </c>
      <c r="Z118" s="80">
        <f t="shared" si="69"/>
        <v>0</v>
      </c>
      <c r="AA118" s="80">
        <f t="shared" si="70"/>
        <v>0</v>
      </c>
      <c r="AB118" s="80">
        <f t="shared" si="71"/>
        <v>37169.19</v>
      </c>
      <c r="AC118" s="80"/>
      <c r="AD118">
        <v>0.1</v>
      </c>
      <c r="AE118" s="78">
        <f t="shared" si="72"/>
        <v>1238.973</v>
      </c>
      <c r="AF118">
        <v>0.2</v>
      </c>
      <c r="AG118" s="78">
        <f t="shared" si="73"/>
        <v>2477.9459999999999</v>
      </c>
    </row>
    <row r="119" spans="1:33" ht="11.25" customHeight="1" x14ac:dyDescent="0.2">
      <c r="A119" s="86"/>
      <c r="B119" s="107"/>
      <c r="C119" s="107" t="s">
        <v>117</v>
      </c>
      <c r="D119" s="143">
        <v>1</v>
      </c>
      <c r="E119" s="118">
        <v>4500</v>
      </c>
      <c r="F119" s="74">
        <f t="shared" si="86"/>
        <v>4950</v>
      </c>
      <c r="G119" s="74">
        <f>F119*1.1*1.1+0.5</f>
        <v>5990.0000000000009</v>
      </c>
      <c r="H119" s="74">
        <v>7402.79</v>
      </c>
      <c r="I119" s="74">
        <f t="shared" si="87"/>
        <v>8143.0690000000004</v>
      </c>
      <c r="J119" s="74">
        <v>8631.6531400000003</v>
      </c>
      <c r="K119" s="74">
        <v>12389.73</v>
      </c>
      <c r="L119" s="105"/>
      <c r="M119" s="83">
        <v>0</v>
      </c>
      <c r="N119" s="83"/>
      <c r="O119" s="78">
        <f t="shared" si="88"/>
        <v>0</v>
      </c>
      <c r="P119" s="78">
        <f>ROUND(K119*1.34,2)</f>
        <v>16602.240000000002</v>
      </c>
      <c r="Q119" s="78">
        <f t="shared" si="89"/>
        <v>17841.211199999998</v>
      </c>
      <c r="R119" s="79">
        <f t="shared" si="79"/>
        <v>46833.181199999999</v>
      </c>
      <c r="S119" s="78">
        <f t="shared" si="80"/>
        <v>3097.43</v>
      </c>
      <c r="T119" s="78">
        <v>1.44</v>
      </c>
      <c r="U119" s="78">
        <f t="shared" si="81"/>
        <v>49930.611199999999</v>
      </c>
      <c r="V119" s="79">
        <f t="shared" si="67"/>
        <v>40744.867643999998</v>
      </c>
      <c r="W119" s="78">
        <f t="shared" si="68"/>
        <v>43439.631743999998</v>
      </c>
      <c r="X119" s="80">
        <v>3</v>
      </c>
      <c r="Y119" s="78">
        <v>3</v>
      </c>
      <c r="Z119" s="80">
        <f t="shared" si="69"/>
        <v>0</v>
      </c>
      <c r="AA119" s="80">
        <f t="shared" si="70"/>
        <v>0</v>
      </c>
      <c r="AB119" s="80">
        <f t="shared" si="71"/>
        <v>37169.19</v>
      </c>
      <c r="AC119" s="80"/>
      <c r="AD119">
        <v>0.1</v>
      </c>
      <c r="AE119" s="78">
        <f t="shared" si="72"/>
        <v>1238.973</v>
      </c>
      <c r="AF119">
        <v>0.2</v>
      </c>
      <c r="AG119" s="78">
        <f t="shared" si="73"/>
        <v>2477.9459999999999</v>
      </c>
    </row>
    <row r="120" spans="1:33" x14ac:dyDescent="0.2">
      <c r="A120" s="86"/>
      <c r="B120" s="107"/>
      <c r="C120" s="107" t="s">
        <v>117</v>
      </c>
      <c r="D120" s="143">
        <v>1</v>
      </c>
      <c r="E120" s="118">
        <v>4500</v>
      </c>
      <c r="F120" s="74">
        <f t="shared" si="86"/>
        <v>4950</v>
      </c>
      <c r="G120" s="74">
        <f>F120*1.1*1.1+0.5</f>
        <v>5990.0000000000009</v>
      </c>
      <c r="H120" s="74">
        <v>7402.79</v>
      </c>
      <c r="I120" s="74">
        <f t="shared" si="87"/>
        <v>8143.0690000000004</v>
      </c>
      <c r="J120" s="74">
        <v>8631.6531400000003</v>
      </c>
      <c r="K120" s="74">
        <f>ROUND('26.08.22'!K116*1.04,2)</f>
        <v>12389.73</v>
      </c>
      <c r="L120" s="105" t="s">
        <v>118</v>
      </c>
      <c r="M120" s="83">
        <v>0</v>
      </c>
      <c r="N120" s="83"/>
      <c r="O120" s="78">
        <f t="shared" si="88"/>
        <v>0</v>
      </c>
      <c r="P120" s="78">
        <f>ROUND(K120*1.34,2)</f>
        <v>16602.240000000002</v>
      </c>
      <c r="Q120" s="78">
        <f t="shared" si="89"/>
        <v>17841.211199999998</v>
      </c>
      <c r="R120" s="79">
        <f t="shared" si="79"/>
        <v>46833.181199999999</v>
      </c>
      <c r="S120" s="78">
        <f t="shared" si="80"/>
        <v>3097.43</v>
      </c>
      <c r="T120" s="78">
        <v>1.44</v>
      </c>
      <c r="U120" s="78">
        <f t="shared" si="81"/>
        <v>49930.611199999999</v>
      </c>
      <c r="V120" s="79">
        <f t="shared" si="67"/>
        <v>40744.867643999998</v>
      </c>
      <c r="W120" s="78">
        <f t="shared" si="68"/>
        <v>43439.631743999998</v>
      </c>
      <c r="X120" s="80">
        <v>3</v>
      </c>
      <c r="Y120" s="78">
        <v>3</v>
      </c>
      <c r="Z120" s="80">
        <f t="shared" si="69"/>
        <v>0</v>
      </c>
      <c r="AA120" s="80">
        <f t="shared" si="70"/>
        <v>0</v>
      </c>
      <c r="AB120" s="80">
        <f t="shared" si="71"/>
        <v>37169.19</v>
      </c>
      <c r="AC120" s="80"/>
      <c r="AD120">
        <v>0.1</v>
      </c>
      <c r="AE120" s="78">
        <f t="shared" si="72"/>
        <v>1238.973</v>
      </c>
      <c r="AF120">
        <v>0.2</v>
      </c>
      <c r="AG120" s="78">
        <f t="shared" si="73"/>
        <v>2477.9459999999999</v>
      </c>
    </row>
    <row r="121" spans="1:33" x14ac:dyDescent="0.2">
      <c r="A121" s="86"/>
      <c r="B121" s="87"/>
      <c r="C121" s="87" t="s">
        <v>51</v>
      </c>
      <c r="D121" s="111">
        <f t="shared" ref="D121:I121" si="90">SUM(D111:D120)</f>
        <v>10</v>
      </c>
      <c r="E121" s="95">
        <f t="shared" si="90"/>
        <v>56600</v>
      </c>
      <c r="F121" s="95">
        <f t="shared" si="90"/>
        <v>63250</v>
      </c>
      <c r="G121" s="95">
        <f t="shared" si="90"/>
        <v>76537</v>
      </c>
      <c r="H121" s="95">
        <f t="shared" si="90"/>
        <v>94591.129999999976</v>
      </c>
      <c r="I121" s="95">
        <f t="shared" si="90"/>
        <v>104050.24300000002</v>
      </c>
      <c r="J121" s="95">
        <v>121034.85768000003</v>
      </c>
      <c r="K121" s="90">
        <f>SUM(K111:K120)</f>
        <v>158313.1</v>
      </c>
      <c r="L121" s="90"/>
      <c r="M121" s="90"/>
      <c r="N121" s="90">
        <f t="shared" ref="N121" si="91">SUM(N111:N120)</f>
        <v>0</v>
      </c>
      <c r="O121" s="90">
        <f>SUM(O111:O120)</f>
        <v>24669.300000000003</v>
      </c>
      <c r="P121" s="90">
        <f t="shared" ref="P121:W121" si="92">SUM(P111:P120)</f>
        <v>195206.94999999998</v>
      </c>
      <c r="Q121" s="90">
        <f t="shared" si="92"/>
        <v>234220.78299999997</v>
      </c>
      <c r="R121" s="90">
        <f t="shared" si="92"/>
        <v>612410.13300000003</v>
      </c>
      <c r="S121" s="90">
        <f t="shared" si="92"/>
        <v>39578.26</v>
      </c>
      <c r="T121" s="90">
        <f t="shared" si="92"/>
        <v>14.699999999999996</v>
      </c>
      <c r="U121" s="90">
        <f t="shared" si="92"/>
        <v>651988.39300000016</v>
      </c>
      <c r="V121" s="90">
        <f t="shared" si="92"/>
        <v>532796.81571</v>
      </c>
      <c r="W121" s="90">
        <f t="shared" si="92"/>
        <v>567229.90191000002</v>
      </c>
      <c r="X121" s="80"/>
      <c r="Y121" s="90"/>
      <c r="Z121" s="80"/>
      <c r="AA121" s="80">
        <f t="shared" si="70"/>
        <v>0</v>
      </c>
      <c r="AB121" s="80">
        <f t="shared" si="71"/>
        <v>0</v>
      </c>
      <c r="AC121" s="91"/>
      <c r="AD121">
        <v>0.1</v>
      </c>
      <c r="AE121" s="112">
        <f t="shared" si="72"/>
        <v>15831.310000000001</v>
      </c>
      <c r="AF121">
        <v>0.2</v>
      </c>
      <c r="AG121" s="112">
        <f t="shared" si="73"/>
        <v>31662.620000000003</v>
      </c>
    </row>
    <row r="122" spans="1:33" ht="19.5" customHeight="1" x14ac:dyDescent="0.2">
      <c r="A122" s="71" t="s">
        <v>119</v>
      </c>
      <c r="B122" s="93"/>
      <c r="C122" s="93"/>
      <c r="D122" s="94"/>
      <c r="E122" s="95"/>
      <c r="F122" s="95"/>
      <c r="G122" s="95"/>
      <c r="H122" s="95"/>
      <c r="I122" s="95"/>
      <c r="J122" s="95"/>
      <c r="K122" s="90"/>
      <c r="L122" s="96"/>
      <c r="M122" s="96"/>
      <c r="N122" s="96"/>
      <c r="O122" s="96"/>
      <c r="P122" s="99" t="s">
        <v>108</v>
      </c>
      <c r="Q122" s="96"/>
      <c r="R122" s="79"/>
      <c r="S122" s="96"/>
      <c r="T122" s="99"/>
      <c r="U122" s="96"/>
      <c r="V122" s="100"/>
      <c r="W122" s="96"/>
      <c r="X122" s="80"/>
      <c r="Y122" s="96"/>
      <c r="Z122" s="80"/>
      <c r="AA122" s="80">
        <f t="shared" si="70"/>
        <v>0</v>
      </c>
      <c r="AB122" s="80">
        <f t="shared" si="71"/>
        <v>0</v>
      </c>
      <c r="AC122" s="144"/>
      <c r="AD122">
        <v>0.1</v>
      </c>
      <c r="AE122" s="96"/>
      <c r="AG122" s="96"/>
    </row>
    <row r="123" spans="1:33" x14ac:dyDescent="0.2">
      <c r="A123" s="133"/>
      <c r="B123" s="87"/>
      <c r="C123" s="87" t="s">
        <v>120</v>
      </c>
      <c r="D123" s="109">
        <v>1</v>
      </c>
      <c r="E123" s="73">
        <v>7500</v>
      </c>
      <c r="F123" s="74">
        <f>ROUND(E123*F$12,2)</f>
        <v>8250</v>
      </c>
      <c r="G123" s="74">
        <f>F123*1.1*1.1+0.5</f>
        <v>9983</v>
      </c>
      <c r="H123" s="74">
        <v>12337.98</v>
      </c>
      <c r="I123" s="74">
        <f>H123*$I$12</f>
        <v>13571.778</v>
      </c>
      <c r="J123" s="74">
        <v>14386.084680000002</v>
      </c>
      <c r="K123" s="74">
        <f>ROUND('26.08.22'!K119*1.04,2)</f>
        <v>20649.54</v>
      </c>
      <c r="L123" s="105" t="s">
        <v>121</v>
      </c>
      <c r="M123" s="83">
        <v>15</v>
      </c>
      <c r="N123" s="76"/>
      <c r="O123" s="78">
        <f t="shared" si="88"/>
        <v>3097.43</v>
      </c>
      <c r="P123" s="78">
        <f>ROUND(K123*1.14,2)</f>
        <v>23540.48</v>
      </c>
      <c r="Q123" s="78">
        <f t="shared" si="89"/>
        <v>31800.2916</v>
      </c>
      <c r="R123" s="79">
        <f t="shared" si="79"/>
        <v>79087.741599999994</v>
      </c>
      <c r="S123" s="78">
        <f t="shared" si="80"/>
        <v>5162.3900000000003</v>
      </c>
      <c r="T123" s="78">
        <v>1.54</v>
      </c>
      <c r="U123" s="78">
        <f t="shared" si="81"/>
        <v>84250.131599999993</v>
      </c>
      <c r="V123" s="79">
        <f t="shared" si="67"/>
        <v>68806.335191999999</v>
      </c>
      <c r="W123" s="78">
        <f t="shared" si="68"/>
        <v>73297.614491999993</v>
      </c>
      <c r="X123" s="80">
        <v>3</v>
      </c>
      <c r="Y123" s="78">
        <v>3</v>
      </c>
      <c r="Z123" s="80">
        <f t="shared" si="69"/>
        <v>0</v>
      </c>
      <c r="AA123" s="80">
        <f t="shared" si="70"/>
        <v>0</v>
      </c>
      <c r="AB123" s="80">
        <f t="shared" si="71"/>
        <v>61948.62</v>
      </c>
      <c r="AC123" s="80"/>
      <c r="AD123">
        <v>0.1</v>
      </c>
      <c r="AE123" s="78">
        <f t="shared" si="72"/>
        <v>2064.9540000000002</v>
      </c>
      <c r="AF123">
        <v>0.2</v>
      </c>
      <c r="AG123" s="78">
        <f t="shared" si="73"/>
        <v>4129.9080000000004</v>
      </c>
    </row>
    <row r="124" spans="1:33" x14ac:dyDescent="0.2">
      <c r="A124" s="102"/>
      <c r="B124" s="107"/>
      <c r="C124" s="107" t="s">
        <v>184</v>
      </c>
      <c r="D124" s="109">
        <v>1</v>
      </c>
      <c r="E124" s="73">
        <v>5600</v>
      </c>
      <c r="F124" s="74">
        <v>7150</v>
      </c>
      <c r="G124" s="74">
        <f>F124*1.1*1.1+0.5</f>
        <v>8652.0000000000018</v>
      </c>
      <c r="H124" s="74">
        <v>10692.91</v>
      </c>
      <c r="I124" s="74">
        <f>H124*$I$12</f>
        <v>11762.201000000001</v>
      </c>
      <c r="J124" s="74">
        <v>12467.933060000001</v>
      </c>
      <c r="K124" s="74">
        <f>ROUND('26.08.22'!K120*1.04,2)</f>
        <v>17896.259999999998</v>
      </c>
      <c r="L124" s="75" t="s">
        <v>186</v>
      </c>
      <c r="M124" s="83">
        <v>10</v>
      </c>
      <c r="N124" s="76"/>
      <c r="O124" s="78">
        <f t="shared" si="88"/>
        <v>1789.63</v>
      </c>
      <c r="P124" s="78">
        <f>ROUND(K124*1.14,2)</f>
        <v>20401.740000000002</v>
      </c>
      <c r="Q124" s="78">
        <f t="shared" si="89"/>
        <v>27560.240399999999</v>
      </c>
      <c r="R124" s="79">
        <f t="shared" si="79"/>
        <v>67647.8704</v>
      </c>
      <c r="S124" s="78">
        <f t="shared" si="80"/>
        <v>4474.07</v>
      </c>
      <c r="T124" s="78">
        <v>1.54</v>
      </c>
      <c r="U124" s="78">
        <f t="shared" si="81"/>
        <v>72121.940399999992</v>
      </c>
      <c r="V124" s="79">
        <f t="shared" si="67"/>
        <v>58853.647248000001</v>
      </c>
      <c r="W124" s="78">
        <f t="shared" si="68"/>
        <v>62746.088147999995</v>
      </c>
      <c r="X124" s="80">
        <v>3</v>
      </c>
      <c r="Y124" s="78"/>
      <c r="Z124" s="80">
        <f t="shared" si="69"/>
        <v>3</v>
      </c>
      <c r="AA124" s="80">
        <f t="shared" si="70"/>
        <v>53688.78</v>
      </c>
      <c r="AB124" s="80">
        <f t="shared" si="71"/>
        <v>0</v>
      </c>
      <c r="AC124" s="80"/>
      <c r="AD124">
        <v>0.1</v>
      </c>
      <c r="AE124" s="78">
        <f t="shared" si="72"/>
        <v>1789.626</v>
      </c>
      <c r="AF124">
        <v>0.2</v>
      </c>
      <c r="AG124" s="78">
        <f t="shared" si="73"/>
        <v>3579.252</v>
      </c>
    </row>
    <row r="125" spans="1:33" x14ac:dyDescent="0.2">
      <c r="A125" s="86"/>
      <c r="B125" s="87"/>
      <c r="C125" s="87" t="s">
        <v>51</v>
      </c>
      <c r="D125" s="111">
        <f>SUM(D123:D124)</f>
        <v>2</v>
      </c>
      <c r="E125" s="111">
        <f t="shared" ref="E125:N125" si="93">SUM(E123:E124)</f>
        <v>13100</v>
      </c>
      <c r="F125" s="111">
        <f t="shared" si="93"/>
        <v>15400</v>
      </c>
      <c r="G125" s="111">
        <f t="shared" si="93"/>
        <v>18635</v>
      </c>
      <c r="H125" s="111">
        <f t="shared" si="93"/>
        <v>23030.89</v>
      </c>
      <c r="I125" s="111">
        <f t="shared" si="93"/>
        <v>25333.978999999999</v>
      </c>
      <c r="J125" s="111">
        <f t="shared" si="93"/>
        <v>26854.017740000003</v>
      </c>
      <c r="K125" s="90">
        <f t="shared" si="93"/>
        <v>38545.800000000003</v>
      </c>
      <c r="L125" s="90"/>
      <c r="M125" s="90"/>
      <c r="N125" s="90">
        <f t="shared" si="93"/>
        <v>0</v>
      </c>
      <c r="O125" s="90">
        <f>SUM(O123:O124)</f>
        <v>4887.0599999999995</v>
      </c>
      <c r="P125" s="90">
        <f t="shared" ref="P125:W125" si="94">SUM(P123:P124)</f>
        <v>43942.22</v>
      </c>
      <c r="Q125" s="90">
        <f t="shared" si="94"/>
        <v>59360.531999999999</v>
      </c>
      <c r="R125" s="90">
        <f t="shared" si="94"/>
        <v>146735.61199999999</v>
      </c>
      <c r="S125" s="90">
        <f t="shared" si="94"/>
        <v>9636.4599999999991</v>
      </c>
      <c r="T125" s="90">
        <f t="shared" si="94"/>
        <v>3.08</v>
      </c>
      <c r="U125" s="90">
        <f t="shared" si="94"/>
        <v>156372.07199999999</v>
      </c>
      <c r="V125" s="90">
        <f t="shared" si="94"/>
        <v>127659.98243999999</v>
      </c>
      <c r="W125" s="90">
        <f t="shared" si="94"/>
        <v>136043.70263999997</v>
      </c>
      <c r="X125" s="80"/>
      <c r="Y125" s="90"/>
      <c r="Z125" s="80"/>
      <c r="AA125" s="80">
        <f t="shared" si="70"/>
        <v>0</v>
      </c>
      <c r="AB125" s="80">
        <f t="shared" si="71"/>
        <v>0</v>
      </c>
      <c r="AC125" s="91"/>
      <c r="AD125">
        <v>0.1</v>
      </c>
      <c r="AE125" s="112">
        <f t="shared" si="72"/>
        <v>3854.5800000000004</v>
      </c>
      <c r="AF125">
        <v>0.2</v>
      </c>
      <c r="AG125" s="112">
        <f t="shared" si="73"/>
        <v>7709.1600000000008</v>
      </c>
    </row>
    <row r="126" spans="1:33" ht="28.5" customHeight="1" x14ac:dyDescent="0.2">
      <c r="A126" s="71" t="s">
        <v>122</v>
      </c>
      <c r="B126" s="93"/>
      <c r="C126" s="93"/>
      <c r="D126" s="94"/>
      <c r="E126" s="95"/>
      <c r="F126" s="95"/>
      <c r="G126" s="95"/>
      <c r="H126" s="95"/>
      <c r="I126" s="95"/>
      <c r="J126" s="95"/>
      <c r="K126" s="90"/>
      <c r="L126" s="90"/>
      <c r="M126" s="90"/>
      <c r="N126" s="90"/>
      <c r="O126" s="90"/>
      <c r="P126" s="99" t="s">
        <v>40</v>
      </c>
      <c r="Q126" s="78">
        <f t="shared" si="89"/>
        <v>0</v>
      </c>
      <c r="R126" s="79"/>
      <c r="S126" s="90"/>
      <c r="T126" s="99"/>
      <c r="U126" s="90"/>
      <c r="V126" s="100"/>
      <c r="W126" s="90"/>
      <c r="X126" s="80"/>
      <c r="Y126" s="90"/>
      <c r="Z126" s="80"/>
      <c r="AA126" s="80">
        <f t="shared" si="70"/>
        <v>0</v>
      </c>
      <c r="AB126" s="80">
        <f t="shared" si="71"/>
        <v>0</v>
      </c>
      <c r="AC126" s="91"/>
      <c r="AD126">
        <v>0.1</v>
      </c>
      <c r="AE126" s="90"/>
      <c r="AG126" s="90"/>
    </row>
    <row r="127" spans="1:33" x14ac:dyDescent="0.2">
      <c r="A127" s="102"/>
      <c r="B127" s="87"/>
      <c r="C127" s="87" t="s">
        <v>58</v>
      </c>
      <c r="D127" s="72">
        <v>1</v>
      </c>
      <c r="E127" s="73">
        <v>8500</v>
      </c>
      <c r="F127" s="74">
        <f t="shared" ref="F127:F132" si="95">ROUND(E127*F$12,2)</f>
        <v>9350</v>
      </c>
      <c r="G127" s="74">
        <f>F127*1.1*1.1+0.5</f>
        <v>11314.000000000002</v>
      </c>
      <c r="H127" s="74">
        <v>13983.03</v>
      </c>
      <c r="I127" s="74">
        <f t="shared" ref="I127:I134" si="96">H127*$I$12</f>
        <v>15381.333000000002</v>
      </c>
      <c r="J127" s="74">
        <v>16304.212980000004</v>
      </c>
      <c r="K127" s="74">
        <f>ROUND('26.08.22'!K123*1.04,2)</f>
        <v>23402.77</v>
      </c>
      <c r="L127" s="75" t="s">
        <v>218</v>
      </c>
      <c r="M127" s="76">
        <v>30</v>
      </c>
      <c r="N127" s="76"/>
      <c r="O127" s="78">
        <f t="shared" si="88"/>
        <v>7020.83</v>
      </c>
      <c r="P127" s="78">
        <f>ROUND(K127*1.24,2)</f>
        <v>29019.43</v>
      </c>
      <c r="Q127" s="78">
        <f t="shared" si="89"/>
        <v>36040.265800000001</v>
      </c>
      <c r="R127" s="79">
        <f t="shared" si="79"/>
        <v>95483.295799999993</v>
      </c>
      <c r="S127" s="78">
        <f t="shared" si="80"/>
        <v>5850.69</v>
      </c>
      <c r="T127" s="78">
        <v>1.54</v>
      </c>
      <c r="U127" s="78">
        <f t="shared" si="81"/>
        <v>101333.98579999999</v>
      </c>
      <c r="V127" s="79">
        <f t="shared" si="67"/>
        <v>83070.46734599999</v>
      </c>
      <c r="W127" s="78">
        <f t="shared" si="68"/>
        <v>88160.567645999996</v>
      </c>
      <c r="X127" s="80">
        <v>3</v>
      </c>
      <c r="Y127" s="78">
        <v>3</v>
      </c>
      <c r="Z127" s="80">
        <f t="shared" si="69"/>
        <v>0</v>
      </c>
      <c r="AA127" s="80">
        <f t="shared" si="70"/>
        <v>0</v>
      </c>
      <c r="AB127" s="80">
        <f t="shared" si="71"/>
        <v>70208.31</v>
      </c>
      <c r="AC127" s="80"/>
      <c r="AD127">
        <v>0.1</v>
      </c>
      <c r="AE127" s="78">
        <f t="shared" si="72"/>
        <v>2340.277</v>
      </c>
      <c r="AF127">
        <v>0.2</v>
      </c>
      <c r="AG127" s="78">
        <f t="shared" si="73"/>
        <v>4680.5540000000001</v>
      </c>
    </row>
    <row r="128" spans="1:33" ht="17.25" customHeight="1" x14ac:dyDescent="0.2">
      <c r="A128" s="102"/>
      <c r="B128" s="107"/>
      <c r="C128" s="82" t="s">
        <v>123</v>
      </c>
      <c r="D128" s="72">
        <v>1</v>
      </c>
      <c r="E128" s="73">
        <v>7700</v>
      </c>
      <c r="F128" s="74">
        <f t="shared" si="95"/>
        <v>8470</v>
      </c>
      <c r="G128" s="74">
        <f>F128*1.1*1.1+0.3</f>
        <v>10249</v>
      </c>
      <c r="H128" s="74">
        <v>12666.98</v>
      </c>
      <c r="I128" s="74">
        <f t="shared" si="96"/>
        <v>13933.678</v>
      </c>
      <c r="J128" s="74">
        <v>14769.698680000001</v>
      </c>
      <c r="K128" s="74">
        <f>ROUND('26.08.22'!K124*1.04,2)</f>
        <v>21200.16</v>
      </c>
      <c r="L128" s="75" t="s">
        <v>124</v>
      </c>
      <c r="M128" s="69">
        <v>30</v>
      </c>
      <c r="N128" s="76"/>
      <c r="O128" s="78">
        <f>ROUND((K128*M128/100),2)</f>
        <v>6360.05</v>
      </c>
      <c r="P128" s="78">
        <f>ROUND(K128*1.14,2)</f>
        <v>24168.18</v>
      </c>
      <c r="Q128" s="78">
        <f t="shared" si="89"/>
        <v>32648.2464</v>
      </c>
      <c r="R128" s="79">
        <f t="shared" si="79"/>
        <v>84376.636400000003</v>
      </c>
      <c r="S128" s="78">
        <f t="shared" si="80"/>
        <v>5300.04</v>
      </c>
      <c r="T128" s="78">
        <v>1.54</v>
      </c>
      <c r="U128" s="78">
        <f t="shared" si="81"/>
        <v>89676.676399999997</v>
      </c>
      <c r="V128" s="79">
        <f t="shared" si="67"/>
        <v>73407.673668000003</v>
      </c>
      <c r="W128" s="78">
        <f t="shared" si="68"/>
        <v>78018.708467999997</v>
      </c>
      <c r="X128" s="80">
        <v>3</v>
      </c>
      <c r="Y128" s="78">
        <v>3</v>
      </c>
      <c r="Z128" s="80">
        <f t="shared" si="69"/>
        <v>0</v>
      </c>
      <c r="AA128" s="80">
        <f t="shared" si="70"/>
        <v>0</v>
      </c>
      <c r="AB128" s="80">
        <f t="shared" si="71"/>
        <v>63600.479999999996</v>
      </c>
      <c r="AC128" s="80"/>
      <c r="AD128">
        <v>0.1</v>
      </c>
      <c r="AE128" s="78">
        <f t="shared" si="72"/>
        <v>2120.0160000000001</v>
      </c>
      <c r="AF128">
        <v>0.2</v>
      </c>
      <c r="AG128" s="78">
        <f t="shared" si="73"/>
        <v>4240.0320000000002</v>
      </c>
    </row>
    <row r="129" spans="1:33" x14ac:dyDescent="0.2">
      <c r="A129" s="102"/>
      <c r="B129" s="107"/>
      <c r="C129" s="107" t="s">
        <v>45</v>
      </c>
      <c r="D129" s="109">
        <v>1</v>
      </c>
      <c r="E129" s="73">
        <v>6500</v>
      </c>
      <c r="F129" s="74">
        <f t="shared" si="95"/>
        <v>7150</v>
      </c>
      <c r="G129" s="74">
        <f>F129*1.1*1.1+0.5</f>
        <v>8652.0000000000018</v>
      </c>
      <c r="H129" s="74">
        <v>10692.91</v>
      </c>
      <c r="I129" s="74">
        <f t="shared" si="96"/>
        <v>11762.201000000001</v>
      </c>
      <c r="J129" s="74">
        <v>12467.933060000001</v>
      </c>
      <c r="K129" s="74">
        <f>ROUND('26.08.22'!K125*1.04,2)</f>
        <v>17896.259999999998</v>
      </c>
      <c r="L129" s="75" t="s">
        <v>180</v>
      </c>
      <c r="M129" s="83">
        <v>20</v>
      </c>
      <c r="N129" s="76"/>
      <c r="O129" s="78">
        <f t="shared" si="88"/>
        <v>3579.25</v>
      </c>
      <c r="P129" s="78">
        <f t="shared" ref="P129:P134" si="97">ROUND(K129*1.14,2)</f>
        <v>20401.740000000002</v>
      </c>
      <c r="Q129" s="78">
        <f t="shared" si="89"/>
        <v>27560.240399999999</v>
      </c>
      <c r="R129" s="79">
        <f t="shared" si="79"/>
        <v>69437.490399999995</v>
      </c>
      <c r="S129" s="78">
        <f t="shared" si="80"/>
        <v>4474.07</v>
      </c>
      <c r="T129" s="78">
        <v>1.54</v>
      </c>
      <c r="U129" s="78">
        <f t="shared" si="81"/>
        <v>73911.560399999988</v>
      </c>
      <c r="V129" s="79">
        <f t="shared" si="67"/>
        <v>60410.616647999996</v>
      </c>
      <c r="W129" s="78">
        <f t="shared" si="68"/>
        <v>64303.05754799999</v>
      </c>
      <c r="X129" s="80">
        <v>3</v>
      </c>
      <c r="Y129" s="78">
        <v>3</v>
      </c>
      <c r="Z129" s="80">
        <f t="shared" si="69"/>
        <v>0</v>
      </c>
      <c r="AA129" s="80">
        <f t="shared" si="70"/>
        <v>0</v>
      </c>
      <c r="AB129" s="80">
        <f t="shared" si="71"/>
        <v>53688.78</v>
      </c>
      <c r="AC129" s="80"/>
      <c r="AD129">
        <v>0.1</v>
      </c>
      <c r="AE129" s="78">
        <f t="shared" si="72"/>
        <v>1789.626</v>
      </c>
      <c r="AF129">
        <v>0.2</v>
      </c>
      <c r="AG129" s="78">
        <f t="shared" si="73"/>
        <v>3579.252</v>
      </c>
    </row>
    <row r="130" spans="1:33" x14ac:dyDescent="0.2">
      <c r="A130" s="102"/>
      <c r="B130" s="107"/>
      <c r="C130" s="107" t="s">
        <v>45</v>
      </c>
      <c r="D130" s="109">
        <v>1</v>
      </c>
      <c r="E130" s="73">
        <v>6500</v>
      </c>
      <c r="F130" s="74">
        <f t="shared" si="95"/>
        <v>7150</v>
      </c>
      <c r="G130" s="74">
        <f>F130*1.1*1.1+0.5</f>
        <v>8652.0000000000018</v>
      </c>
      <c r="H130" s="74">
        <v>10692.91</v>
      </c>
      <c r="I130" s="74">
        <f t="shared" si="96"/>
        <v>11762.201000000001</v>
      </c>
      <c r="J130" s="74">
        <v>12467.933060000001</v>
      </c>
      <c r="K130" s="74">
        <f>ROUND('26.08.22'!K126*1.04,2)</f>
        <v>17896.259999999998</v>
      </c>
      <c r="L130" s="75" t="s">
        <v>125</v>
      </c>
      <c r="M130" s="76">
        <v>30</v>
      </c>
      <c r="N130" s="76"/>
      <c r="O130" s="78">
        <f t="shared" si="88"/>
        <v>5368.88</v>
      </c>
      <c r="P130" s="78">
        <f t="shared" si="97"/>
        <v>20401.740000000002</v>
      </c>
      <c r="Q130" s="78">
        <f t="shared" si="89"/>
        <v>27560.240399999999</v>
      </c>
      <c r="R130" s="79">
        <f t="shared" si="79"/>
        <v>71227.1204</v>
      </c>
      <c r="S130" s="78">
        <f t="shared" si="80"/>
        <v>4474.07</v>
      </c>
      <c r="T130" s="78">
        <v>1.54</v>
      </c>
      <c r="U130" s="78">
        <f t="shared" si="81"/>
        <v>75701.190399999992</v>
      </c>
      <c r="V130" s="79">
        <f t="shared" si="67"/>
        <v>61967.594747999996</v>
      </c>
      <c r="W130" s="78">
        <f t="shared" si="68"/>
        <v>65860.03564799999</v>
      </c>
      <c r="X130" s="80">
        <v>3</v>
      </c>
      <c r="Y130" s="78">
        <v>3</v>
      </c>
      <c r="Z130" s="80">
        <f t="shared" si="69"/>
        <v>0</v>
      </c>
      <c r="AA130" s="80">
        <f t="shared" si="70"/>
        <v>0</v>
      </c>
      <c r="AB130" s="80">
        <f t="shared" si="71"/>
        <v>53688.78</v>
      </c>
      <c r="AC130" s="80"/>
      <c r="AD130">
        <v>0.1</v>
      </c>
      <c r="AE130" s="78">
        <f t="shared" si="72"/>
        <v>1789.626</v>
      </c>
      <c r="AF130">
        <v>0.2</v>
      </c>
      <c r="AG130" s="78">
        <f t="shared" si="73"/>
        <v>3579.252</v>
      </c>
    </row>
    <row r="131" spans="1:33" x14ac:dyDescent="0.2">
      <c r="A131" s="102"/>
      <c r="B131" s="107"/>
      <c r="C131" s="107" t="s">
        <v>45</v>
      </c>
      <c r="D131" s="109">
        <v>1</v>
      </c>
      <c r="E131" s="73">
        <v>6500</v>
      </c>
      <c r="F131" s="74">
        <f t="shared" si="95"/>
        <v>7150</v>
      </c>
      <c r="G131" s="74">
        <f>F131*1.1*1.1+0.5</f>
        <v>8652.0000000000018</v>
      </c>
      <c r="H131" s="74">
        <v>10692.91</v>
      </c>
      <c r="I131" s="74">
        <f t="shared" si="96"/>
        <v>11762.201000000001</v>
      </c>
      <c r="J131" s="74">
        <v>12467.933060000001</v>
      </c>
      <c r="K131" s="74">
        <f>ROUND('26.08.22'!K127*1.04,2)</f>
        <v>17896.259999999998</v>
      </c>
      <c r="L131" s="105" t="s">
        <v>126</v>
      </c>
      <c r="M131" s="145">
        <v>30</v>
      </c>
      <c r="N131" s="76"/>
      <c r="O131" s="78">
        <f t="shared" si="88"/>
        <v>5368.88</v>
      </c>
      <c r="P131" s="78">
        <f t="shared" si="97"/>
        <v>20401.740000000002</v>
      </c>
      <c r="Q131" s="78">
        <f t="shared" si="89"/>
        <v>27560.240399999999</v>
      </c>
      <c r="R131" s="79">
        <f t="shared" si="79"/>
        <v>71227.1204</v>
      </c>
      <c r="S131" s="78">
        <f t="shared" si="80"/>
        <v>4474.07</v>
      </c>
      <c r="T131" s="78">
        <v>1.54</v>
      </c>
      <c r="U131" s="78">
        <f t="shared" si="81"/>
        <v>75701.190399999992</v>
      </c>
      <c r="V131" s="79">
        <f t="shared" si="67"/>
        <v>61967.594747999996</v>
      </c>
      <c r="W131" s="78">
        <f t="shared" si="68"/>
        <v>65860.03564799999</v>
      </c>
      <c r="X131" s="80">
        <v>3</v>
      </c>
      <c r="Y131" s="78">
        <v>3</v>
      </c>
      <c r="Z131" s="80">
        <f t="shared" si="69"/>
        <v>0</v>
      </c>
      <c r="AA131" s="80">
        <f t="shared" si="70"/>
        <v>0</v>
      </c>
      <c r="AB131" s="80">
        <f t="shared" si="71"/>
        <v>53688.78</v>
      </c>
      <c r="AC131" s="80"/>
      <c r="AD131">
        <v>0.1</v>
      </c>
      <c r="AE131" s="78">
        <f t="shared" si="72"/>
        <v>1789.626</v>
      </c>
      <c r="AF131">
        <v>0.2</v>
      </c>
      <c r="AG131" s="78">
        <f t="shared" si="73"/>
        <v>3579.252</v>
      </c>
    </row>
    <row r="132" spans="1:33" x14ac:dyDescent="0.2">
      <c r="A132" s="102" t="s">
        <v>127</v>
      </c>
      <c r="B132" s="107"/>
      <c r="C132" s="107" t="s">
        <v>48</v>
      </c>
      <c r="D132" s="109">
        <v>1</v>
      </c>
      <c r="E132" s="73">
        <v>5600</v>
      </c>
      <c r="F132" s="74">
        <f t="shared" si="95"/>
        <v>6160</v>
      </c>
      <c r="G132" s="74">
        <f>F132*1.1*1.1+0.4</f>
        <v>7454.0000000000009</v>
      </c>
      <c r="H132" s="74">
        <v>9212.35</v>
      </c>
      <c r="I132" s="74">
        <f t="shared" si="96"/>
        <v>10133.585000000001</v>
      </c>
      <c r="J132" s="74">
        <v>10741.600100000001</v>
      </c>
      <c r="K132" s="74">
        <f>ROUND('26.08.22'!K128*1.04,2)</f>
        <v>15418.33</v>
      </c>
      <c r="L132" s="75" t="s">
        <v>227</v>
      </c>
      <c r="M132" s="145">
        <v>30</v>
      </c>
      <c r="N132" s="76"/>
      <c r="O132" s="78">
        <f>ROUND((K132*M132/100),2)</f>
        <v>4625.5</v>
      </c>
      <c r="P132" s="78">
        <f t="shared" si="97"/>
        <v>17576.900000000001</v>
      </c>
      <c r="Q132" s="78">
        <f t="shared" si="89"/>
        <v>22202.395199999999</v>
      </c>
      <c r="R132" s="79">
        <f t="shared" si="79"/>
        <v>59823.125200000002</v>
      </c>
      <c r="S132" s="78">
        <f t="shared" si="80"/>
        <v>3854.58</v>
      </c>
      <c r="T132" s="78">
        <v>1.44</v>
      </c>
      <c r="U132" s="78">
        <f t="shared" si="81"/>
        <v>63677.705200000004</v>
      </c>
      <c r="V132" s="79">
        <f t="shared" si="67"/>
        <v>52046.118924000002</v>
      </c>
      <c r="W132" s="78">
        <f t="shared" si="68"/>
        <v>55399.603524000006</v>
      </c>
      <c r="X132" s="80">
        <v>3</v>
      </c>
      <c r="Y132" s="78"/>
      <c r="Z132" s="80">
        <v>1</v>
      </c>
      <c r="AA132" s="80">
        <f t="shared" si="70"/>
        <v>15418.33</v>
      </c>
      <c r="AB132" s="80">
        <f t="shared" si="71"/>
        <v>0</v>
      </c>
      <c r="AC132" s="80"/>
      <c r="AD132">
        <v>0.1</v>
      </c>
      <c r="AE132" s="78">
        <f t="shared" si="72"/>
        <v>1541.8330000000001</v>
      </c>
      <c r="AF132">
        <v>0.2</v>
      </c>
      <c r="AG132" s="78">
        <f t="shared" si="73"/>
        <v>3083.6660000000002</v>
      </c>
    </row>
    <row r="133" spans="1:33" x14ac:dyDescent="0.2">
      <c r="A133" s="102"/>
      <c r="B133" s="107"/>
      <c r="C133" s="107" t="s">
        <v>45</v>
      </c>
      <c r="D133" s="109">
        <v>1</v>
      </c>
      <c r="E133" s="73"/>
      <c r="F133" s="74"/>
      <c r="G133" s="74"/>
      <c r="H133" s="74">
        <v>9212.35</v>
      </c>
      <c r="I133" s="74">
        <f t="shared" si="96"/>
        <v>10133.585000000001</v>
      </c>
      <c r="J133" s="74">
        <v>10741.600100000001</v>
      </c>
      <c r="K133" s="74">
        <f>ROUND('26.08.22'!K129*1.04,2)</f>
        <v>17896.259999999998</v>
      </c>
      <c r="L133" s="180" t="s">
        <v>191</v>
      </c>
      <c r="M133" s="146">
        <v>30</v>
      </c>
      <c r="N133" s="76"/>
      <c r="O133" s="78">
        <f>ROUND((K133*M133/100),2)</f>
        <v>5368.88</v>
      </c>
      <c r="P133" s="78">
        <f t="shared" si="97"/>
        <v>20401.740000000002</v>
      </c>
      <c r="Q133" s="78">
        <f t="shared" si="89"/>
        <v>27560.240399999999</v>
      </c>
      <c r="R133" s="79">
        <f t="shared" si="79"/>
        <v>71227.1204</v>
      </c>
      <c r="S133" s="78">
        <f t="shared" si="80"/>
        <v>4474.07</v>
      </c>
      <c r="T133" s="78">
        <v>1.54</v>
      </c>
      <c r="U133" s="78">
        <f t="shared" si="81"/>
        <v>75701.190399999992</v>
      </c>
      <c r="V133" s="79">
        <f t="shared" si="67"/>
        <v>61967.594747999996</v>
      </c>
      <c r="W133" s="78">
        <f t="shared" si="68"/>
        <v>65860.03564799999</v>
      </c>
      <c r="X133" s="80">
        <v>3</v>
      </c>
      <c r="Y133" s="124"/>
      <c r="Z133" s="80">
        <v>1</v>
      </c>
      <c r="AA133" s="80">
        <f t="shared" si="70"/>
        <v>17896.259999999998</v>
      </c>
      <c r="AB133" s="80">
        <f t="shared" si="71"/>
        <v>0</v>
      </c>
      <c r="AC133" s="80"/>
      <c r="AD133">
        <v>0.1</v>
      </c>
      <c r="AE133" s="78">
        <f t="shared" si="72"/>
        <v>1789.626</v>
      </c>
      <c r="AF133">
        <v>0.2</v>
      </c>
      <c r="AG133" s="78">
        <f t="shared" si="73"/>
        <v>3579.252</v>
      </c>
    </row>
    <row r="134" spans="1:33" x14ac:dyDescent="0.2">
      <c r="A134" s="102"/>
      <c r="B134" s="107"/>
      <c r="C134" s="107" t="s">
        <v>48</v>
      </c>
      <c r="D134" s="143">
        <v>1</v>
      </c>
      <c r="E134" s="118"/>
      <c r="F134" s="74"/>
      <c r="G134" s="74"/>
      <c r="H134" s="74">
        <v>9212.35</v>
      </c>
      <c r="I134" s="74">
        <f t="shared" si="96"/>
        <v>10133.585000000001</v>
      </c>
      <c r="J134" s="74">
        <v>10741.600100000001</v>
      </c>
      <c r="K134" s="74">
        <f>ROUND('26.08.22'!K130*1.04,2)</f>
        <v>15418.33</v>
      </c>
      <c r="L134" s="180" t="s">
        <v>219</v>
      </c>
      <c r="M134" s="145">
        <v>20</v>
      </c>
      <c r="N134" s="83"/>
      <c r="O134" s="78">
        <f t="shared" si="88"/>
        <v>3083.67</v>
      </c>
      <c r="P134" s="78">
        <f t="shared" si="97"/>
        <v>17576.900000000001</v>
      </c>
      <c r="Q134" s="78">
        <f t="shared" si="89"/>
        <v>22202.395199999999</v>
      </c>
      <c r="R134" s="79">
        <f t="shared" si="79"/>
        <v>58281.2952</v>
      </c>
      <c r="S134" s="78">
        <f t="shared" si="80"/>
        <v>3854.58</v>
      </c>
      <c r="T134" s="78">
        <v>1.44</v>
      </c>
      <c r="U134" s="78">
        <f t="shared" si="81"/>
        <v>62135.875200000002</v>
      </c>
      <c r="V134" s="79">
        <f t="shared" si="67"/>
        <v>50704.726823999998</v>
      </c>
      <c r="W134" s="78">
        <f t="shared" si="68"/>
        <v>54058.211424000001</v>
      </c>
      <c r="X134" s="80">
        <v>3</v>
      </c>
      <c r="Y134" s="124"/>
      <c r="Z134" s="80">
        <v>1</v>
      </c>
      <c r="AA134" s="80">
        <f t="shared" si="70"/>
        <v>15418.33</v>
      </c>
      <c r="AB134" s="80">
        <f t="shared" si="71"/>
        <v>0</v>
      </c>
      <c r="AC134" s="80"/>
      <c r="AD134">
        <v>0.1</v>
      </c>
      <c r="AE134" s="78">
        <f t="shared" si="72"/>
        <v>1541.8330000000001</v>
      </c>
      <c r="AF134">
        <v>0.2</v>
      </c>
      <c r="AG134" s="78">
        <f t="shared" si="73"/>
        <v>3083.6660000000002</v>
      </c>
    </row>
    <row r="135" spans="1:33" x14ac:dyDescent="0.2">
      <c r="A135" s="102"/>
      <c r="B135" s="87"/>
      <c r="C135" s="87" t="s">
        <v>51</v>
      </c>
      <c r="D135" s="111">
        <f>SUM(D127:D134)</f>
        <v>8</v>
      </c>
      <c r="E135" s="95">
        <f>SUM(E127:E132)</f>
        <v>41300</v>
      </c>
      <c r="F135" s="95">
        <f>SUM(F127:F132)</f>
        <v>45430</v>
      </c>
      <c r="G135" s="95">
        <f>SUM(G127:G132)</f>
        <v>54973</v>
      </c>
      <c r="H135" s="95">
        <f>SUM(H127:H134)</f>
        <v>86365.790000000023</v>
      </c>
      <c r="I135" s="95">
        <f>SUM(I127:I134)</f>
        <v>95002.369000000021</v>
      </c>
      <c r="J135" s="95">
        <v>100702.51114</v>
      </c>
      <c r="K135" s="231">
        <f>SUM(K127:K134)</f>
        <v>147024.62999999998</v>
      </c>
      <c r="L135" s="148"/>
      <c r="M135" s="148"/>
      <c r="N135" s="148">
        <f t="shared" ref="N135" si="98">SUM(N127:N134)</f>
        <v>0</v>
      </c>
      <c r="O135" s="148">
        <f>SUM(O127:O134)</f>
        <v>40775.94</v>
      </c>
      <c r="P135" s="148">
        <f t="shared" ref="P135:W135" si="99">SUM(P127:P134)</f>
        <v>169948.37</v>
      </c>
      <c r="Q135" s="148">
        <f t="shared" si="99"/>
        <v>223334.26420000001</v>
      </c>
      <c r="R135" s="148">
        <f t="shared" si="99"/>
        <v>581083.20420000004</v>
      </c>
      <c r="S135" s="148">
        <f t="shared" si="99"/>
        <v>36756.17</v>
      </c>
      <c r="T135" s="148">
        <f t="shared" si="99"/>
        <v>12.12</v>
      </c>
      <c r="U135" s="148">
        <f t="shared" si="99"/>
        <v>617839.37419999996</v>
      </c>
      <c r="V135" s="148">
        <f t="shared" si="99"/>
        <v>505542.38765399996</v>
      </c>
      <c r="W135" s="148">
        <f t="shared" si="99"/>
        <v>537520.25555399992</v>
      </c>
      <c r="X135" s="80"/>
      <c r="Y135" s="148"/>
      <c r="Z135" s="80"/>
      <c r="AA135" s="80">
        <f t="shared" si="70"/>
        <v>0</v>
      </c>
      <c r="AB135" s="80">
        <f t="shared" si="71"/>
        <v>0</v>
      </c>
      <c r="AC135" s="149"/>
      <c r="AD135">
        <v>0.1</v>
      </c>
      <c r="AE135" s="150">
        <f t="shared" si="72"/>
        <v>14702.462999999998</v>
      </c>
      <c r="AF135">
        <v>0.2</v>
      </c>
      <c r="AG135" s="150">
        <f t="shared" si="73"/>
        <v>29404.925999999996</v>
      </c>
    </row>
    <row r="136" spans="1:33" ht="33.75" customHeight="1" x14ac:dyDescent="0.2">
      <c r="A136" s="102"/>
      <c r="B136" s="151"/>
      <c r="C136" s="151" t="s">
        <v>128</v>
      </c>
      <c r="D136" s="152">
        <f>D16+D24+D55+D59+D93+D109+D121+D135+D97+D125</f>
        <v>91</v>
      </c>
      <c r="E136" s="153">
        <f t="shared" ref="E136:J136" si="100">E16+E24+E55+E59+E93+E109+E121+E135+E97+E125</f>
        <v>322200</v>
      </c>
      <c r="F136" s="153">
        <f t="shared" si="100"/>
        <v>355300</v>
      </c>
      <c r="G136" s="153">
        <f t="shared" si="100"/>
        <v>563440</v>
      </c>
      <c r="H136" s="153">
        <f t="shared" si="100"/>
        <v>765283.27000000014</v>
      </c>
      <c r="I136" s="153">
        <f t="shared" si="100"/>
        <v>841811.59700000018</v>
      </c>
      <c r="J136" s="153">
        <f t="shared" si="100"/>
        <v>921092.43886000011</v>
      </c>
      <c r="K136" s="231">
        <f>K16+K24+K55+K59+K93+K109+K121+K135+K97+K125</f>
        <v>1708128.8399999999</v>
      </c>
      <c r="L136" s="154"/>
      <c r="M136" s="154"/>
      <c r="N136" s="154">
        <f t="shared" ref="N136" si="101">N16+N24+N55+N59+N93+N109+N121+N135+N97+N125</f>
        <v>0</v>
      </c>
      <c r="O136" s="154">
        <f>O16+O24+O55+O59+O93+O109+O121+O135+O97+O125</f>
        <v>431010.73</v>
      </c>
      <c r="P136" s="154">
        <f t="shared" ref="P136:W136" si="102">P16+P24+P55+P59+P93+P109+P121+P135+P97+P125</f>
        <v>1950983.9299999995</v>
      </c>
      <c r="Q136" s="154">
        <f t="shared" si="102"/>
        <v>2517028.5714000002</v>
      </c>
      <c r="R136" s="154">
        <f t="shared" si="102"/>
        <v>6527692.6713999994</v>
      </c>
      <c r="S136" s="154">
        <f t="shared" si="102"/>
        <v>418084.27</v>
      </c>
      <c r="T136" s="154">
        <f t="shared" si="102"/>
        <v>135.18</v>
      </c>
      <c r="U136" s="154">
        <f t="shared" si="102"/>
        <v>6941302.8713999987</v>
      </c>
      <c r="V136" s="154">
        <f t="shared" si="102"/>
        <v>5679092.6241180003</v>
      </c>
      <c r="W136" s="154">
        <f t="shared" si="102"/>
        <v>6038933.4981179992</v>
      </c>
      <c r="X136" s="80"/>
      <c r="Y136" s="154"/>
      <c r="Z136" s="80"/>
      <c r="AA136" s="80">
        <f t="shared" si="70"/>
        <v>0</v>
      </c>
      <c r="AB136" s="80">
        <f t="shared" si="71"/>
        <v>0</v>
      </c>
      <c r="AC136" s="155"/>
      <c r="AD136">
        <v>0.1</v>
      </c>
      <c r="AE136" s="154">
        <f>AE16+AE24+AE55+AE59+AE93+AE109+AE121+AE135+AE97+AE125</f>
        <v>188709.14399999997</v>
      </c>
      <c r="AF136" s="154"/>
      <c r="AG136" s="154">
        <f>AG16+AG24+AG55+AG59+AG93+AG109+AG121+AG135+AG97+AG125</f>
        <v>359522.02799999993</v>
      </c>
    </row>
    <row r="137" spans="1:33" x14ac:dyDescent="0.2">
      <c r="A137" s="156" t="s">
        <v>129</v>
      </c>
      <c r="B137" s="157"/>
      <c r="C137" s="157"/>
      <c r="D137" s="158"/>
      <c r="E137" s="159"/>
      <c r="F137" s="159"/>
      <c r="G137" s="159"/>
      <c r="H137" s="159"/>
      <c r="I137" s="159"/>
      <c r="J137" s="159"/>
      <c r="K137" s="74"/>
      <c r="L137" s="160"/>
      <c r="M137" s="161"/>
      <c r="N137" s="161"/>
      <c r="O137" s="159"/>
      <c r="P137" s="159"/>
      <c r="Q137" s="162"/>
      <c r="R137" s="79"/>
      <c r="S137" s="159"/>
      <c r="T137" s="159"/>
      <c r="U137" s="159"/>
      <c r="V137" s="163"/>
      <c r="W137" s="159"/>
      <c r="X137" s="80"/>
      <c r="Y137" s="159"/>
      <c r="Z137" s="80"/>
      <c r="AA137" s="80">
        <f t="shared" si="70"/>
        <v>0</v>
      </c>
      <c r="AB137" s="80">
        <f t="shared" si="71"/>
        <v>0</v>
      </c>
      <c r="AC137" s="164"/>
      <c r="AD137">
        <v>0.1</v>
      </c>
      <c r="AE137" s="159"/>
      <c r="AG137" s="159"/>
    </row>
    <row r="138" spans="1:33" x14ac:dyDescent="0.2">
      <c r="A138" s="165"/>
      <c r="B138" s="166"/>
      <c r="C138" s="166"/>
      <c r="D138" s="167"/>
      <c r="E138" s="168"/>
      <c r="F138" s="168"/>
      <c r="G138" s="168"/>
      <c r="H138" s="168"/>
      <c r="I138" s="168"/>
      <c r="J138" s="168"/>
      <c r="K138" s="74"/>
      <c r="L138" s="169"/>
      <c r="M138" s="170"/>
      <c r="N138" s="170"/>
      <c r="O138" s="168"/>
      <c r="P138" s="168"/>
      <c r="Q138" s="168"/>
      <c r="R138" s="79"/>
      <c r="S138" s="168"/>
      <c r="T138" s="168"/>
      <c r="U138" s="168"/>
      <c r="V138" s="171"/>
      <c r="W138" s="168"/>
      <c r="X138" s="80"/>
      <c r="Y138" s="168"/>
      <c r="Z138" s="80"/>
      <c r="AA138" s="80">
        <f t="shared" si="70"/>
        <v>0</v>
      </c>
      <c r="AB138" s="80">
        <f t="shared" si="71"/>
        <v>0</v>
      </c>
      <c r="AC138" s="164"/>
      <c r="AD138">
        <v>0.1</v>
      </c>
      <c r="AE138" s="168"/>
      <c r="AG138" s="168"/>
    </row>
    <row r="139" spans="1:33" ht="27" customHeight="1" x14ac:dyDescent="0.2">
      <c r="A139" s="172" t="s">
        <v>130</v>
      </c>
      <c r="B139" s="173"/>
      <c r="C139" s="173"/>
      <c r="D139" s="174"/>
      <c r="E139" s="175"/>
      <c r="F139" s="175"/>
      <c r="G139" s="175"/>
      <c r="H139" s="175"/>
      <c r="I139" s="175"/>
      <c r="J139" s="175"/>
      <c r="K139" s="90"/>
      <c r="L139" s="176"/>
      <c r="M139" s="173"/>
      <c r="N139" s="173"/>
      <c r="O139" s="173"/>
      <c r="P139" s="177"/>
      <c r="Q139" s="178"/>
      <c r="R139" s="79"/>
      <c r="S139" s="173"/>
      <c r="T139" s="177"/>
      <c r="U139" s="173"/>
      <c r="V139" s="179"/>
      <c r="W139" s="173"/>
      <c r="X139" s="80"/>
      <c r="Y139" s="173"/>
      <c r="Z139" s="80"/>
      <c r="AA139" s="80">
        <f t="shared" si="70"/>
        <v>0</v>
      </c>
      <c r="AB139" s="80">
        <f t="shared" si="71"/>
        <v>0</v>
      </c>
      <c r="AC139" s="68"/>
      <c r="AD139">
        <v>0.1</v>
      </c>
      <c r="AE139" s="173"/>
      <c r="AG139" s="173"/>
    </row>
    <row r="140" spans="1:33" ht="26.25" customHeight="1" x14ac:dyDescent="0.2">
      <c r="A140" s="71" t="s">
        <v>131</v>
      </c>
      <c r="B140" s="97"/>
      <c r="C140" s="97"/>
      <c r="D140" s="94"/>
      <c r="E140" s="95"/>
      <c r="F140" s="95"/>
      <c r="G140" s="95"/>
      <c r="H140" s="95"/>
      <c r="I140" s="95"/>
      <c r="J140" s="95"/>
      <c r="K140" s="90"/>
      <c r="L140" s="96"/>
      <c r="M140" s="97"/>
      <c r="N140" s="97"/>
      <c r="O140" s="98"/>
      <c r="P140" s="130">
        <v>1.1399999999999999</v>
      </c>
      <c r="Q140" s="66" t="s">
        <v>132</v>
      </c>
      <c r="R140" s="79"/>
      <c r="S140" s="98"/>
      <c r="T140" s="130"/>
      <c r="U140" s="98"/>
      <c r="V140" s="100"/>
      <c r="W140" s="98"/>
      <c r="X140" s="80"/>
      <c r="Y140" s="98"/>
      <c r="Z140" s="80"/>
      <c r="AA140" s="80">
        <f t="shared" si="70"/>
        <v>0</v>
      </c>
      <c r="AB140" s="80">
        <f t="shared" si="71"/>
        <v>0</v>
      </c>
      <c r="AC140" s="101"/>
      <c r="AD140">
        <v>0.1</v>
      </c>
      <c r="AE140" s="98"/>
      <c r="AG140" s="98"/>
    </row>
    <row r="141" spans="1:33" x14ac:dyDescent="0.2">
      <c r="A141" s="102"/>
      <c r="B141" s="87"/>
      <c r="C141" s="87" t="s">
        <v>133</v>
      </c>
      <c r="D141" s="72">
        <v>1</v>
      </c>
      <c r="E141" s="73">
        <v>7500</v>
      </c>
      <c r="F141" s="74">
        <f t="shared" ref="F141:F146" si="103">ROUND(E141*F$12,2)</f>
        <v>8250</v>
      </c>
      <c r="G141" s="74">
        <f>F141*1.1*1.1+0.5</f>
        <v>9983</v>
      </c>
      <c r="H141" s="74">
        <v>12337.98</v>
      </c>
      <c r="I141" s="74">
        <f t="shared" ref="I141:I146" si="104">H141*$I$12</f>
        <v>13571.778</v>
      </c>
      <c r="J141" s="74">
        <v>14386.084680000002</v>
      </c>
      <c r="K141" s="74">
        <f>ROUND('26.08.22'!K137*1.04,2)</f>
        <v>20649.54</v>
      </c>
      <c r="L141" s="105" t="s">
        <v>134</v>
      </c>
      <c r="M141" s="76">
        <v>30</v>
      </c>
      <c r="N141" s="76"/>
      <c r="O141" s="78">
        <f>ROUND((K141*M141/100),2)</f>
        <v>6194.86</v>
      </c>
      <c r="P141" s="78">
        <f>ROUND(K141*1.14,2)</f>
        <v>23540.48</v>
      </c>
      <c r="Q141" s="78">
        <f>K141*T141</f>
        <v>29735.337599999999</v>
      </c>
      <c r="R141" s="79">
        <f>K141+O141+P141+Q141</f>
        <v>80120.217600000004</v>
      </c>
      <c r="S141" s="78">
        <f>ROUND(K141*S$12,2)</f>
        <v>5162.3900000000003</v>
      </c>
      <c r="T141" s="78">
        <v>1.44</v>
      </c>
      <c r="U141" s="78">
        <f>K141+O141+P141+Q141+S141</f>
        <v>85282.607600000003</v>
      </c>
      <c r="V141" s="79">
        <f t="shared" si="67"/>
        <v>69704.589311999996</v>
      </c>
      <c r="W141" s="78">
        <f t="shared" si="68"/>
        <v>74195.868612000006</v>
      </c>
      <c r="X141" s="80">
        <v>3</v>
      </c>
      <c r="Y141" s="78">
        <v>2</v>
      </c>
      <c r="Z141" s="80">
        <f t="shared" si="69"/>
        <v>1</v>
      </c>
      <c r="AA141" s="80">
        <f t="shared" si="70"/>
        <v>20649.54</v>
      </c>
      <c r="AB141" s="80">
        <f t="shared" si="71"/>
        <v>41299.08</v>
      </c>
      <c r="AC141" s="80"/>
      <c r="AD141">
        <v>0.1</v>
      </c>
      <c r="AE141" s="78">
        <f t="shared" si="72"/>
        <v>2064.9540000000002</v>
      </c>
      <c r="AF141">
        <v>0.1</v>
      </c>
      <c r="AG141" s="78">
        <f>K141*AF141</f>
        <v>2064.9540000000002</v>
      </c>
    </row>
    <row r="142" spans="1:33" ht="21" customHeight="1" x14ac:dyDescent="0.2">
      <c r="A142" s="102"/>
      <c r="B142" s="122"/>
      <c r="C142" s="122" t="s">
        <v>90</v>
      </c>
      <c r="D142" s="72">
        <v>1</v>
      </c>
      <c r="E142" s="73">
        <v>6000</v>
      </c>
      <c r="F142" s="74">
        <f t="shared" si="103"/>
        <v>6600</v>
      </c>
      <c r="G142" s="74">
        <f>F142*1.1*1.1</f>
        <v>7986.0000000000018</v>
      </c>
      <c r="H142" s="74">
        <v>9870.3799999999992</v>
      </c>
      <c r="I142" s="74">
        <f t="shared" si="104"/>
        <v>10857.418</v>
      </c>
      <c r="J142" s="74">
        <v>11508.863080000001</v>
      </c>
      <c r="K142" s="74">
        <f>ROUND('26.08.22'!K138*1.04,2)</f>
        <v>16519.63</v>
      </c>
      <c r="L142" s="180" t="s">
        <v>135</v>
      </c>
      <c r="M142" s="83">
        <v>30</v>
      </c>
      <c r="N142" s="76"/>
      <c r="O142" s="78">
        <f t="shared" ref="O142:O192" si="105">ROUND((K142*M142/100),2)</f>
        <v>4955.8900000000003</v>
      </c>
      <c r="P142" s="78">
        <f t="shared" ref="P142:P192" si="106">ROUND(K142*1.14,2)</f>
        <v>18832.38</v>
      </c>
      <c r="Q142" s="78">
        <f t="shared" ref="Q142:Q192" si="107">K142*T142</f>
        <v>16354.433700000001</v>
      </c>
      <c r="R142" s="79">
        <f t="shared" ref="R142:R192" si="108">K142+O142+P142+Q142</f>
        <v>56662.333700000003</v>
      </c>
      <c r="S142" s="78">
        <f t="shared" ref="S142:S192" si="109">ROUND(K142*S$12,2)</f>
        <v>4129.91</v>
      </c>
      <c r="T142" s="78">
        <v>0.99</v>
      </c>
      <c r="U142" s="78">
        <f t="shared" ref="U142:U192" si="110">K142+O142+P142+Q142+S142</f>
        <v>60792.243700000006</v>
      </c>
      <c r="V142" s="79">
        <f t="shared" si="67"/>
        <v>49296.230319000002</v>
      </c>
      <c r="W142" s="78">
        <f t="shared" si="68"/>
        <v>52889.252019000007</v>
      </c>
      <c r="X142" s="80">
        <v>3</v>
      </c>
      <c r="Y142" s="78">
        <v>3</v>
      </c>
      <c r="Z142" s="80">
        <f t="shared" si="69"/>
        <v>0</v>
      </c>
      <c r="AA142" s="80">
        <f t="shared" si="70"/>
        <v>0</v>
      </c>
      <c r="AB142" s="80">
        <f t="shared" si="71"/>
        <v>49558.89</v>
      </c>
      <c r="AC142" s="80"/>
      <c r="AD142">
        <v>0.1</v>
      </c>
      <c r="AE142" s="78">
        <f t="shared" si="72"/>
        <v>1651.9630000000002</v>
      </c>
      <c r="AF142">
        <v>0.1</v>
      </c>
      <c r="AG142" s="78">
        <f t="shared" ref="AG142:AG192" si="111">K142*AF142</f>
        <v>1651.9630000000002</v>
      </c>
    </row>
    <row r="143" spans="1:33" ht="15.75" customHeight="1" x14ac:dyDescent="0.2">
      <c r="A143" s="102"/>
      <c r="B143" s="122"/>
      <c r="C143" s="107" t="s">
        <v>48</v>
      </c>
      <c r="D143" s="109">
        <v>1</v>
      </c>
      <c r="E143" s="73">
        <v>5000</v>
      </c>
      <c r="F143" s="74">
        <f t="shared" si="103"/>
        <v>5500</v>
      </c>
      <c r="G143" s="74">
        <f>F143*1.1*1.1</f>
        <v>6655.0000000000018</v>
      </c>
      <c r="H143" s="74">
        <v>8225.31</v>
      </c>
      <c r="I143" s="74">
        <f t="shared" si="104"/>
        <v>9047.8410000000003</v>
      </c>
      <c r="J143" s="74">
        <v>9590.7114600000004</v>
      </c>
      <c r="K143" s="74">
        <f>ROUND('26.08.22'!K139*1.04,2)</f>
        <v>13766.34</v>
      </c>
      <c r="L143" s="75" t="s">
        <v>211</v>
      </c>
      <c r="M143" s="83">
        <v>30</v>
      </c>
      <c r="N143" s="76"/>
      <c r="O143" s="78">
        <f t="shared" si="105"/>
        <v>4129.8999999999996</v>
      </c>
      <c r="P143" s="78">
        <f t="shared" si="106"/>
        <v>15693.63</v>
      </c>
      <c r="Q143" s="78">
        <f t="shared" si="107"/>
        <v>12252.042600000001</v>
      </c>
      <c r="R143" s="79">
        <f t="shared" si="108"/>
        <v>45841.912599999996</v>
      </c>
      <c r="S143" s="78">
        <f t="shared" si="109"/>
        <v>3441.59</v>
      </c>
      <c r="T143" s="78">
        <v>0.89</v>
      </c>
      <c r="U143" s="78">
        <f t="shared" si="110"/>
        <v>49283.502599999993</v>
      </c>
      <c r="V143" s="79">
        <f t="shared" si="67"/>
        <v>39882.463961999994</v>
      </c>
      <c r="W143" s="78">
        <f t="shared" si="68"/>
        <v>42876.647261999991</v>
      </c>
      <c r="X143" s="80">
        <v>3</v>
      </c>
      <c r="Y143" s="78">
        <v>3</v>
      </c>
      <c r="Z143" s="80">
        <f t="shared" si="69"/>
        <v>0</v>
      </c>
      <c r="AA143" s="80">
        <f t="shared" si="70"/>
        <v>0</v>
      </c>
      <c r="AB143" s="80">
        <f t="shared" si="71"/>
        <v>41299.020000000004</v>
      </c>
      <c r="AC143" s="80"/>
      <c r="AD143">
        <v>0.1</v>
      </c>
      <c r="AE143" s="78">
        <f t="shared" si="72"/>
        <v>1376.634</v>
      </c>
      <c r="AF143">
        <v>0.1</v>
      </c>
      <c r="AG143" s="78">
        <f t="shared" si="111"/>
        <v>1376.634</v>
      </c>
    </row>
    <row r="144" spans="1:33" ht="25.5" x14ac:dyDescent="0.2">
      <c r="A144" s="102"/>
      <c r="B144" s="107"/>
      <c r="C144" s="131" t="s">
        <v>136</v>
      </c>
      <c r="D144" s="109">
        <v>1</v>
      </c>
      <c r="E144" s="73">
        <v>5000</v>
      </c>
      <c r="F144" s="74">
        <f t="shared" si="103"/>
        <v>5500</v>
      </c>
      <c r="G144" s="74">
        <f>F144*1.1*1.1</f>
        <v>6655.0000000000018</v>
      </c>
      <c r="H144" s="74">
        <v>8225.31</v>
      </c>
      <c r="I144" s="74">
        <f t="shared" si="104"/>
        <v>9047.8410000000003</v>
      </c>
      <c r="J144" s="74">
        <v>9590.7114600000004</v>
      </c>
      <c r="K144" s="74">
        <f>ROUND('26.08.22'!K140*1.04,2)</f>
        <v>16519.63</v>
      </c>
      <c r="L144" s="75"/>
      <c r="M144" s="83"/>
      <c r="N144" s="76"/>
      <c r="O144" s="78">
        <f t="shared" si="105"/>
        <v>0</v>
      </c>
      <c r="P144" s="78">
        <f t="shared" si="106"/>
        <v>18832.38</v>
      </c>
      <c r="Q144" s="78">
        <f t="shared" si="107"/>
        <v>16354.433700000001</v>
      </c>
      <c r="R144" s="79">
        <f t="shared" si="108"/>
        <v>51706.443700000003</v>
      </c>
      <c r="S144" s="78">
        <f t="shared" si="109"/>
        <v>4129.91</v>
      </c>
      <c r="T144" s="78">
        <v>0.99</v>
      </c>
      <c r="U144" s="78">
        <f t="shared" si="110"/>
        <v>55836.353700000007</v>
      </c>
      <c r="V144" s="79">
        <f t="shared" si="67"/>
        <v>44984.606019000006</v>
      </c>
      <c r="W144" s="78">
        <f t="shared" si="68"/>
        <v>48577.627719000004</v>
      </c>
      <c r="X144" s="80">
        <v>3</v>
      </c>
      <c r="Y144" s="78">
        <v>3</v>
      </c>
      <c r="Z144" s="80">
        <f t="shared" si="69"/>
        <v>0</v>
      </c>
      <c r="AA144" s="80">
        <f t="shared" si="70"/>
        <v>0</v>
      </c>
      <c r="AB144" s="80">
        <f t="shared" si="71"/>
        <v>49558.89</v>
      </c>
      <c r="AC144" s="80"/>
      <c r="AD144">
        <v>0.1</v>
      </c>
      <c r="AE144" s="78">
        <f t="shared" si="72"/>
        <v>1651.9630000000002</v>
      </c>
      <c r="AF144">
        <v>0.1</v>
      </c>
      <c r="AG144" s="78">
        <f t="shared" si="111"/>
        <v>1651.9630000000002</v>
      </c>
    </row>
    <row r="145" spans="1:33" ht="30.75" customHeight="1" x14ac:dyDescent="0.2">
      <c r="A145" s="102"/>
      <c r="B145" s="107"/>
      <c r="C145" s="131" t="s">
        <v>136</v>
      </c>
      <c r="D145" s="109">
        <v>1</v>
      </c>
      <c r="E145" s="73">
        <v>5000</v>
      </c>
      <c r="F145" s="74">
        <f t="shared" si="103"/>
        <v>5500</v>
      </c>
      <c r="G145" s="74">
        <f>F145*1.1*1.1</f>
        <v>6655.0000000000018</v>
      </c>
      <c r="H145" s="74">
        <v>8225.31</v>
      </c>
      <c r="I145" s="74">
        <f t="shared" si="104"/>
        <v>9047.8410000000003</v>
      </c>
      <c r="J145" s="74">
        <v>9590.7114600000004</v>
      </c>
      <c r="K145" s="74">
        <f>ROUND('26.08.22'!K141*1.04,2)</f>
        <v>16519.63</v>
      </c>
      <c r="L145" s="75" t="s">
        <v>137</v>
      </c>
      <c r="M145" s="83">
        <v>30</v>
      </c>
      <c r="N145" s="76"/>
      <c r="O145" s="78">
        <f t="shared" si="105"/>
        <v>4955.8900000000003</v>
      </c>
      <c r="P145" s="78">
        <f t="shared" si="106"/>
        <v>18832.38</v>
      </c>
      <c r="Q145" s="78">
        <f t="shared" si="107"/>
        <v>16354.433700000001</v>
      </c>
      <c r="R145" s="79">
        <f t="shared" si="108"/>
        <v>56662.333700000003</v>
      </c>
      <c r="S145" s="78">
        <f t="shared" si="109"/>
        <v>4129.91</v>
      </c>
      <c r="T145" s="78">
        <v>0.99</v>
      </c>
      <c r="U145" s="78">
        <f t="shared" si="110"/>
        <v>60792.243700000006</v>
      </c>
      <c r="V145" s="79">
        <f t="shared" si="67"/>
        <v>49296.230319000002</v>
      </c>
      <c r="W145" s="78">
        <f t="shared" si="68"/>
        <v>52889.252019000007</v>
      </c>
      <c r="X145" s="80">
        <v>3</v>
      </c>
      <c r="Y145" s="78">
        <v>3</v>
      </c>
      <c r="Z145" s="80">
        <f t="shared" si="69"/>
        <v>0</v>
      </c>
      <c r="AA145" s="80">
        <f t="shared" si="70"/>
        <v>0</v>
      </c>
      <c r="AB145" s="80">
        <f t="shared" si="71"/>
        <v>49558.89</v>
      </c>
      <c r="AC145" s="80"/>
      <c r="AD145">
        <v>0.1</v>
      </c>
      <c r="AE145" s="78">
        <f t="shared" si="72"/>
        <v>1651.9630000000002</v>
      </c>
      <c r="AF145">
        <v>0.1</v>
      </c>
      <c r="AG145" s="78">
        <f t="shared" si="111"/>
        <v>1651.9630000000002</v>
      </c>
    </row>
    <row r="146" spans="1:33" x14ac:dyDescent="0.2">
      <c r="A146" s="102"/>
      <c r="B146" s="107"/>
      <c r="C146" s="107" t="s">
        <v>138</v>
      </c>
      <c r="D146" s="109">
        <v>1</v>
      </c>
      <c r="E146" s="73">
        <v>4500</v>
      </c>
      <c r="F146" s="74">
        <f t="shared" si="103"/>
        <v>4950</v>
      </c>
      <c r="G146" s="74">
        <f>F146*1.1*1.1+0.5</f>
        <v>5990.0000000000009</v>
      </c>
      <c r="H146" s="74">
        <v>7402.79</v>
      </c>
      <c r="I146" s="74">
        <f t="shared" si="104"/>
        <v>8143.0690000000004</v>
      </c>
      <c r="J146" s="74">
        <v>8631.6531400000003</v>
      </c>
      <c r="K146" s="74">
        <f>ROUND('26.08.22'!K142*1.04,2)</f>
        <v>12389.73</v>
      </c>
      <c r="L146" s="75" t="s">
        <v>139</v>
      </c>
      <c r="M146" s="76">
        <v>0</v>
      </c>
      <c r="N146" s="76"/>
      <c r="O146" s="78">
        <f>ROUND((K146*M146/100),2)</f>
        <v>0</v>
      </c>
      <c r="P146" s="78">
        <f t="shared" si="106"/>
        <v>14124.29</v>
      </c>
      <c r="Q146" s="78">
        <f t="shared" si="107"/>
        <v>6690.4542000000001</v>
      </c>
      <c r="R146" s="79">
        <f t="shared" si="108"/>
        <v>33204.474199999997</v>
      </c>
      <c r="S146" s="78">
        <f t="shared" si="109"/>
        <v>3097.43</v>
      </c>
      <c r="T146" s="78">
        <v>0.54</v>
      </c>
      <c r="U146" s="78">
        <f t="shared" si="110"/>
        <v>36301.904199999997</v>
      </c>
      <c r="V146" s="79">
        <f t="shared" si="67"/>
        <v>28887.892553999998</v>
      </c>
      <c r="W146" s="78">
        <f t="shared" si="68"/>
        <v>31582.656653999999</v>
      </c>
      <c r="X146" s="80">
        <v>3</v>
      </c>
      <c r="Y146" s="78"/>
      <c r="Z146" s="80">
        <f t="shared" si="69"/>
        <v>3</v>
      </c>
      <c r="AA146" s="80">
        <f t="shared" si="70"/>
        <v>37169.19</v>
      </c>
      <c r="AB146" s="80">
        <f t="shared" si="71"/>
        <v>0</v>
      </c>
      <c r="AC146" s="80"/>
      <c r="AD146">
        <v>0.1</v>
      </c>
      <c r="AE146" s="78">
        <f t="shared" si="72"/>
        <v>1238.973</v>
      </c>
      <c r="AF146">
        <v>0.1</v>
      </c>
      <c r="AG146" s="78">
        <f t="shared" si="111"/>
        <v>1238.973</v>
      </c>
    </row>
    <row r="147" spans="1:33" x14ac:dyDescent="0.2">
      <c r="A147" s="107"/>
      <c r="B147" s="181"/>
      <c r="C147" s="181" t="s">
        <v>140</v>
      </c>
      <c r="D147" s="111">
        <f t="shared" ref="D147:I147" si="112">SUM(D141:D146)</f>
        <v>6</v>
      </c>
      <c r="E147" s="89">
        <f t="shared" si="112"/>
        <v>33000</v>
      </c>
      <c r="F147" s="89">
        <f t="shared" si="112"/>
        <v>36300</v>
      </c>
      <c r="G147" s="89">
        <f t="shared" si="112"/>
        <v>43924</v>
      </c>
      <c r="H147" s="89">
        <f t="shared" si="112"/>
        <v>54287.079999999994</v>
      </c>
      <c r="I147" s="89">
        <f t="shared" si="112"/>
        <v>59715.788</v>
      </c>
      <c r="J147" s="89">
        <v>53708.023820000002</v>
      </c>
      <c r="K147" s="90">
        <f>SUM(K141:K146)</f>
        <v>96364.5</v>
      </c>
      <c r="L147" s="90"/>
      <c r="M147" s="90"/>
      <c r="N147" s="90">
        <f t="shared" ref="N147" si="113">SUM(N141:N146)</f>
        <v>0</v>
      </c>
      <c r="O147" s="90">
        <f>SUM(O141:O146)</f>
        <v>20236.54</v>
      </c>
      <c r="P147" s="90">
        <f t="shared" ref="P147:W147" si="114">SUM(P141:P146)</f>
        <v>109855.54000000001</v>
      </c>
      <c r="Q147" s="90">
        <f t="shared" si="114"/>
        <v>97741.135500000004</v>
      </c>
      <c r="R147" s="90">
        <f t="shared" si="114"/>
        <v>324197.71549999999</v>
      </c>
      <c r="S147" s="90">
        <f t="shared" si="114"/>
        <v>24091.14</v>
      </c>
      <c r="T147" s="90">
        <f t="shared" si="114"/>
        <v>5.84</v>
      </c>
      <c r="U147" s="90">
        <f t="shared" si="114"/>
        <v>348288.85550000001</v>
      </c>
      <c r="V147" s="90">
        <f t="shared" si="114"/>
        <v>282052.01248499996</v>
      </c>
      <c r="W147" s="90">
        <f t="shared" si="114"/>
        <v>303011.30428500002</v>
      </c>
      <c r="X147" s="80"/>
      <c r="Y147" s="90"/>
      <c r="Z147" s="80"/>
      <c r="AA147" s="80">
        <f t="shared" si="70"/>
        <v>0</v>
      </c>
      <c r="AB147" s="80">
        <f t="shared" si="71"/>
        <v>0</v>
      </c>
      <c r="AC147" s="91"/>
      <c r="AD147">
        <v>0.1</v>
      </c>
      <c r="AE147" s="90">
        <f t="shared" si="72"/>
        <v>9636.4500000000007</v>
      </c>
      <c r="AF147">
        <v>0.1</v>
      </c>
      <c r="AG147" s="90">
        <f t="shared" si="111"/>
        <v>9636.4500000000007</v>
      </c>
    </row>
    <row r="148" spans="1:33" ht="24.75" customHeight="1" x14ac:dyDescent="0.2">
      <c r="A148" s="71" t="s">
        <v>141</v>
      </c>
      <c r="B148" s="97"/>
      <c r="C148" s="97"/>
      <c r="D148" s="94"/>
      <c r="E148" s="95"/>
      <c r="F148" s="95"/>
      <c r="G148" s="95"/>
      <c r="H148" s="95"/>
      <c r="I148" s="95"/>
      <c r="J148" s="95"/>
      <c r="K148" s="90"/>
      <c r="L148" s="90"/>
      <c r="M148" s="90"/>
      <c r="N148" s="90"/>
      <c r="O148" s="90"/>
      <c r="P148" s="130">
        <v>1.1399999999999999</v>
      </c>
      <c r="Q148" s="90"/>
      <c r="R148" s="79"/>
      <c r="S148" s="90"/>
      <c r="T148" s="130"/>
      <c r="U148" s="90"/>
      <c r="V148" s="79"/>
      <c r="W148" s="90"/>
      <c r="X148" s="80"/>
      <c r="Y148" s="90"/>
      <c r="Z148" s="80"/>
      <c r="AA148" s="80">
        <f t="shared" si="70"/>
        <v>0</v>
      </c>
      <c r="AB148" s="80">
        <f t="shared" si="71"/>
        <v>0</v>
      </c>
      <c r="AC148" s="91"/>
      <c r="AD148">
        <v>0.1</v>
      </c>
      <c r="AE148" s="90"/>
      <c r="AG148" s="90"/>
    </row>
    <row r="149" spans="1:33" x14ac:dyDescent="0.2">
      <c r="A149" s="102"/>
      <c r="B149" s="87"/>
      <c r="C149" s="87" t="s">
        <v>133</v>
      </c>
      <c r="D149" s="72">
        <v>1</v>
      </c>
      <c r="E149" s="73">
        <v>6500</v>
      </c>
      <c r="F149" s="74">
        <f t="shared" ref="F149:F154" si="115">ROUND(E149*F$12,2)</f>
        <v>7150</v>
      </c>
      <c r="G149" s="74">
        <f>F149*1.1*1.1+0.5</f>
        <v>8652.0000000000018</v>
      </c>
      <c r="H149" s="74">
        <v>10692.91</v>
      </c>
      <c r="I149" s="74">
        <f t="shared" ref="I149:I154" si="116">H149*$I$12</f>
        <v>11762.201000000001</v>
      </c>
      <c r="J149" s="74">
        <v>12467.933060000001</v>
      </c>
      <c r="K149" s="74">
        <f>ROUND('26.08.22'!K145*1.04,2)</f>
        <v>20649.54</v>
      </c>
      <c r="L149" s="75" t="s">
        <v>145</v>
      </c>
      <c r="M149" s="76">
        <v>30</v>
      </c>
      <c r="N149" s="76"/>
      <c r="O149" s="78">
        <f t="shared" si="105"/>
        <v>6194.86</v>
      </c>
      <c r="P149" s="78">
        <f t="shared" si="106"/>
        <v>23540.48</v>
      </c>
      <c r="Q149" s="78">
        <f t="shared" si="107"/>
        <v>29735.337599999999</v>
      </c>
      <c r="R149" s="79">
        <f t="shared" si="108"/>
        <v>80120.217600000004</v>
      </c>
      <c r="S149" s="78">
        <f t="shared" si="109"/>
        <v>5162.3900000000003</v>
      </c>
      <c r="T149" s="78">
        <v>1.44</v>
      </c>
      <c r="U149" s="78">
        <f t="shared" si="110"/>
        <v>85282.607600000003</v>
      </c>
      <c r="V149" s="79">
        <f t="shared" si="67"/>
        <v>69704.589311999996</v>
      </c>
      <c r="W149" s="78">
        <f t="shared" si="68"/>
        <v>74195.868612000006</v>
      </c>
      <c r="X149" s="80">
        <v>3</v>
      </c>
      <c r="Y149" s="78">
        <v>3</v>
      </c>
      <c r="Z149" s="80">
        <f t="shared" si="69"/>
        <v>0</v>
      </c>
      <c r="AA149" s="80">
        <f t="shared" si="70"/>
        <v>0</v>
      </c>
      <c r="AB149" s="80">
        <f t="shared" si="71"/>
        <v>61948.62</v>
      </c>
      <c r="AC149" s="80"/>
      <c r="AD149">
        <v>0.1</v>
      </c>
      <c r="AE149" s="78">
        <f t="shared" si="72"/>
        <v>2064.9540000000002</v>
      </c>
      <c r="AF149">
        <v>0.1</v>
      </c>
      <c r="AG149" s="78">
        <f t="shared" si="111"/>
        <v>2064.9540000000002</v>
      </c>
    </row>
    <row r="150" spans="1:33" ht="29.25" customHeight="1" x14ac:dyDescent="0.2">
      <c r="A150" s="102"/>
      <c r="B150" s="107"/>
      <c r="C150" s="131" t="s">
        <v>136</v>
      </c>
      <c r="D150" s="109">
        <v>1</v>
      </c>
      <c r="E150" s="73">
        <v>5000</v>
      </c>
      <c r="F150" s="74">
        <f t="shared" si="115"/>
        <v>5500</v>
      </c>
      <c r="G150" s="74">
        <f>F150*1.1*1.1</f>
        <v>6655.0000000000018</v>
      </c>
      <c r="H150" s="74">
        <v>8225.31</v>
      </c>
      <c r="I150" s="74">
        <f t="shared" si="116"/>
        <v>9047.8410000000003</v>
      </c>
      <c r="J150" s="74">
        <v>9590.7114600000004</v>
      </c>
      <c r="K150" s="74">
        <f>ROUND('26.08.22'!K146*1.04,2)</f>
        <v>16519.63</v>
      </c>
      <c r="L150" s="75" t="s">
        <v>143</v>
      </c>
      <c r="M150" s="83">
        <v>30</v>
      </c>
      <c r="N150" s="76"/>
      <c r="O150" s="78">
        <f t="shared" si="105"/>
        <v>4955.8900000000003</v>
      </c>
      <c r="P150" s="78">
        <f t="shared" si="106"/>
        <v>18832.38</v>
      </c>
      <c r="Q150" s="78">
        <f t="shared" si="107"/>
        <v>16354.433700000001</v>
      </c>
      <c r="R150" s="79">
        <f t="shared" si="108"/>
        <v>56662.333700000003</v>
      </c>
      <c r="S150" s="78">
        <f t="shared" si="109"/>
        <v>4129.91</v>
      </c>
      <c r="T150" s="78">
        <v>0.99</v>
      </c>
      <c r="U150" s="78">
        <f t="shared" si="110"/>
        <v>60792.243700000006</v>
      </c>
      <c r="V150" s="79">
        <f t="shared" si="67"/>
        <v>49296.230319000002</v>
      </c>
      <c r="W150" s="78">
        <f t="shared" si="68"/>
        <v>52889.252019000007</v>
      </c>
      <c r="X150" s="80">
        <v>3</v>
      </c>
      <c r="Y150" s="78">
        <v>3</v>
      </c>
      <c r="Z150" s="80">
        <f t="shared" si="69"/>
        <v>0</v>
      </c>
      <c r="AA150" s="80">
        <f t="shared" si="70"/>
        <v>0</v>
      </c>
      <c r="AB150" s="80">
        <f t="shared" si="71"/>
        <v>49558.89</v>
      </c>
      <c r="AC150" s="80"/>
      <c r="AD150">
        <v>0.1</v>
      </c>
      <c r="AE150" s="78">
        <f t="shared" si="72"/>
        <v>1651.9630000000002</v>
      </c>
      <c r="AF150">
        <v>0.1</v>
      </c>
      <c r="AG150" s="78">
        <f t="shared" si="111"/>
        <v>1651.9630000000002</v>
      </c>
    </row>
    <row r="151" spans="1:33" ht="26.25" customHeight="1" x14ac:dyDescent="0.2">
      <c r="A151" s="102"/>
      <c r="B151" s="107"/>
      <c r="C151" s="131" t="s">
        <v>136</v>
      </c>
      <c r="D151" s="109">
        <v>1</v>
      </c>
      <c r="E151" s="73">
        <v>5000</v>
      </c>
      <c r="F151" s="74">
        <f t="shared" si="115"/>
        <v>5500</v>
      </c>
      <c r="G151" s="74">
        <f>F151*1.1*1.1</f>
        <v>6655.0000000000018</v>
      </c>
      <c r="H151" s="74">
        <v>8225.31</v>
      </c>
      <c r="I151" s="74">
        <f t="shared" si="116"/>
        <v>9047.8410000000003</v>
      </c>
      <c r="J151" s="74">
        <v>9590.7114600000004</v>
      </c>
      <c r="K151" s="74">
        <f>ROUND('26.08.22'!K147*1.04,2)</f>
        <v>16519.63</v>
      </c>
      <c r="L151" s="75" t="s">
        <v>144</v>
      </c>
      <c r="M151" s="83">
        <v>30</v>
      </c>
      <c r="N151" s="76"/>
      <c r="O151" s="78">
        <f t="shared" si="105"/>
        <v>4955.8900000000003</v>
      </c>
      <c r="P151" s="78">
        <f t="shared" si="106"/>
        <v>18832.38</v>
      </c>
      <c r="Q151" s="78">
        <f t="shared" si="107"/>
        <v>16354.433700000001</v>
      </c>
      <c r="R151" s="79">
        <f t="shared" si="108"/>
        <v>56662.333700000003</v>
      </c>
      <c r="S151" s="78">
        <f t="shared" si="109"/>
        <v>4129.91</v>
      </c>
      <c r="T151" s="78">
        <v>0.99</v>
      </c>
      <c r="U151" s="78">
        <f t="shared" si="110"/>
        <v>60792.243700000006</v>
      </c>
      <c r="V151" s="79">
        <f t="shared" si="67"/>
        <v>49296.230319000002</v>
      </c>
      <c r="W151" s="78">
        <f t="shared" si="68"/>
        <v>52889.252019000007</v>
      </c>
      <c r="X151" s="80">
        <v>3</v>
      </c>
      <c r="Y151" s="78"/>
      <c r="Z151" s="80">
        <f t="shared" si="69"/>
        <v>3</v>
      </c>
      <c r="AA151" s="80">
        <f t="shared" si="70"/>
        <v>49558.89</v>
      </c>
      <c r="AB151" s="80">
        <f t="shared" si="71"/>
        <v>0</v>
      </c>
      <c r="AC151" s="80"/>
      <c r="AD151">
        <v>0.1</v>
      </c>
      <c r="AE151" s="78">
        <f t="shared" si="72"/>
        <v>1651.9630000000002</v>
      </c>
      <c r="AF151">
        <v>0.1</v>
      </c>
      <c r="AG151" s="78">
        <f t="shared" si="111"/>
        <v>1651.9630000000002</v>
      </c>
    </row>
    <row r="152" spans="1:33" ht="14.25" customHeight="1" x14ac:dyDescent="0.2">
      <c r="A152" s="102"/>
      <c r="B152" s="107"/>
      <c r="C152" s="122" t="s">
        <v>90</v>
      </c>
      <c r="D152" s="109">
        <v>1</v>
      </c>
      <c r="E152" s="73">
        <v>5000</v>
      </c>
      <c r="F152" s="74">
        <f t="shared" si="115"/>
        <v>5500</v>
      </c>
      <c r="G152" s="74">
        <f>F152*1.1*1.1</f>
        <v>6655.0000000000018</v>
      </c>
      <c r="H152" s="74">
        <v>8225.31</v>
      </c>
      <c r="I152" s="74">
        <f t="shared" si="116"/>
        <v>9047.8410000000003</v>
      </c>
      <c r="J152" s="74">
        <v>9590.7114600000004</v>
      </c>
      <c r="K152" s="74">
        <f>ROUND('26.08.22'!K148*1.04,2)</f>
        <v>16519.63</v>
      </c>
      <c r="L152" s="75" t="s">
        <v>146</v>
      </c>
      <c r="M152" s="76">
        <v>20</v>
      </c>
      <c r="N152" s="76"/>
      <c r="O152" s="78">
        <f t="shared" si="105"/>
        <v>3303.93</v>
      </c>
      <c r="P152" s="78">
        <f t="shared" si="106"/>
        <v>18832.38</v>
      </c>
      <c r="Q152" s="78">
        <f t="shared" si="107"/>
        <v>16354.433700000001</v>
      </c>
      <c r="R152" s="79">
        <f t="shared" si="108"/>
        <v>55010.373700000004</v>
      </c>
      <c r="S152" s="78">
        <f t="shared" si="109"/>
        <v>4129.91</v>
      </c>
      <c r="T152" s="78">
        <v>0.99</v>
      </c>
      <c r="U152" s="78">
        <f t="shared" si="110"/>
        <v>59140.2837</v>
      </c>
      <c r="V152" s="79">
        <f t="shared" si="67"/>
        <v>47859.025119000005</v>
      </c>
      <c r="W152" s="78">
        <f t="shared" si="68"/>
        <v>51452.046819000003</v>
      </c>
      <c r="X152" s="80">
        <v>3</v>
      </c>
      <c r="Y152" s="78"/>
      <c r="Z152" s="80">
        <f t="shared" si="69"/>
        <v>3</v>
      </c>
      <c r="AA152" s="80">
        <f t="shared" si="70"/>
        <v>49558.89</v>
      </c>
      <c r="AB152" s="80">
        <f t="shared" si="71"/>
        <v>0</v>
      </c>
      <c r="AC152" s="80"/>
      <c r="AD152">
        <v>0.1</v>
      </c>
      <c r="AE152" s="78">
        <f t="shared" si="72"/>
        <v>1651.9630000000002</v>
      </c>
      <c r="AF152">
        <v>0.1</v>
      </c>
      <c r="AG152" s="78">
        <f t="shared" si="111"/>
        <v>1651.9630000000002</v>
      </c>
    </row>
    <row r="153" spans="1:33" ht="14.25" customHeight="1" x14ac:dyDescent="0.2">
      <c r="A153" s="102"/>
      <c r="B153" s="107"/>
      <c r="C153" s="107" t="s">
        <v>48</v>
      </c>
      <c r="D153" s="109">
        <v>1</v>
      </c>
      <c r="E153" s="73">
        <v>5000</v>
      </c>
      <c r="F153" s="74">
        <f t="shared" si="115"/>
        <v>5500</v>
      </c>
      <c r="G153" s="74">
        <f>F153*1.1*1.1</f>
        <v>6655.0000000000018</v>
      </c>
      <c r="H153" s="74">
        <v>8225.31</v>
      </c>
      <c r="I153" s="74">
        <f t="shared" si="116"/>
        <v>9047.8410000000003</v>
      </c>
      <c r="J153" s="74">
        <v>9590.7114600000004</v>
      </c>
      <c r="K153" s="74">
        <f>ROUND('26.08.22'!K149*1.04,2)</f>
        <v>13766.34</v>
      </c>
      <c r="L153" s="75" t="s">
        <v>234</v>
      </c>
      <c r="M153" s="76">
        <v>30</v>
      </c>
      <c r="N153" s="76"/>
      <c r="O153" s="78">
        <f t="shared" si="105"/>
        <v>4129.8999999999996</v>
      </c>
      <c r="P153" s="78">
        <f t="shared" si="106"/>
        <v>15693.63</v>
      </c>
      <c r="Q153" s="78">
        <f t="shared" si="107"/>
        <v>12252.042600000001</v>
      </c>
      <c r="R153" s="79">
        <f t="shared" si="108"/>
        <v>45841.912599999996</v>
      </c>
      <c r="S153" s="78">
        <f t="shared" si="109"/>
        <v>3441.59</v>
      </c>
      <c r="T153" s="78">
        <v>0.89</v>
      </c>
      <c r="U153" s="78">
        <f t="shared" si="110"/>
        <v>49283.502599999993</v>
      </c>
      <c r="V153" s="79">
        <f t="shared" si="67"/>
        <v>39882.463961999994</v>
      </c>
      <c r="W153" s="78">
        <f t="shared" si="68"/>
        <v>42876.647261999991</v>
      </c>
      <c r="X153" s="80">
        <v>3</v>
      </c>
      <c r="Y153" s="78">
        <v>3</v>
      </c>
      <c r="Z153" s="80">
        <f t="shared" si="69"/>
        <v>0</v>
      </c>
      <c r="AA153" s="80">
        <f t="shared" si="70"/>
        <v>0</v>
      </c>
      <c r="AB153" s="80">
        <f t="shared" si="71"/>
        <v>41299.020000000004</v>
      </c>
      <c r="AC153" s="80"/>
      <c r="AD153">
        <v>0.1</v>
      </c>
      <c r="AE153" s="78">
        <f t="shared" si="72"/>
        <v>1376.634</v>
      </c>
      <c r="AF153">
        <v>0.1</v>
      </c>
      <c r="AG153" s="78">
        <f t="shared" si="111"/>
        <v>1376.634</v>
      </c>
    </row>
    <row r="154" spans="1:33" x14ac:dyDescent="0.2">
      <c r="A154" s="102"/>
      <c r="B154" s="107"/>
      <c r="C154" s="107" t="s">
        <v>138</v>
      </c>
      <c r="D154" s="109">
        <v>1</v>
      </c>
      <c r="E154" s="73">
        <v>4500</v>
      </c>
      <c r="F154" s="74">
        <f t="shared" si="115"/>
        <v>4950</v>
      </c>
      <c r="G154" s="74">
        <f>F154*1.1*1.1+0.5</f>
        <v>5990.0000000000009</v>
      </c>
      <c r="H154" s="74">
        <v>7402.79</v>
      </c>
      <c r="I154" s="74">
        <f t="shared" si="116"/>
        <v>8143.0690000000004</v>
      </c>
      <c r="J154" s="74">
        <v>8631.6531400000003</v>
      </c>
      <c r="K154" s="74">
        <f>ROUND('26.08.22'!K150*1.04,2)</f>
        <v>12389.73</v>
      </c>
      <c r="L154" s="75" t="s">
        <v>147</v>
      </c>
      <c r="M154" s="76">
        <v>0</v>
      </c>
      <c r="N154" s="76"/>
      <c r="O154" s="78">
        <f t="shared" si="105"/>
        <v>0</v>
      </c>
      <c r="P154" s="78">
        <f t="shared" si="106"/>
        <v>14124.29</v>
      </c>
      <c r="Q154" s="78">
        <f t="shared" si="107"/>
        <v>6690.4542000000001</v>
      </c>
      <c r="R154" s="79">
        <f t="shared" si="108"/>
        <v>33204.474199999997</v>
      </c>
      <c r="S154" s="78">
        <f t="shared" si="109"/>
        <v>3097.43</v>
      </c>
      <c r="T154" s="78">
        <v>0.54</v>
      </c>
      <c r="U154" s="78">
        <f t="shared" si="110"/>
        <v>36301.904199999997</v>
      </c>
      <c r="V154" s="79">
        <f t="shared" si="67"/>
        <v>28887.892553999998</v>
      </c>
      <c r="W154" s="78">
        <f t="shared" si="68"/>
        <v>31582.656653999999</v>
      </c>
      <c r="X154" s="80">
        <v>3</v>
      </c>
      <c r="Y154" s="78">
        <v>3</v>
      </c>
      <c r="Z154" s="80">
        <f t="shared" si="69"/>
        <v>0</v>
      </c>
      <c r="AA154" s="80">
        <f t="shared" si="70"/>
        <v>0</v>
      </c>
      <c r="AB154" s="80">
        <f t="shared" si="71"/>
        <v>37169.19</v>
      </c>
      <c r="AC154" s="80"/>
      <c r="AD154">
        <v>0.1</v>
      </c>
      <c r="AE154" s="78">
        <f t="shared" si="72"/>
        <v>1238.973</v>
      </c>
      <c r="AF154">
        <v>0.1</v>
      </c>
      <c r="AG154" s="78">
        <f t="shared" si="111"/>
        <v>1238.973</v>
      </c>
    </row>
    <row r="155" spans="1:33" x14ac:dyDescent="0.2">
      <c r="A155" s="107"/>
      <c r="B155" s="181"/>
      <c r="C155" s="181" t="s">
        <v>140</v>
      </c>
      <c r="D155" s="88">
        <f t="shared" ref="D155:I155" si="117">SUM(D149:D154)</f>
        <v>6</v>
      </c>
      <c r="E155" s="95">
        <f t="shared" si="117"/>
        <v>31000</v>
      </c>
      <c r="F155" s="95">
        <f t="shared" si="117"/>
        <v>34100</v>
      </c>
      <c r="G155" s="95">
        <f t="shared" si="117"/>
        <v>41262.000000000007</v>
      </c>
      <c r="H155" s="95">
        <f t="shared" si="117"/>
        <v>50996.939999999995</v>
      </c>
      <c r="I155" s="95">
        <f t="shared" si="117"/>
        <v>56096.634000000005</v>
      </c>
      <c r="J155" s="95">
        <v>40281.00912000001</v>
      </c>
      <c r="K155" s="90">
        <f>SUM(K149:K154)</f>
        <v>96364.5</v>
      </c>
      <c r="L155" s="90"/>
      <c r="M155" s="90"/>
      <c r="N155" s="90">
        <f t="shared" ref="N155" si="118">SUM(N149:N154)</f>
        <v>0</v>
      </c>
      <c r="O155" s="90">
        <f>SUM(O149:O154)</f>
        <v>23540.47</v>
      </c>
      <c r="P155" s="90">
        <f t="shared" ref="P155:W155" si="119">SUM(P149:P154)</f>
        <v>109855.54000000001</v>
      </c>
      <c r="Q155" s="90">
        <f t="shared" si="119"/>
        <v>97741.135500000004</v>
      </c>
      <c r="R155" s="90">
        <f t="shared" si="119"/>
        <v>327501.64549999998</v>
      </c>
      <c r="S155" s="90">
        <f t="shared" si="119"/>
        <v>24091.14</v>
      </c>
      <c r="T155" s="90">
        <f t="shared" si="119"/>
        <v>5.84</v>
      </c>
      <c r="U155" s="90">
        <f t="shared" si="119"/>
        <v>351592.7855</v>
      </c>
      <c r="V155" s="90">
        <f t="shared" si="119"/>
        <v>284926.43158500001</v>
      </c>
      <c r="W155" s="90">
        <f t="shared" si="119"/>
        <v>305885.72338500002</v>
      </c>
      <c r="X155" s="80"/>
      <c r="Y155" s="90"/>
      <c r="Z155" s="80"/>
      <c r="AA155" s="80">
        <f t="shared" si="70"/>
        <v>0</v>
      </c>
      <c r="AB155" s="80">
        <f t="shared" si="71"/>
        <v>0</v>
      </c>
      <c r="AC155" s="91"/>
      <c r="AD155">
        <v>0.1</v>
      </c>
      <c r="AE155" s="90">
        <f t="shared" si="72"/>
        <v>9636.4500000000007</v>
      </c>
      <c r="AF155">
        <v>0.1</v>
      </c>
      <c r="AG155" s="90">
        <f t="shared" si="111"/>
        <v>9636.4500000000007</v>
      </c>
    </row>
    <row r="156" spans="1:33" ht="32.25" customHeight="1" x14ac:dyDescent="0.2">
      <c r="A156" s="71" t="s">
        <v>148</v>
      </c>
      <c r="B156" s="129"/>
      <c r="C156" s="129"/>
      <c r="D156" s="92"/>
      <c r="E156" s="182"/>
      <c r="F156" s="182"/>
      <c r="G156" s="182"/>
      <c r="H156" s="182"/>
      <c r="I156" s="182"/>
      <c r="J156" s="182"/>
      <c r="K156" s="90"/>
      <c r="L156" s="90"/>
      <c r="M156" s="90"/>
      <c r="N156" s="90"/>
      <c r="O156" s="90"/>
      <c r="P156" s="130">
        <v>1.1399999999999999</v>
      </c>
      <c r="Q156" s="90"/>
      <c r="R156" s="79"/>
      <c r="S156" s="90"/>
      <c r="T156" s="130"/>
      <c r="U156" s="90"/>
      <c r="V156" s="79"/>
      <c r="W156" s="90"/>
      <c r="X156" s="80"/>
      <c r="Y156" s="90"/>
      <c r="Z156" s="80"/>
      <c r="AA156" s="80">
        <f t="shared" si="70"/>
        <v>0</v>
      </c>
      <c r="AB156" s="80">
        <f t="shared" si="71"/>
        <v>0</v>
      </c>
      <c r="AC156" s="91"/>
      <c r="AD156">
        <v>0.1</v>
      </c>
      <c r="AE156" s="90"/>
      <c r="AG156" s="90"/>
    </row>
    <row r="157" spans="1:33" x14ac:dyDescent="0.2">
      <c r="A157" s="183"/>
      <c r="B157" s="87"/>
      <c r="C157" s="87" t="s">
        <v>133</v>
      </c>
      <c r="D157" s="72">
        <v>1</v>
      </c>
      <c r="E157" s="73">
        <v>7500</v>
      </c>
      <c r="F157" s="74">
        <f t="shared" ref="F157:F163" si="120">ROUND(E157*F$12,2)</f>
        <v>8250</v>
      </c>
      <c r="G157" s="74">
        <f>F157*1.1*1.1+0.5</f>
        <v>9983</v>
      </c>
      <c r="H157" s="74">
        <v>12337.98</v>
      </c>
      <c r="I157" s="74">
        <f t="shared" ref="I157:I163" si="121">H157*$I$12</f>
        <v>13571.778</v>
      </c>
      <c r="J157" s="74">
        <v>14386.084680000002</v>
      </c>
      <c r="K157" s="74">
        <f>ROUND('26.08.22'!K153*1.04,2)</f>
        <v>20649.54</v>
      </c>
      <c r="L157" s="75" t="s">
        <v>149</v>
      </c>
      <c r="M157" s="69">
        <v>30</v>
      </c>
      <c r="N157" s="76"/>
      <c r="O157" s="78">
        <f t="shared" si="105"/>
        <v>6194.86</v>
      </c>
      <c r="P157" s="78">
        <f t="shared" si="106"/>
        <v>23540.48</v>
      </c>
      <c r="Q157" s="78">
        <f t="shared" si="107"/>
        <v>29735.337599999999</v>
      </c>
      <c r="R157" s="79">
        <f t="shared" si="108"/>
        <v>80120.217600000004</v>
      </c>
      <c r="S157" s="78">
        <f t="shared" si="109"/>
        <v>5162.3900000000003</v>
      </c>
      <c r="T157" s="78">
        <v>1.44</v>
      </c>
      <c r="U157" s="78">
        <f t="shared" si="110"/>
        <v>85282.607600000003</v>
      </c>
      <c r="V157" s="79">
        <f t="shared" si="67"/>
        <v>69704.589311999996</v>
      </c>
      <c r="W157" s="78">
        <f t="shared" si="68"/>
        <v>74195.868612000006</v>
      </c>
      <c r="X157" s="80">
        <v>3</v>
      </c>
      <c r="Y157" s="78">
        <v>3</v>
      </c>
      <c r="Z157" s="80">
        <f t="shared" si="69"/>
        <v>0</v>
      </c>
      <c r="AA157" s="80">
        <f t="shared" si="70"/>
        <v>0</v>
      </c>
      <c r="AB157" s="80">
        <f t="shared" si="71"/>
        <v>61948.62</v>
      </c>
      <c r="AC157" s="80"/>
      <c r="AD157">
        <v>0.1</v>
      </c>
      <c r="AE157" s="78">
        <f t="shared" si="72"/>
        <v>2064.9540000000002</v>
      </c>
      <c r="AF157">
        <v>0.1</v>
      </c>
      <c r="AG157" s="78">
        <f t="shared" si="111"/>
        <v>2064.9540000000002</v>
      </c>
    </row>
    <row r="158" spans="1:33" x14ac:dyDescent="0.2">
      <c r="A158" s="102"/>
      <c r="B158" s="107"/>
      <c r="C158" s="107" t="s">
        <v>150</v>
      </c>
      <c r="D158" s="109">
        <v>1</v>
      </c>
      <c r="E158" s="73">
        <v>5000</v>
      </c>
      <c r="F158" s="74">
        <f t="shared" si="120"/>
        <v>5500</v>
      </c>
      <c r="G158" s="74">
        <f>F158*1.1*1.1</f>
        <v>6655.0000000000018</v>
      </c>
      <c r="H158" s="74">
        <v>8225.31</v>
      </c>
      <c r="I158" s="74">
        <f t="shared" si="121"/>
        <v>9047.8410000000003</v>
      </c>
      <c r="J158" s="74">
        <v>9590.7114600000004</v>
      </c>
      <c r="K158" s="74">
        <f>ROUND('26.08.22'!K154*1.04,2)</f>
        <v>16519.63</v>
      </c>
      <c r="L158" s="110" t="s">
        <v>151</v>
      </c>
      <c r="M158" s="76">
        <v>30</v>
      </c>
      <c r="N158" s="76"/>
      <c r="O158" s="78">
        <f t="shared" si="105"/>
        <v>4955.8900000000003</v>
      </c>
      <c r="P158" s="78">
        <f t="shared" si="106"/>
        <v>18832.38</v>
      </c>
      <c r="Q158" s="78">
        <f t="shared" si="107"/>
        <v>16354.433700000001</v>
      </c>
      <c r="R158" s="79">
        <f t="shared" si="108"/>
        <v>56662.333700000003</v>
      </c>
      <c r="S158" s="78">
        <f t="shared" si="109"/>
        <v>4129.91</v>
      </c>
      <c r="T158" s="78">
        <v>0.99</v>
      </c>
      <c r="U158" s="78">
        <f t="shared" si="110"/>
        <v>60792.243700000006</v>
      </c>
      <c r="V158" s="79">
        <f t="shared" si="67"/>
        <v>49296.230319000002</v>
      </c>
      <c r="W158" s="78">
        <f t="shared" si="68"/>
        <v>52889.252019000007</v>
      </c>
      <c r="X158" s="80">
        <v>3</v>
      </c>
      <c r="Y158" s="78">
        <v>3</v>
      </c>
      <c r="Z158" s="80">
        <f t="shared" si="69"/>
        <v>0</v>
      </c>
      <c r="AA158" s="80">
        <f t="shared" si="70"/>
        <v>0</v>
      </c>
      <c r="AB158" s="80">
        <f t="shared" si="71"/>
        <v>49558.89</v>
      </c>
      <c r="AC158" s="80"/>
      <c r="AD158">
        <v>0.1</v>
      </c>
      <c r="AE158" s="78">
        <f t="shared" si="72"/>
        <v>1651.9630000000002</v>
      </c>
      <c r="AF158">
        <v>0.1</v>
      </c>
      <c r="AG158" s="78">
        <f t="shared" si="111"/>
        <v>1651.9630000000002</v>
      </c>
    </row>
    <row r="159" spans="1:33" x14ac:dyDescent="0.2">
      <c r="A159" s="102"/>
      <c r="B159" s="107"/>
      <c r="C159" s="107" t="s">
        <v>48</v>
      </c>
      <c r="D159" s="109">
        <v>1</v>
      </c>
      <c r="E159" s="73">
        <v>5000</v>
      </c>
      <c r="F159" s="74">
        <f t="shared" si="120"/>
        <v>5500</v>
      </c>
      <c r="G159" s="74">
        <f>F159*1.1*1.1</f>
        <v>6655.0000000000018</v>
      </c>
      <c r="H159" s="74">
        <v>8225.31</v>
      </c>
      <c r="I159" s="74">
        <f t="shared" si="121"/>
        <v>9047.8410000000003</v>
      </c>
      <c r="J159" s="74">
        <v>9590.7114600000004</v>
      </c>
      <c r="K159" s="74">
        <f>ROUND('26.08.22'!K155*1.04,2)</f>
        <v>13766.34</v>
      </c>
      <c r="L159" s="75" t="s">
        <v>152</v>
      </c>
      <c r="M159" s="83">
        <v>30</v>
      </c>
      <c r="N159" s="76"/>
      <c r="O159" s="78">
        <f t="shared" si="105"/>
        <v>4129.8999999999996</v>
      </c>
      <c r="P159" s="78">
        <f t="shared" si="106"/>
        <v>15693.63</v>
      </c>
      <c r="Q159" s="78">
        <f t="shared" si="107"/>
        <v>12252.042600000001</v>
      </c>
      <c r="R159" s="79">
        <f t="shared" si="108"/>
        <v>45841.912599999996</v>
      </c>
      <c r="S159" s="78">
        <f t="shared" si="109"/>
        <v>3441.59</v>
      </c>
      <c r="T159" s="78">
        <v>0.89</v>
      </c>
      <c r="U159" s="78">
        <f t="shared" si="110"/>
        <v>49283.502599999993</v>
      </c>
      <c r="V159" s="79">
        <f t="shared" ref="V159:V192" si="122">R159*0.87</f>
        <v>39882.463961999994</v>
      </c>
      <c r="W159" s="78">
        <f t="shared" ref="W159:W192" si="123">U159*0.87</f>
        <v>42876.647261999991</v>
      </c>
      <c r="X159" s="80">
        <v>3</v>
      </c>
      <c r="Y159" s="78">
        <v>3</v>
      </c>
      <c r="Z159" s="80">
        <f t="shared" si="69"/>
        <v>0</v>
      </c>
      <c r="AA159" s="80">
        <f t="shared" si="70"/>
        <v>0</v>
      </c>
      <c r="AB159" s="80">
        <f t="shared" si="71"/>
        <v>41299.020000000004</v>
      </c>
      <c r="AC159" s="80"/>
      <c r="AD159">
        <v>0.1</v>
      </c>
      <c r="AE159" s="78">
        <f t="shared" si="72"/>
        <v>1376.634</v>
      </c>
      <c r="AF159">
        <v>0.1</v>
      </c>
      <c r="AG159" s="78">
        <f t="shared" si="111"/>
        <v>1376.634</v>
      </c>
    </row>
    <row r="160" spans="1:33" x14ac:dyDescent="0.2">
      <c r="A160" s="102"/>
      <c r="B160" s="107"/>
      <c r="C160" s="107" t="s">
        <v>48</v>
      </c>
      <c r="D160" s="109">
        <v>1</v>
      </c>
      <c r="E160" s="73">
        <v>5000</v>
      </c>
      <c r="F160" s="74">
        <f t="shared" si="120"/>
        <v>5500</v>
      </c>
      <c r="G160" s="74">
        <f>F160*1.1*1.1</f>
        <v>6655.0000000000018</v>
      </c>
      <c r="H160" s="74">
        <v>8225.31</v>
      </c>
      <c r="I160" s="74">
        <f t="shared" si="121"/>
        <v>9047.8410000000003</v>
      </c>
      <c r="J160" s="74">
        <v>9590.7114600000004</v>
      </c>
      <c r="K160" s="74">
        <f>ROUND('26.08.22'!K156*1.04,2)</f>
        <v>13766.34</v>
      </c>
      <c r="L160" s="75" t="s">
        <v>153</v>
      </c>
      <c r="M160" s="83">
        <v>30</v>
      </c>
      <c r="N160" s="76"/>
      <c r="O160" s="78">
        <f t="shared" si="105"/>
        <v>4129.8999999999996</v>
      </c>
      <c r="P160" s="78">
        <f t="shared" si="106"/>
        <v>15693.63</v>
      </c>
      <c r="Q160" s="78">
        <f t="shared" si="107"/>
        <v>12252.042600000001</v>
      </c>
      <c r="R160" s="79">
        <f t="shared" si="108"/>
        <v>45841.912599999996</v>
      </c>
      <c r="S160" s="78">
        <f t="shared" si="109"/>
        <v>3441.59</v>
      </c>
      <c r="T160" s="78">
        <v>0.89</v>
      </c>
      <c r="U160" s="78">
        <f t="shared" si="110"/>
        <v>49283.502599999993</v>
      </c>
      <c r="V160" s="79">
        <f t="shared" si="122"/>
        <v>39882.463961999994</v>
      </c>
      <c r="W160" s="78">
        <f t="shared" si="123"/>
        <v>42876.647261999991</v>
      </c>
      <c r="X160" s="80">
        <v>3</v>
      </c>
      <c r="Y160" s="78"/>
      <c r="Z160" s="80">
        <f t="shared" ref="Z160:Z192" si="124">X160-Y160</f>
        <v>3</v>
      </c>
      <c r="AA160" s="80">
        <f t="shared" ref="AA160:AA192" si="125">K160*Z160</f>
        <v>41299.020000000004</v>
      </c>
      <c r="AB160" s="80">
        <f t="shared" ref="AB160:AB192" si="126">K160*Y160</f>
        <v>0</v>
      </c>
      <c r="AC160" s="80"/>
      <c r="AD160">
        <v>0.1</v>
      </c>
      <c r="AE160" s="78">
        <f t="shared" ref="AE160:AE192" si="127">K160*AD160</f>
        <v>1376.634</v>
      </c>
      <c r="AF160">
        <v>0.1</v>
      </c>
      <c r="AG160" s="78">
        <f t="shared" si="111"/>
        <v>1376.634</v>
      </c>
    </row>
    <row r="161" spans="1:33" x14ac:dyDescent="0.2">
      <c r="A161" s="102"/>
      <c r="B161" s="107"/>
      <c r="C161" s="107" t="s">
        <v>150</v>
      </c>
      <c r="D161" s="109">
        <v>1</v>
      </c>
      <c r="E161" s="73">
        <v>5000</v>
      </c>
      <c r="F161" s="74">
        <f t="shared" si="120"/>
        <v>5500</v>
      </c>
      <c r="G161" s="74">
        <f>F161*1.1*1.1</f>
        <v>6655.0000000000018</v>
      </c>
      <c r="H161" s="74">
        <v>8225.31</v>
      </c>
      <c r="I161" s="74">
        <f t="shared" si="121"/>
        <v>9047.8410000000003</v>
      </c>
      <c r="J161" s="74">
        <v>9590.7114600000004</v>
      </c>
      <c r="K161" s="74">
        <f>ROUND('26.08.22'!K157*1.04,2)</f>
        <v>16519.63</v>
      </c>
      <c r="L161" s="75" t="s">
        <v>154</v>
      </c>
      <c r="M161" s="83">
        <v>30</v>
      </c>
      <c r="N161" s="76"/>
      <c r="O161" s="78">
        <f t="shared" si="105"/>
        <v>4955.8900000000003</v>
      </c>
      <c r="P161" s="78">
        <f t="shared" si="106"/>
        <v>18832.38</v>
      </c>
      <c r="Q161" s="78">
        <f t="shared" si="107"/>
        <v>16354.433700000001</v>
      </c>
      <c r="R161" s="79">
        <f t="shared" si="108"/>
        <v>56662.333700000003</v>
      </c>
      <c r="S161" s="78">
        <f t="shared" si="109"/>
        <v>4129.91</v>
      </c>
      <c r="T161" s="78">
        <v>0.99</v>
      </c>
      <c r="U161" s="78">
        <f t="shared" si="110"/>
        <v>60792.243700000006</v>
      </c>
      <c r="V161" s="79">
        <f t="shared" si="122"/>
        <v>49296.230319000002</v>
      </c>
      <c r="W161" s="78">
        <f t="shared" si="123"/>
        <v>52889.252019000007</v>
      </c>
      <c r="X161" s="80">
        <v>3</v>
      </c>
      <c r="Y161" s="78">
        <v>3</v>
      </c>
      <c r="Z161" s="80">
        <f t="shared" si="124"/>
        <v>0</v>
      </c>
      <c r="AA161" s="80">
        <f t="shared" si="125"/>
        <v>0</v>
      </c>
      <c r="AB161" s="80">
        <f t="shared" si="126"/>
        <v>49558.89</v>
      </c>
      <c r="AC161" s="80"/>
      <c r="AD161">
        <v>0.1</v>
      </c>
      <c r="AE161" s="78">
        <f t="shared" si="127"/>
        <v>1651.9630000000002</v>
      </c>
      <c r="AF161">
        <v>0.1</v>
      </c>
      <c r="AG161" s="78">
        <f t="shared" si="111"/>
        <v>1651.9630000000002</v>
      </c>
    </row>
    <row r="162" spans="1:33" hidden="1" x14ac:dyDescent="0.2">
      <c r="A162" s="102"/>
      <c r="B162" s="107"/>
      <c r="C162" s="107" t="s">
        <v>150</v>
      </c>
      <c r="D162" s="109">
        <v>0</v>
      </c>
      <c r="E162" s="73">
        <v>5000</v>
      </c>
      <c r="F162" s="74">
        <f t="shared" si="120"/>
        <v>5500</v>
      </c>
      <c r="G162" s="74">
        <f>F162*1.1*1.1</f>
        <v>6655.0000000000018</v>
      </c>
      <c r="H162" s="74">
        <v>8225.31</v>
      </c>
      <c r="I162" s="74">
        <f t="shared" si="121"/>
        <v>9047.8410000000003</v>
      </c>
      <c r="J162" s="74">
        <v>9590.7114600000004</v>
      </c>
      <c r="K162" s="74">
        <f>ROUND('26.08.22'!K158*1.04,2)</f>
        <v>0</v>
      </c>
      <c r="L162" s="75"/>
      <c r="M162" s="83">
        <v>0</v>
      </c>
      <c r="N162" s="76"/>
      <c r="O162" s="78">
        <f t="shared" si="105"/>
        <v>0</v>
      </c>
      <c r="P162" s="78">
        <f t="shared" si="106"/>
        <v>0</v>
      </c>
      <c r="Q162" s="78">
        <f t="shared" si="107"/>
        <v>0</v>
      </c>
      <c r="R162" s="79">
        <f t="shared" si="108"/>
        <v>0</v>
      </c>
      <c r="S162" s="78">
        <f t="shared" si="109"/>
        <v>0</v>
      </c>
      <c r="T162" s="78">
        <v>0.99</v>
      </c>
      <c r="U162" s="78">
        <f t="shared" si="110"/>
        <v>0</v>
      </c>
      <c r="V162" s="79">
        <f t="shared" si="122"/>
        <v>0</v>
      </c>
      <c r="W162" s="78">
        <f t="shared" si="123"/>
        <v>0</v>
      </c>
      <c r="X162" s="80">
        <v>3</v>
      </c>
      <c r="Y162" s="78">
        <v>3</v>
      </c>
      <c r="Z162" s="80">
        <f t="shared" si="124"/>
        <v>0</v>
      </c>
      <c r="AA162" s="80">
        <f t="shared" si="125"/>
        <v>0</v>
      </c>
      <c r="AB162" s="80">
        <f t="shared" si="126"/>
        <v>0</v>
      </c>
      <c r="AC162" s="80"/>
      <c r="AD162">
        <v>0.1</v>
      </c>
      <c r="AE162" s="78">
        <f t="shared" si="127"/>
        <v>0</v>
      </c>
      <c r="AF162">
        <v>0.1</v>
      </c>
      <c r="AG162" s="78">
        <f t="shared" si="111"/>
        <v>0</v>
      </c>
    </row>
    <row r="163" spans="1:33" x14ac:dyDescent="0.2">
      <c r="A163" s="102"/>
      <c r="B163" s="107"/>
      <c r="C163" s="107" t="s">
        <v>138</v>
      </c>
      <c r="D163" s="109">
        <v>1</v>
      </c>
      <c r="E163" s="73">
        <v>4500</v>
      </c>
      <c r="F163" s="74">
        <f t="shared" si="120"/>
        <v>4950</v>
      </c>
      <c r="G163" s="74">
        <f>F163*1.1*1.1+0.5</f>
        <v>5990.0000000000009</v>
      </c>
      <c r="H163" s="74">
        <v>7402.79</v>
      </c>
      <c r="I163" s="74">
        <f t="shared" si="121"/>
        <v>8143.0690000000004</v>
      </c>
      <c r="J163" s="74">
        <v>8631.6531400000003</v>
      </c>
      <c r="K163" s="74">
        <f>ROUND('26.08.22'!K159*1.04,2)</f>
        <v>12389.73</v>
      </c>
      <c r="L163" s="75" t="s">
        <v>155</v>
      </c>
      <c r="M163" s="76">
        <v>0</v>
      </c>
      <c r="N163" s="76"/>
      <c r="O163" s="78">
        <f t="shared" si="105"/>
        <v>0</v>
      </c>
      <c r="P163" s="78">
        <f t="shared" si="106"/>
        <v>14124.29</v>
      </c>
      <c r="Q163" s="78">
        <f t="shared" si="107"/>
        <v>6690.4542000000001</v>
      </c>
      <c r="R163" s="79">
        <f t="shared" si="108"/>
        <v>33204.474199999997</v>
      </c>
      <c r="S163" s="78">
        <f t="shared" si="109"/>
        <v>3097.43</v>
      </c>
      <c r="T163" s="78">
        <v>0.54</v>
      </c>
      <c r="U163" s="78">
        <f t="shared" si="110"/>
        <v>36301.904199999997</v>
      </c>
      <c r="V163" s="79">
        <f t="shared" si="122"/>
        <v>28887.892553999998</v>
      </c>
      <c r="W163" s="78">
        <f t="shared" si="123"/>
        <v>31582.656653999999</v>
      </c>
      <c r="X163" s="80">
        <v>3</v>
      </c>
      <c r="Y163" s="78">
        <v>3</v>
      </c>
      <c r="Z163" s="80">
        <f t="shared" si="124"/>
        <v>0</v>
      </c>
      <c r="AA163" s="80">
        <f t="shared" si="125"/>
        <v>0</v>
      </c>
      <c r="AB163" s="80">
        <f t="shared" si="126"/>
        <v>37169.19</v>
      </c>
      <c r="AC163" s="80"/>
      <c r="AD163">
        <v>0.1</v>
      </c>
      <c r="AE163" s="78">
        <f t="shared" si="127"/>
        <v>1238.973</v>
      </c>
      <c r="AF163">
        <v>0.1</v>
      </c>
      <c r="AG163" s="78">
        <f t="shared" si="111"/>
        <v>1238.973</v>
      </c>
    </row>
    <row r="164" spans="1:33" x14ac:dyDescent="0.2">
      <c r="A164" s="107"/>
      <c r="B164" s="181"/>
      <c r="C164" s="181" t="s">
        <v>140</v>
      </c>
      <c r="D164" s="111">
        <f t="shared" ref="D164:I164" si="128">SUM(D157:D163)</f>
        <v>6</v>
      </c>
      <c r="E164" s="89">
        <f t="shared" si="128"/>
        <v>37000</v>
      </c>
      <c r="F164" s="89">
        <f t="shared" si="128"/>
        <v>40700</v>
      </c>
      <c r="G164" s="89">
        <f t="shared" si="128"/>
        <v>49248</v>
      </c>
      <c r="H164" s="89">
        <f t="shared" si="128"/>
        <v>60867.319999999992</v>
      </c>
      <c r="I164" s="89">
        <f t="shared" si="128"/>
        <v>66954.051999999996</v>
      </c>
      <c r="J164" s="89">
        <v>42199.160740000007</v>
      </c>
      <c r="K164" s="90">
        <f>SUM(K157:K163)</f>
        <v>93611.209999999992</v>
      </c>
      <c r="L164" s="90"/>
      <c r="M164" s="90"/>
      <c r="N164" s="90">
        <f t="shared" ref="N164" si="129">SUM(N157:N163)</f>
        <v>0</v>
      </c>
      <c r="O164" s="90">
        <f>SUM(O157:O163)</f>
        <v>24366.44</v>
      </c>
      <c r="P164" s="90">
        <f t="shared" ref="P164:W164" si="130">SUM(P157:P163)</f>
        <v>106716.79000000001</v>
      </c>
      <c r="Q164" s="90">
        <f t="shared" si="130"/>
        <v>93638.744399999996</v>
      </c>
      <c r="R164" s="90">
        <f t="shared" si="130"/>
        <v>318333.18439999997</v>
      </c>
      <c r="S164" s="90">
        <f t="shared" si="130"/>
        <v>23402.82</v>
      </c>
      <c r="T164" s="90">
        <f t="shared" si="130"/>
        <v>6.73</v>
      </c>
      <c r="U164" s="90">
        <f t="shared" si="130"/>
        <v>341736.00439999998</v>
      </c>
      <c r="V164" s="90">
        <f t="shared" si="130"/>
        <v>276949.87042799994</v>
      </c>
      <c r="W164" s="90">
        <f t="shared" si="130"/>
        <v>297310.32382799999</v>
      </c>
      <c r="X164" s="80"/>
      <c r="Y164" s="90"/>
      <c r="Z164" s="80"/>
      <c r="AA164" s="80">
        <f t="shared" si="125"/>
        <v>0</v>
      </c>
      <c r="AB164" s="80">
        <f t="shared" si="126"/>
        <v>0</v>
      </c>
      <c r="AC164" s="91"/>
      <c r="AD164">
        <v>0.1</v>
      </c>
      <c r="AE164" s="90">
        <f t="shared" si="127"/>
        <v>9361.1209999999992</v>
      </c>
      <c r="AF164">
        <v>0.1</v>
      </c>
      <c r="AG164" s="90">
        <f t="shared" si="111"/>
        <v>9361.1209999999992</v>
      </c>
    </row>
    <row r="165" spans="1:33" ht="30" customHeight="1" x14ac:dyDescent="0.2">
      <c r="A165" s="71" t="s">
        <v>156</v>
      </c>
      <c r="B165" s="97"/>
      <c r="C165" s="97"/>
      <c r="D165" s="94"/>
      <c r="E165" s="95"/>
      <c r="F165" s="95"/>
      <c r="G165" s="95"/>
      <c r="H165" s="95"/>
      <c r="I165" s="95"/>
      <c r="J165" s="95"/>
      <c r="K165" s="90"/>
      <c r="L165" s="90"/>
      <c r="M165" s="90"/>
      <c r="N165" s="90"/>
      <c r="O165" s="90"/>
      <c r="P165" s="130">
        <v>1.1399999999999999</v>
      </c>
      <c r="Q165" s="90"/>
      <c r="R165" s="79"/>
      <c r="S165" s="90"/>
      <c r="T165" s="130"/>
      <c r="U165" s="90"/>
      <c r="V165" s="79"/>
      <c r="W165" s="90"/>
      <c r="X165" s="80"/>
      <c r="Y165" s="90"/>
      <c r="Z165" s="80"/>
      <c r="AA165" s="80">
        <f t="shared" si="125"/>
        <v>0</v>
      </c>
      <c r="AB165" s="80">
        <f t="shared" si="126"/>
        <v>0</v>
      </c>
      <c r="AC165" s="91"/>
      <c r="AD165">
        <v>0.1</v>
      </c>
      <c r="AE165" s="90"/>
      <c r="AG165" s="90"/>
    </row>
    <row r="166" spans="1:33" x14ac:dyDescent="0.2">
      <c r="A166" s="133"/>
      <c r="B166" s="87"/>
      <c r="C166" s="87" t="s">
        <v>133</v>
      </c>
      <c r="D166" s="72">
        <v>1</v>
      </c>
      <c r="E166" s="73">
        <v>7500</v>
      </c>
      <c r="F166" s="74">
        <f t="shared" ref="F166:F172" si="131">ROUND(E166*F$12,2)</f>
        <v>8250</v>
      </c>
      <c r="G166" s="74">
        <f>F166*1.1*1.1+0.5</f>
        <v>9983</v>
      </c>
      <c r="H166" s="74">
        <v>12337.98</v>
      </c>
      <c r="I166" s="74">
        <f t="shared" ref="I166:I172" si="132">H166*$I$12</f>
        <v>13571.778</v>
      </c>
      <c r="J166" s="74">
        <v>14386.084680000002</v>
      </c>
      <c r="K166" s="74">
        <f>ROUND('26.08.22'!K162*1.04,2)</f>
        <v>20649.54</v>
      </c>
      <c r="L166" s="75" t="s">
        <v>157</v>
      </c>
      <c r="M166" s="69">
        <v>30</v>
      </c>
      <c r="N166" s="69"/>
      <c r="O166" s="78">
        <f t="shared" si="105"/>
        <v>6194.86</v>
      </c>
      <c r="P166" s="78">
        <f t="shared" si="106"/>
        <v>23540.48</v>
      </c>
      <c r="Q166" s="78">
        <f t="shared" si="107"/>
        <v>29735.337599999999</v>
      </c>
      <c r="R166" s="79">
        <f t="shared" si="108"/>
        <v>80120.217600000004</v>
      </c>
      <c r="S166" s="78">
        <f t="shared" si="109"/>
        <v>5162.3900000000003</v>
      </c>
      <c r="T166" s="78">
        <v>1.44</v>
      </c>
      <c r="U166" s="78">
        <f t="shared" si="110"/>
        <v>85282.607600000003</v>
      </c>
      <c r="V166" s="79">
        <f t="shared" si="122"/>
        <v>69704.589311999996</v>
      </c>
      <c r="W166" s="78">
        <f t="shared" si="123"/>
        <v>74195.868612000006</v>
      </c>
      <c r="X166" s="80">
        <v>3</v>
      </c>
      <c r="Y166" s="78">
        <v>2</v>
      </c>
      <c r="Z166" s="80">
        <f t="shared" si="124"/>
        <v>1</v>
      </c>
      <c r="AA166" s="80">
        <f t="shared" si="125"/>
        <v>20649.54</v>
      </c>
      <c r="AB166" s="80">
        <f t="shared" si="126"/>
        <v>41299.08</v>
      </c>
      <c r="AC166" s="80"/>
      <c r="AD166">
        <v>0.1</v>
      </c>
      <c r="AE166" s="78">
        <f t="shared" si="127"/>
        <v>2064.9540000000002</v>
      </c>
      <c r="AF166">
        <v>0.1</v>
      </c>
      <c r="AG166" s="78">
        <f t="shared" si="111"/>
        <v>2064.9540000000002</v>
      </c>
    </row>
    <row r="167" spans="1:33" ht="16.5" customHeight="1" x14ac:dyDescent="0.2">
      <c r="A167" s="102"/>
      <c r="B167" s="122"/>
      <c r="C167" s="122" t="s">
        <v>90</v>
      </c>
      <c r="D167" s="72">
        <v>1</v>
      </c>
      <c r="E167" s="73">
        <v>6000</v>
      </c>
      <c r="F167" s="74">
        <f t="shared" si="131"/>
        <v>6600</v>
      </c>
      <c r="G167" s="74">
        <f>F167*1.1*1.1</f>
        <v>7986.0000000000018</v>
      </c>
      <c r="H167" s="74">
        <v>9870.3799999999992</v>
      </c>
      <c r="I167" s="74">
        <f t="shared" si="132"/>
        <v>10857.418</v>
      </c>
      <c r="J167" s="74">
        <v>11508.863080000001</v>
      </c>
      <c r="K167" s="74">
        <f>ROUND('26.08.22'!K163*1.04,2)</f>
        <v>16519.63</v>
      </c>
      <c r="L167" s="75" t="s">
        <v>158</v>
      </c>
      <c r="M167" s="69">
        <v>30</v>
      </c>
      <c r="N167" s="76"/>
      <c r="O167" s="78">
        <f t="shared" si="105"/>
        <v>4955.8900000000003</v>
      </c>
      <c r="P167" s="78">
        <f t="shared" si="106"/>
        <v>18832.38</v>
      </c>
      <c r="Q167" s="78">
        <f t="shared" si="107"/>
        <v>16354.433700000001</v>
      </c>
      <c r="R167" s="79">
        <f t="shared" si="108"/>
        <v>56662.333700000003</v>
      </c>
      <c r="S167" s="78">
        <f t="shared" si="109"/>
        <v>4129.91</v>
      </c>
      <c r="T167" s="78">
        <v>0.99</v>
      </c>
      <c r="U167" s="78">
        <f t="shared" si="110"/>
        <v>60792.243700000006</v>
      </c>
      <c r="V167" s="79">
        <f t="shared" si="122"/>
        <v>49296.230319000002</v>
      </c>
      <c r="W167" s="78">
        <f t="shared" si="123"/>
        <v>52889.252019000007</v>
      </c>
      <c r="X167" s="80">
        <v>3</v>
      </c>
      <c r="Y167" s="78">
        <v>3</v>
      </c>
      <c r="Z167" s="80">
        <f t="shared" si="124"/>
        <v>0</v>
      </c>
      <c r="AA167" s="80">
        <f t="shared" si="125"/>
        <v>0</v>
      </c>
      <c r="AB167" s="80">
        <f t="shared" si="126"/>
        <v>49558.89</v>
      </c>
      <c r="AC167" s="80"/>
      <c r="AD167">
        <v>0.1</v>
      </c>
      <c r="AE167" s="78">
        <f t="shared" si="127"/>
        <v>1651.9630000000002</v>
      </c>
      <c r="AF167">
        <v>0.1</v>
      </c>
      <c r="AG167" s="78">
        <f t="shared" si="111"/>
        <v>1651.9630000000002</v>
      </c>
    </row>
    <row r="168" spans="1:33" x14ac:dyDescent="0.2">
      <c r="A168" s="102"/>
      <c r="B168" s="107"/>
      <c r="C168" s="107" t="s">
        <v>48</v>
      </c>
      <c r="D168" s="109">
        <v>1</v>
      </c>
      <c r="E168" s="73">
        <v>5000</v>
      </c>
      <c r="F168" s="74">
        <f t="shared" si="131"/>
        <v>5500</v>
      </c>
      <c r="G168" s="74">
        <f>F168*1.1*1.1</f>
        <v>6655.0000000000018</v>
      </c>
      <c r="H168" s="74">
        <v>8225.31</v>
      </c>
      <c r="I168" s="74">
        <f t="shared" si="132"/>
        <v>9047.8410000000003</v>
      </c>
      <c r="J168" s="74">
        <v>9590.7114600000004</v>
      </c>
      <c r="K168" s="74">
        <f>ROUND('26.08.22'!K164*1.04,2)</f>
        <v>13766.34</v>
      </c>
      <c r="L168" s="75" t="s">
        <v>159</v>
      </c>
      <c r="M168" s="83">
        <v>30</v>
      </c>
      <c r="N168" s="75"/>
      <c r="O168" s="78">
        <f t="shared" si="105"/>
        <v>4129.8999999999996</v>
      </c>
      <c r="P168" s="78">
        <f t="shared" si="106"/>
        <v>15693.63</v>
      </c>
      <c r="Q168" s="78">
        <f t="shared" si="107"/>
        <v>12252.042600000001</v>
      </c>
      <c r="R168" s="79">
        <f t="shared" si="108"/>
        <v>45841.912599999996</v>
      </c>
      <c r="S168" s="78">
        <f t="shared" si="109"/>
        <v>3441.59</v>
      </c>
      <c r="T168" s="78">
        <v>0.89</v>
      </c>
      <c r="U168" s="78">
        <f t="shared" si="110"/>
        <v>49283.502599999993</v>
      </c>
      <c r="V168" s="79">
        <f t="shared" si="122"/>
        <v>39882.463961999994</v>
      </c>
      <c r="W168" s="78">
        <f t="shared" si="123"/>
        <v>42876.647261999991</v>
      </c>
      <c r="X168" s="80">
        <v>3</v>
      </c>
      <c r="Y168" s="78">
        <v>3</v>
      </c>
      <c r="Z168" s="80">
        <f t="shared" si="124"/>
        <v>0</v>
      </c>
      <c r="AA168" s="80">
        <f t="shared" si="125"/>
        <v>0</v>
      </c>
      <c r="AB168" s="80">
        <f t="shared" si="126"/>
        <v>41299.020000000004</v>
      </c>
      <c r="AC168" s="80"/>
      <c r="AD168">
        <v>0.1</v>
      </c>
      <c r="AE168" s="78">
        <f t="shared" si="127"/>
        <v>1376.634</v>
      </c>
      <c r="AF168">
        <v>0.1</v>
      </c>
      <c r="AG168" s="78">
        <f t="shared" si="111"/>
        <v>1376.634</v>
      </c>
    </row>
    <row r="169" spans="1:33" x14ac:dyDescent="0.2">
      <c r="A169" s="102"/>
      <c r="B169" s="107"/>
      <c r="C169" s="107" t="s">
        <v>48</v>
      </c>
      <c r="D169" s="109">
        <v>1</v>
      </c>
      <c r="E169" s="73">
        <v>5000</v>
      </c>
      <c r="F169" s="74">
        <f>ROUND(E169*F$12,2)</f>
        <v>5500</v>
      </c>
      <c r="G169" s="74">
        <f>F169*1.1*1.1</f>
        <v>6655.0000000000018</v>
      </c>
      <c r="H169" s="74">
        <v>8225.31</v>
      </c>
      <c r="I169" s="74">
        <f>H169*$I$12</f>
        <v>9047.8410000000003</v>
      </c>
      <c r="J169" s="74">
        <v>9590.7114600000004</v>
      </c>
      <c r="K169" s="74">
        <f>ROUND('26.08.22'!K165*1.04,2)</f>
        <v>13766.34</v>
      </c>
      <c r="L169" s="75" t="s">
        <v>160</v>
      </c>
      <c r="M169" s="83">
        <v>30</v>
      </c>
      <c r="N169" s="75"/>
      <c r="O169" s="78">
        <f t="shared" si="105"/>
        <v>4129.8999999999996</v>
      </c>
      <c r="P169" s="78">
        <f t="shared" si="106"/>
        <v>15693.63</v>
      </c>
      <c r="Q169" s="78">
        <f t="shared" si="107"/>
        <v>12252.042600000001</v>
      </c>
      <c r="R169" s="79">
        <f t="shared" si="108"/>
        <v>45841.912599999996</v>
      </c>
      <c r="S169" s="78">
        <f t="shared" si="109"/>
        <v>3441.59</v>
      </c>
      <c r="T169" s="78">
        <v>0.89</v>
      </c>
      <c r="U169" s="78">
        <f t="shared" si="110"/>
        <v>49283.502599999993</v>
      </c>
      <c r="V169" s="79">
        <f t="shared" si="122"/>
        <v>39882.463961999994</v>
      </c>
      <c r="W169" s="78">
        <f t="shared" si="123"/>
        <v>42876.647261999991</v>
      </c>
      <c r="X169" s="80">
        <v>3</v>
      </c>
      <c r="Y169" s="78"/>
      <c r="Z169" s="80">
        <f t="shared" si="124"/>
        <v>3</v>
      </c>
      <c r="AA169" s="80">
        <f t="shared" si="125"/>
        <v>41299.020000000004</v>
      </c>
      <c r="AB169" s="80">
        <f t="shared" si="126"/>
        <v>0</v>
      </c>
      <c r="AC169" s="80"/>
      <c r="AD169">
        <v>0.1</v>
      </c>
      <c r="AE169" s="78">
        <f t="shared" si="127"/>
        <v>1376.634</v>
      </c>
      <c r="AF169">
        <v>0.1</v>
      </c>
      <c r="AG169" s="78">
        <f t="shared" si="111"/>
        <v>1376.634</v>
      </c>
    </row>
    <row r="170" spans="1:33" x14ac:dyDescent="0.2">
      <c r="A170" s="102"/>
      <c r="B170" s="107"/>
      <c r="C170" s="122" t="s">
        <v>90</v>
      </c>
      <c r="D170" s="109">
        <v>1</v>
      </c>
      <c r="E170" s="73">
        <v>5000</v>
      </c>
      <c r="F170" s="74">
        <f>ROUND(E170*F$12,2)</f>
        <v>5500</v>
      </c>
      <c r="G170" s="74">
        <f>F170*1.1*1.1</f>
        <v>6655.0000000000018</v>
      </c>
      <c r="H170" s="74">
        <v>8225.31</v>
      </c>
      <c r="I170" s="74">
        <f>H170*$I$12</f>
        <v>9047.8410000000003</v>
      </c>
      <c r="J170" s="74">
        <v>9590.7114600000004</v>
      </c>
      <c r="K170" s="74">
        <f>ROUND('26.08.22'!K166*1.04,2)</f>
        <v>16519.63</v>
      </c>
      <c r="L170" s="75" t="s">
        <v>161</v>
      </c>
      <c r="M170" s="83">
        <v>30</v>
      </c>
      <c r="N170" s="76"/>
      <c r="O170" s="78">
        <f t="shared" si="105"/>
        <v>4955.8900000000003</v>
      </c>
      <c r="P170" s="78">
        <f t="shared" si="106"/>
        <v>18832.38</v>
      </c>
      <c r="Q170" s="78">
        <f t="shared" si="107"/>
        <v>16354.433700000001</v>
      </c>
      <c r="R170" s="79">
        <f t="shared" si="108"/>
        <v>56662.333700000003</v>
      </c>
      <c r="S170" s="78">
        <f t="shared" si="109"/>
        <v>4129.91</v>
      </c>
      <c r="T170" s="78">
        <v>0.99</v>
      </c>
      <c r="U170" s="78">
        <f t="shared" si="110"/>
        <v>60792.243700000006</v>
      </c>
      <c r="V170" s="79">
        <f t="shared" si="122"/>
        <v>49296.230319000002</v>
      </c>
      <c r="W170" s="78">
        <f t="shared" si="123"/>
        <v>52889.252019000007</v>
      </c>
      <c r="X170" s="80">
        <v>3</v>
      </c>
      <c r="Y170" s="78">
        <v>3</v>
      </c>
      <c r="Z170" s="80">
        <f t="shared" si="124"/>
        <v>0</v>
      </c>
      <c r="AA170" s="80">
        <f t="shared" si="125"/>
        <v>0</v>
      </c>
      <c r="AB170" s="80">
        <f t="shared" si="126"/>
        <v>49558.89</v>
      </c>
      <c r="AC170" s="80"/>
      <c r="AD170">
        <v>0.1</v>
      </c>
      <c r="AE170" s="78">
        <f t="shared" si="127"/>
        <v>1651.9630000000002</v>
      </c>
      <c r="AF170">
        <v>0.1</v>
      </c>
      <c r="AG170" s="78">
        <f t="shared" si="111"/>
        <v>1651.9630000000002</v>
      </c>
    </row>
    <row r="171" spans="1:33" ht="23.25" customHeight="1" x14ac:dyDescent="0.2">
      <c r="A171" s="102"/>
      <c r="B171" s="107"/>
      <c r="C171" s="131" t="s">
        <v>136</v>
      </c>
      <c r="D171" s="109">
        <v>1</v>
      </c>
      <c r="E171" s="73">
        <v>4500</v>
      </c>
      <c r="F171" s="74">
        <f t="shared" si="131"/>
        <v>4950</v>
      </c>
      <c r="G171" s="74">
        <f>F171*1.1*1.1+0.5</f>
        <v>5990.0000000000009</v>
      </c>
      <c r="H171" s="74">
        <v>8225.31</v>
      </c>
      <c r="I171" s="74">
        <f t="shared" si="132"/>
        <v>9047.8410000000003</v>
      </c>
      <c r="J171" s="74">
        <v>9590.7114600000004</v>
      </c>
      <c r="K171" s="74">
        <f>ROUND('26.08.22'!K167*1.04,2)</f>
        <v>16519.63</v>
      </c>
      <c r="L171" s="75" t="s">
        <v>162</v>
      </c>
      <c r="M171" s="83">
        <v>30</v>
      </c>
      <c r="N171" s="76"/>
      <c r="O171" s="78">
        <f t="shared" si="105"/>
        <v>4955.8900000000003</v>
      </c>
      <c r="P171" s="78">
        <f t="shared" si="106"/>
        <v>18832.38</v>
      </c>
      <c r="Q171" s="78">
        <f t="shared" si="107"/>
        <v>16354.433700000001</v>
      </c>
      <c r="R171" s="79">
        <f t="shared" si="108"/>
        <v>56662.333700000003</v>
      </c>
      <c r="S171" s="78">
        <f t="shared" si="109"/>
        <v>4129.91</v>
      </c>
      <c r="T171" s="78">
        <v>0.99</v>
      </c>
      <c r="U171" s="78">
        <f t="shared" si="110"/>
        <v>60792.243700000006</v>
      </c>
      <c r="V171" s="79">
        <f t="shared" si="122"/>
        <v>49296.230319000002</v>
      </c>
      <c r="W171" s="78">
        <f t="shared" si="123"/>
        <v>52889.252019000007</v>
      </c>
      <c r="X171" s="80">
        <v>3</v>
      </c>
      <c r="Y171" s="78">
        <v>3</v>
      </c>
      <c r="Z171" s="80">
        <f t="shared" si="124"/>
        <v>0</v>
      </c>
      <c r="AA171" s="80">
        <f t="shared" si="125"/>
        <v>0</v>
      </c>
      <c r="AB171" s="80">
        <f t="shared" si="126"/>
        <v>49558.89</v>
      </c>
      <c r="AC171" s="80"/>
      <c r="AD171">
        <v>0.1</v>
      </c>
      <c r="AE171" s="78">
        <f t="shared" si="127"/>
        <v>1651.9630000000002</v>
      </c>
      <c r="AF171">
        <v>0.1</v>
      </c>
      <c r="AG171" s="78">
        <f t="shared" si="111"/>
        <v>1651.9630000000002</v>
      </c>
    </row>
    <row r="172" spans="1:33" x14ac:dyDescent="0.2">
      <c r="A172" s="102"/>
      <c r="B172" s="107"/>
      <c r="C172" s="107" t="s">
        <v>138</v>
      </c>
      <c r="D172" s="109">
        <v>1</v>
      </c>
      <c r="E172" s="73">
        <v>4500</v>
      </c>
      <c r="F172" s="74">
        <f t="shared" si="131"/>
        <v>4950</v>
      </c>
      <c r="G172" s="74">
        <f>F172*1.1*1.1+0.5</f>
        <v>5990.0000000000009</v>
      </c>
      <c r="H172" s="74">
        <v>7402.79</v>
      </c>
      <c r="I172" s="74">
        <f t="shared" si="132"/>
        <v>8143.0690000000004</v>
      </c>
      <c r="J172" s="74">
        <v>8631.6531400000003</v>
      </c>
      <c r="K172" s="74">
        <f>ROUND('26.08.22'!K168*1.04,2)</f>
        <v>12389.73</v>
      </c>
      <c r="L172" s="75" t="s">
        <v>163</v>
      </c>
      <c r="M172" s="76">
        <v>0</v>
      </c>
      <c r="N172" s="76"/>
      <c r="O172" s="78">
        <f t="shared" si="105"/>
        <v>0</v>
      </c>
      <c r="P172" s="78">
        <f>ROUND(K172*1.14,2)</f>
        <v>14124.29</v>
      </c>
      <c r="Q172" s="78">
        <f t="shared" si="107"/>
        <v>6690.4542000000001</v>
      </c>
      <c r="R172" s="79">
        <f t="shared" si="108"/>
        <v>33204.474199999997</v>
      </c>
      <c r="S172" s="78">
        <f t="shared" si="109"/>
        <v>3097.43</v>
      </c>
      <c r="T172" s="78">
        <v>0.54</v>
      </c>
      <c r="U172" s="78">
        <f t="shared" si="110"/>
        <v>36301.904199999997</v>
      </c>
      <c r="V172" s="79">
        <f t="shared" si="122"/>
        <v>28887.892553999998</v>
      </c>
      <c r="W172" s="78">
        <f t="shared" si="123"/>
        <v>31582.656653999999</v>
      </c>
      <c r="X172" s="80">
        <v>3</v>
      </c>
      <c r="Y172" s="78">
        <v>3</v>
      </c>
      <c r="Z172" s="80">
        <f t="shared" si="124"/>
        <v>0</v>
      </c>
      <c r="AA172" s="80">
        <f t="shared" si="125"/>
        <v>0</v>
      </c>
      <c r="AB172" s="80">
        <f t="shared" si="126"/>
        <v>37169.19</v>
      </c>
      <c r="AC172" s="80"/>
      <c r="AD172">
        <v>0.1</v>
      </c>
      <c r="AE172" s="78">
        <f t="shared" si="127"/>
        <v>1238.973</v>
      </c>
      <c r="AF172">
        <v>0.1</v>
      </c>
      <c r="AG172" s="78">
        <f t="shared" si="111"/>
        <v>1238.973</v>
      </c>
    </row>
    <row r="173" spans="1:33" ht="13.5" x14ac:dyDescent="0.2">
      <c r="A173" s="102"/>
      <c r="B173" s="107"/>
      <c r="C173" s="119" t="s">
        <v>48</v>
      </c>
      <c r="D173" s="238">
        <v>0</v>
      </c>
      <c r="E173" s="239">
        <v>6000</v>
      </c>
      <c r="F173" s="240">
        <f>ROUND(E173*F$12,2)</f>
        <v>6600</v>
      </c>
      <c r="G173" s="240">
        <f>F173*1.1*1.1</f>
        <v>7986.0000000000018</v>
      </c>
      <c r="H173" s="240">
        <v>9870.3799999999992</v>
      </c>
      <c r="I173" s="240">
        <f>H173*$I$12</f>
        <v>10857.418</v>
      </c>
      <c r="J173" s="240">
        <v>11508.863080000001</v>
      </c>
      <c r="K173" s="240">
        <v>0</v>
      </c>
      <c r="L173" s="241" t="s">
        <v>166</v>
      </c>
      <c r="M173" s="83">
        <v>30</v>
      </c>
      <c r="N173" s="76"/>
      <c r="O173" s="78">
        <f>ROUND((K173*M173/100),2)</f>
        <v>0</v>
      </c>
      <c r="P173" s="78">
        <f>ROUND(K173*1.14,2)</f>
        <v>0</v>
      </c>
      <c r="Q173" s="78">
        <f>K173*T173</f>
        <v>0</v>
      </c>
      <c r="R173" s="79">
        <f>K173+O173+P173+Q173</f>
        <v>0</v>
      </c>
      <c r="S173" s="78">
        <f>ROUND(K173*S$12,2)</f>
        <v>0</v>
      </c>
      <c r="T173" s="78">
        <v>0.89</v>
      </c>
      <c r="U173" s="78">
        <f>K173+O173+P173+Q173+S173</f>
        <v>0</v>
      </c>
      <c r="V173" s="79">
        <f t="shared" si="122"/>
        <v>0</v>
      </c>
      <c r="W173" s="78">
        <f t="shared" si="123"/>
        <v>0</v>
      </c>
      <c r="X173" s="80"/>
      <c r="Y173" s="78"/>
      <c r="Z173" s="80"/>
      <c r="AA173" s="80"/>
      <c r="AB173" s="80"/>
      <c r="AC173" s="80"/>
      <c r="AE173" s="78"/>
      <c r="AG173" s="78"/>
    </row>
    <row r="174" spans="1:33" ht="13.5" x14ac:dyDescent="0.2">
      <c r="A174" s="102"/>
      <c r="B174" s="107"/>
      <c r="C174" s="119" t="s">
        <v>48</v>
      </c>
      <c r="D174" s="242">
        <v>1</v>
      </c>
      <c r="E174" s="239">
        <v>5000</v>
      </c>
      <c r="F174" s="240">
        <f>ROUND(E174*F$12,2)</f>
        <v>5500</v>
      </c>
      <c r="G174" s="240">
        <f>F174*1.1*1.1</f>
        <v>6655.0000000000018</v>
      </c>
      <c r="H174" s="240">
        <v>8225.31</v>
      </c>
      <c r="I174" s="240">
        <f>H174*$I$12</f>
        <v>9047.8410000000003</v>
      </c>
      <c r="J174" s="240">
        <v>9590.7114600000004</v>
      </c>
      <c r="K174" s="240">
        <v>13766.34</v>
      </c>
      <c r="L174" s="241" t="s">
        <v>167</v>
      </c>
      <c r="M174" s="83">
        <v>30</v>
      </c>
      <c r="N174" s="76"/>
      <c r="O174" s="78">
        <f t="shared" si="105"/>
        <v>4129.8999999999996</v>
      </c>
      <c r="P174" s="78">
        <f t="shared" si="106"/>
        <v>15693.63</v>
      </c>
      <c r="Q174" s="78">
        <f t="shared" si="107"/>
        <v>12252.042600000001</v>
      </c>
      <c r="R174" s="79">
        <f t="shared" si="108"/>
        <v>45841.912599999996</v>
      </c>
      <c r="S174" s="78">
        <f t="shared" si="109"/>
        <v>3441.59</v>
      </c>
      <c r="T174" s="78">
        <v>0.89</v>
      </c>
      <c r="U174" s="78">
        <f t="shared" si="110"/>
        <v>49283.502599999993</v>
      </c>
      <c r="V174" s="79">
        <f t="shared" si="122"/>
        <v>39882.463961999994</v>
      </c>
      <c r="W174" s="78">
        <f t="shared" si="123"/>
        <v>42876.647261999991</v>
      </c>
      <c r="X174" s="80"/>
      <c r="Y174" s="78"/>
      <c r="Z174" s="80"/>
      <c r="AA174" s="80"/>
      <c r="AB174" s="80"/>
      <c r="AC174" s="80"/>
      <c r="AE174" s="78"/>
      <c r="AG174" s="78"/>
    </row>
    <row r="175" spans="1:33" ht="25.5" x14ac:dyDescent="0.2">
      <c r="A175" s="102"/>
      <c r="B175" s="107"/>
      <c r="C175" s="237" t="s">
        <v>136</v>
      </c>
      <c r="D175" s="242"/>
      <c r="E175" s="239">
        <v>5000</v>
      </c>
      <c r="F175" s="240">
        <f>ROUND(E175*F$12,2)</f>
        <v>5500</v>
      </c>
      <c r="G175" s="240">
        <f>F175*1.1*1.1</f>
        <v>6655.0000000000018</v>
      </c>
      <c r="H175" s="240">
        <v>8225.31</v>
      </c>
      <c r="I175" s="240">
        <f>H175*$I$12</f>
        <v>9047.8410000000003</v>
      </c>
      <c r="J175" s="240">
        <v>9590.7114600000004</v>
      </c>
      <c r="K175" s="240"/>
      <c r="L175" s="241" t="s">
        <v>168</v>
      </c>
      <c r="M175" s="83">
        <v>30</v>
      </c>
      <c r="N175" s="76"/>
      <c r="O175" s="78">
        <f>ROUND((K175*M175/100),2)</f>
        <v>0</v>
      </c>
      <c r="P175" s="78">
        <f>ROUND(K175*1.14,2)</f>
        <v>0</v>
      </c>
      <c r="Q175" s="78">
        <f>K175*T175</f>
        <v>0</v>
      </c>
      <c r="R175" s="79">
        <f>K175+O175+P175+Q175</f>
        <v>0</v>
      </c>
      <c r="S175" s="78">
        <f>ROUND(K175*S$12,2)</f>
        <v>0</v>
      </c>
      <c r="T175" s="78">
        <v>0.99</v>
      </c>
      <c r="U175" s="78">
        <f>K175+O175+P175+Q175+S175</f>
        <v>0</v>
      </c>
      <c r="V175" s="79">
        <f t="shared" si="122"/>
        <v>0</v>
      </c>
      <c r="W175" s="78">
        <f t="shared" si="123"/>
        <v>0</v>
      </c>
      <c r="X175" s="80"/>
      <c r="Y175" s="78"/>
      <c r="Z175" s="80"/>
      <c r="AA175" s="80"/>
      <c r="AB175" s="80"/>
      <c r="AC175" s="80"/>
      <c r="AE175" s="78"/>
      <c r="AG175" s="78"/>
    </row>
    <row r="176" spans="1:33" ht="13.5" x14ac:dyDescent="0.2">
      <c r="A176" s="102"/>
      <c r="B176" s="107"/>
      <c r="C176" s="119" t="s">
        <v>48</v>
      </c>
      <c r="D176" s="242"/>
      <c r="E176" s="239">
        <v>4500</v>
      </c>
      <c r="F176" s="240">
        <f>ROUND(E176*F$12,2)</f>
        <v>4950</v>
      </c>
      <c r="G176" s="240">
        <f>F176*1.1*1.1+0.5</f>
        <v>5990.0000000000009</v>
      </c>
      <c r="H176" s="240">
        <v>7402.79</v>
      </c>
      <c r="I176" s="240">
        <f>H176*$I$12</f>
        <v>8143.0690000000004</v>
      </c>
      <c r="J176" s="240">
        <v>8631.6531400000003</v>
      </c>
      <c r="K176" s="240"/>
      <c r="L176" s="241" t="s">
        <v>169</v>
      </c>
      <c r="M176" s="83">
        <v>30</v>
      </c>
      <c r="N176" s="76"/>
      <c r="O176" s="78">
        <f t="shared" si="105"/>
        <v>0</v>
      </c>
      <c r="P176" s="78">
        <f>ROUND(K176*1.14,2)</f>
        <v>0</v>
      </c>
      <c r="Q176" s="78">
        <f t="shared" si="107"/>
        <v>0</v>
      </c>
      <c r="R176" s="79">
        <f t="shared" si="108"/>
        <v>0</v>
      </c>
      <c r="S176" s="78">
        <f t="shared" si="109"/>
        <v>0</v>
      </c>
      <c r="T176" s="78">
        <v>0.89</v>
      </c>
      <c r="U176" s="78">
        <f t="shared" si="110"/>
        <v>0</v>
      </c>
      <c r="V176" s="79">
        <f t="shared" si="122"/>
        <v>0</v>
      </c>
      <c r="W176" s="78">
        <f t="shared" si="123"/>
        <v>0</v>
      </c>
      <c r="X176" s="80"/>
      <c r="Y176" s="78"/>
      <c r="Z176" s="80"/>
      <c r="AA176" s="80"/>
      <c r="AB176" s="80"/>
      <c r="AC176" s="80"/>
      <c r="AE176" s="78"/>
      <c r="AG176" s="78"/>
    </row>
    <row r="177" spans="1:33" x14ac:dyDescent="0.2">
      <c r="A177" s="107"/>
      <c r="B177" s="181"/>
      <c r="C177" s="181" t="s">
        <v>140</v>
      </c>
      <c r="D177" s="111">
        <f>SUM(D166:D176)</f>
        <v>8</v>
      </c>
      <c r="E177" s="95">
        <f t="shared" ref="E177:I177" si="133">SUM(E166:E172)</f>
        <v>37500</v>
      </c>
      <c r="F177" s="95">
        <f t="shared" si="133"/>
        <v>41250</v>
      </c>
      <c r="G177" s="95">
        <f t="shared" si="133"/>
        <v>49914</v>
      </c>
      <c r="H177" s="95">
        <f t="shared" si="133"/>
        <v>62512.389999999992</v>
      </c>
      <c r="I177" s="95">
        <f t="shared" si="133"/>
        <v>68763.629000000001</v>
      </c>
      <c r="J177" s="95">
        <v>63298.735280000001</v>
      </c>
      <c r="K177" s="90">
        <f>SUM(K166:K176)</f>
        <v>123897.18</v>
      </c>
      <c r="L177" s="90"/>
      <c r="M177" s="90"/>
      <c r="N177" s="90">
        <f t="shared" ref="N177" si="134">SUM(N166:N172)</f>
        <v>0</v>
      </c>
      <c r="O177" s="90">
        <f>SUM(O166:O176)</f>
        <v>33452.229999999996</v>
      </c>
      <c r="P177" s="90">
        <f t="shared" ref="P177:W177" si="135">SUM(P166:P176)</f>
        <v>141242.80000000002</v>
      </c>
      <c r="Q177" s="90">
        <f t="shared" si="135"/>
        <v>122245.22069999999</v>
      </c>
      <c r="R177" s="90">
        <f t="shared" si="135"/>
        <v>420837.43069999997</v>
      </c>
      <c r="S177" s="90">
        <f t="shared" si="135"/>
        <v>30974.32</v>
      </c>
      <c r="T177" s="90">
        <f t="shared" si="135"/>
        <v>10.39</v>
      </c>
      <c r="U177" s="90">
        <f t="shared" si="135"/>
        <v>451811.75069999998</v>
      </c>
      <c r="V177" s="90">
        <f t="shared" si="135"/>
        <v>366128.56470899994</v>
      </c>
      <c r="W177" s="90">
        <f t="shared" si="135"/>
        <v>393076.22310900001</v>
      </c>
      <c r="X177" s="80"/>
      <c r="Y177" s="90"/>
      <c r="Z177" s="80"/>
      <c r="AA177" s="80">
        <f t="shared" si="125"/>
        <v>0</v>
      </c>
      <c r="AB177" s="80">
        <f t="shared" si="126"/>
        <v>0</v>
      </c>
      <c r="AC177" s="91"/>
      <c r="AD177">
        <v>0.1</v>
      </c>
      <c r="AE177" s="90">
        <f t="shared" si="127"/>
        <v>12389.718000000001</v>
      </c>
      <c r="AF177">
        <v>0.1</v>
      </c>
      <c r="AG177" s="90">
        <f t="shared" si="111"/>
        <v>12389.718000000001</v>
      </c>
    </row>
    <row r="178" spans="1:33" ht="22.5" customHeight="1" x14ac:dyDescent="0.2">
      <c r="A178" s="71" t="s">
        <v>164</v>
      </c>
      <c r="B178" s="93"/>
      <c r="C178" s="93"/>
      <c r="D178" s="93"/>
      <c r="E178" s="93"/>
      <c r="F178" s="93"/>
      <c r="G178" s="93"/>
      <c r="H178" s="93"/>
      <c r="I178" s="93"/>
      <c r="J178" s="93"/>
      <c r="K178" s="232"/>
      <c r="L178" s="93"/>
      <c r="M178" s="93"/>
      <c r="N178" s="93"/>
      <c r="O178" s="93"/>
      <c r="P178" s="130">
        <v>1.1399999999999999</v>
      </c>
      <c r="Q178" s="93"/>
      <c r="R178" s="184"/>
      <c r="S178" s="93"/>
      <c r="T178" s="130"/>
      <c r="U178" s="93"/>
      <c r="V178" s="184"/>
      <c r="W178" s="93"/>
      <c r="X178" s="80"/>
      <c r="Y178" s="93"/>
      <c r="Z178" s="80"/>
      <c r="AA178" s="80">
        <f t="shared" si="125"/>
        <v>0</v>
      </c>
      <c r="AB178" s="80">
        <f t="shared" si="126"/>
        <v>0</v>
      </c>
      <c r="AC178" s="185"/>
      <c r="AD178">
        <v>0.1</v>
      </c>
      <c r="AE178" s="93"/>
      <c r="AG178" s="93"/>
    </row>
    <row r="179" spans="1:33" x14ac:dyDescent="0.2">
      <c r="A179" s="102"/>
      <c r="B179" s="87"/>
      <c r="C179" s="87" t="s">
        <v>133</v>
      </c>
      <c r="D179" s="72"/>
      <c r="E179" s="73">
        <v>7500</v>
      </c>
      <c r="F179" s="74">
        <f>ROUND(E179*F$12,2)</f>
        <v>8250</v>
      </c>
      <c r="G179" s="74">
        <f>F179*1.1*1.1+0.5</f>
        <v>9983</v>
      </c>
      <c r="H179" s="74">
        <v>12337.98</v>
      </c>
      <c r="I179" s="74">
        <f>H179*$I$12</f>
        <v>13571.778</v>
      </c>
      <c r="J179" s="74">
        <v>14386.084680000002</v>
      </c>
      <c r="K179" s="74"/>
      <c r="L179" s="75" t="s">
        <v>165</v>
      </c>
      <c r="M179" s="83">
        <v>30</v>
      </c>
      <c r="N179" s="83"/>
      <c r="O179" s="78">
        <f t="shared" si="105"/>
        <v>0</v>
      </c>
      <c r="P179" s="78">
        <f t="shared" si="106"/>
        <v>0</v>
      </c>
      <c r="Q179" s="78">
        <f t="shared" si="107"/>
        <v>0</v>
      </c>
      <c r="R179" s="79">
        <f t="shared" si="108"/>
        <v>0</v>
      </c>
      <c r="S179" s="78">
        <f t="shared" si="109"/>
        <v>0</v>
      </c>
      <c r="T179" s="78">
        <v>1.44</v>
      </c>
      <c r="U179" s="78">
        <f t="shared" si="110"/>
        <v>0</v>
      </c>
      <c r="V179" s="79">
        <f t="shared" si="122"/>
        <v>0</v>
      </c>
      <c r="W179" s="78">
        <f t="shared" si="123"/>
        <v>0</v>
      </c>
      <c r="X179" s="80">
        <v>3</v>
      </c>
      <c r="Y179" s="78"/>
      <c r="Z179" s="80">
        <f t="shared" si="124"/>
        <v>3</v>
      </c>
      <c r="AA179" s="80">
        <f t="shared" si="125"/>
        <v>0</v>
      </c>
      <c r="AB179" s="80">
        <f t="shared" si="126"/>
        <v>0</v>
      </c>
      <c r="AC179" s="80"/>
      <c r="AD179">
        <v>0.1</v>
      </c>
      <c r="AE179" s="78">
        <f t="shared" si="127"/>
        <v>0</v>
      </c>
      <c r="AF179">
        <v>0.1</v>
      </c>
      <c r="AG179" s="78">
        <f t="shared" si="111"/>
        <v>0</v>
      </c>
    </row>
    <row r="180" spans="1:33" ht="19.5" customHeight="1" x14ac:dyDescent="0.2">
      <c r="A180" s="102"/>
      <c r="B180" s="87"/>
      <c r="C180" s="131" t="s">
        <v>90</v>
      </c>
      <c r="D180" s="72"/>
      <c r="E180" s="73">
        <v>6000</v>
      </c>
      <c r="F180" s="74">
        <f>ROUND(E180*F$12,2)</f>
        <v>6600</v>
      </c>
      <c r="G180" s="74">
        <f>F180*1.1*1.1</f>
        <v>7986.0000000000018</v>
      </c>
      <c r="H180" s="74">
        <v>9870.3799999999992</v>
      </c>
      <c r="I180" s="74">
        <f>H180*$I$12</f>
        <v>10857.418</v>
      </c>
      <c r="J180" s="74">
        <v>11508.863080000001</v>
      </c>
      <c r="K180" s="74"/>
      <c r="L180" s="105" t="s">
        <v>166</v>
      </c>
      <c r="M180" s="83">
        <v>30</v>
      </c>
      <c r="N180" s="83"/>
      <c r="O180" s="78">
        <f t="shared" si="105"/>
        <v>0</v>
      </c>
      <c r="P180" s="78">
        <f t="shared" si="106"/>
        <v>0</v>
      </c>
      <c r="Q180" s="78">
        <f t="shared" si="107"/>
        <v>0</v>
      </c>
      <c r="R180" s="79">
        <f t="shared" si="108"/>
        <v>0</v>
      </c>
      <c r="S180" s="78">
        <f t="shared" si="109"/>
        <v>0</v>
      </c>
      <c r="T180" s="78">
        <v>0.99</v>
      </c>
      <c r="U180" s="78">
        <f t="shared" si="110"/>
        <v>0</v>
      </c>
      <c r="V180" s="79">
        <f t="shared" si="122"/>
        <v>0</v>
      </c>
      <c r="W180" s="78">
        <f t="shared" si="123"/>
        <v>0</v>
      </c>
      <c r="X180" s="80">
        <v>3</v>
      </c>
      <c r="Y180" s="78">
        <v>3</v>
      </c>
      <c r="Z180" s="80">
        <f t="shared" si="124"/>
        <v>0</v>
      </c>
      <c r="AA180" s="80">
        <f t="shared" si="125"/>
        <v>0</v>
      </c>
      <c r="AB180" s="80">
        <f t="shared" si="126"/>
        <v>0</v>
      </c>
      <c r="AC180" s="80"/>
      <c r="AD180">
        <v>0.1</v>
      </c>
      <c r="AE180" s="78">
        <f t="shared" si="127"/>
        <v>0</v>
      </c>
      <c r="AF180">
        <v>0.1</v>
      </c>
      <c r="AG180" s="78">
        <f t="shared" si="111"/>
        <v>0</v>
      </c>
    </row>
    <row r="181" spans="1:33" ht="12" customHeight="1" x14ac:dyDescent="0.2">
      <c r="A181" s="102"/>
      <c r="B181" s="87"/>
      <c r="C181" s="107" t="s">
        <v>48</v>
      </c>
      <c r="D181" s="109"/>
      <c r="E181" s="73">
        <v>5000</v>
      </c>
      <c r="F181" s="74">
        <f>ROUND(E181*F$12,2)</f>
        <v>5500</v>
      </c>
      <c r="G181" s="74">
        <f>F181*1.1*1.1</f>
        <v>6655.0000000000018</v>
      </c>
      <c r="H181" s="74">
        <v>8225.31</v>
      </c>
      <c r="I181" s="74">
        <f>H181*$I$12</f>
        <v>9047.8410000000003</v>
      </c>
      <c r="J181" s="74">
        <v>9590.7114600000004</v>
      </c>
      <c r="K181" s="74"/>
      <c r="L181" s="105" t="s">
        <v>167</v>
      </c>
      <c r="M181" s="83">
        <v>30</v>
      </c>
      <c r="N181" s="83"/>
      <c r="O181" s="78">
        <f t="shared" si="105"/>
        <v>0</v>
      </c>
      <c r="P181" s="78">
        <f t="shared" si="106"/>
        <v>0</v>
      </c>
      <c r="Q181" s="78">
        <f t="shared" si="107"/>
        <v>0</v>
      </c>
      <c r="R181" s="79">
        <f t="shared" si="108"/>
        <v>0</v>
      </c>
      <c r="S181" s="78">
        <f t="shared" si="109"/>
        <v>0</v>
      </c>
      <c r="T181" s="78">
        <v>0.89</v>
      </c>
      <c r="U181" s="78">
        <f t="shared" si="110"/>
        <v>0</v>
      </c>
      <c r="V181" s="79">
        <f t="shared" si="122"/>
        <v>0</v>
      </c>
      <c r="W181" s="78">
        <f t="shared" si="123"/>
        <v>0</v>
      </c>
      <c r="X181" s="80">
        <v>3</v>
      </c>
      <c r="Y181" s="78"/>
      <c r="Z181" s="80">
        <f t="shared" si="124"/>
        <v>3</v>
      </c>
      <c r="AA181" s="80">
        <f t="shared" si="125"/>
        <v>0</v>
      </c>
      <c r="AB181" s="80">
        <f t="shared" si="126"/>
        <v>0</v>
      </c>
      <c r="AC181" s="80"/>
      <c r="AD181">
        <v>0.1</v>
      </c>
      <c r="AE181" s="78">
        <f t="shared" si="127"/>
        <v>0</v>
      </c>
      <c r="AF181">
        <v>0.1</v>
      </c>
      <c r="AG181" s="78">
        <f t="shared" si="111"/>
        <v>0</v>
      </c>
    </row>
    <row r="182" spans="1:33" ht="30" customHeight="1" x14ac:dyDescent="0.2">
      <c r="A182" s="102"/>
      <c r="B182" s="107"/>
      <c r="C182" s="131" t="s">
        <v>136</v>
      </c>
      <c r="D182" s="109"/>
      <c r="E182" s="73">
        <v>5000</v>
      </c>
      <c r="F182" s="74">
        <f>ROUND(E182*F$12,2)</f>
        <v>5500</v>
      </c>
      <c r="G182" s="74">
        <f>F182*1.1*1.1</f>
        <v>6655.0000000000018</v>
      </c>
      <c r="H182" s="74">
        <v>8225.31</v>
      </c>
      <c r="I182" s="74">
        <f>H182*$I$12</f>
        <v>9047.8410000000003</v>
      </c>
      <c r="J182" s="74">
        <v>9590.7114600000004</v>
      </c>
      <c r="K182" s="74"/>
      <c r="L182" s="105" t="s">
        <v>168</v>
      </c>
      <c r="M182" s="83">
        <v>30</v>
      </c>
      <c r="N182" s="83"/>
      <c r="O182" s="78">
        <f t="shared" si="105"/>
        <v>0</v>
      </c>
      <c r="P182" s="78">
        <f t="shared" si="106"/>
        <v>0</v>
      </c>
      <c r="Q182" s="78">
        <f t="shared" si="107"/>
        <v>0</v>
      </c>
      <c r="R182" s="79">
        <f t="shared" si="108"/>
        <v>0</v>
      </c>
      <c r="S182" s="78">
        <f t="shared" si="109"/>
        <v>0</v>
      </c>
      <c r="T182" s="78">
        <v>0.99</v>
      </c>
      <c r="U182" s="78">
        <f t="shared" si="110"/>
        <v>0</v>
      </c>
      <c r="V182" s="79">
        <f t="shared" si="122"/>
        <v>0</v>
      </c>
      <c r="W182" s="78">
        <f t="shared" si="123"/>
        <v>0</v>
      </c>
      <c r="X182" s="80">
        <v>3</v>
      </c>
      <c r="Y182" s="78">
        <v>3</v>
      </c>
      <c r="Z182" s="80">
        <f t="shared" si="124"/>
        <v>0</v>
      </c>
      <c r="AA182" s="80">
        <f t="shared" si="125"/>
        <v>0</v>
      </c>
      <c r="AB182" s="80">
        <f t="shared" si="126"/>
        <v>0</v>
      </c>
      <c r="AC182" s="80"/>
      <c r="AD182">
        <v>0.1</v>
      </c>
      <c r="AE182" s="78">
        <f t="shared" si="127"/>
        <v>0</v>
      </c>
      <c r="AF182">
        <v>0.1</v>
      </c>
      <c r="AG182" s="78">
        <f t="shared" si="111"/>
        <v>0</v>
      </c>
    </row>
    <row r="183" spans="1:33" x14ac:dyDescent="0.2">
      <c r="A183" s="102"/>
      <c r="B183" s="107"/>
      <c r="C183" s="107" t="s">
        <v>138</v>
      </c>
      <c r="D183" s="109"/>
      <c r="E183" s="73">
        <v>4500</v>
      </c>
      <c r="F183" s="74">
        <f>ROUND(E183*F$12,2)</f>
        <v>4950</v>
      </c>
      <c r="G183" s="74">
        <f>F183*1.1*1.1+0.5</f>
        <v>5990.0000000000009</v>
      </c>
      <c r="H183" s="74">
        <v>7402.79</v>
      </c>
      <c r="I183" s="74">
        <f>H183*$I$12</f>
        <v>8143.0690000000004</v>
      </c>
      <c r="J183" s="74">
        <v>8631.6531400000003</v>
      </c>
      <c r="K183" s="74"/>
      <c r="L183" s="105" t="s">
        <v>169</v>
      </c>
      <c r="M183" s="76">
        <v>0</v>
      </c>
      <c r="N183" s="76"/>
      <c r="O183" s="78">
        <f t="shared" si="105"/>
        <v>0</v>
      </c>
      <c r="P183" s="78">
        <f t="shared" si="106"/>
        <v>0</v>
      </c>
      <c r="Q183" s="78">
        <f t="shared" si="107"/>
        <v>0</v>
      </c>
      <c r="R183" s="79">
        <f t="shared" si="108"/>
        <v>0</v>
      </c>
      <c r="S183" s="78">
        <f t="shared" si="109"/>
        <v>0</v>
      </c>
      <c r="T183" s="78">
        <v>0.54</v>
      </c>
      <c r="U183" s="78">
        <f t="shared" si="110"/>
        <v>0</v>
      </c>
      <c r="V183" s="79">
        <f t="shared" si="122"/>
        <v>0</v>
      </c>
      <c r="W183" s="78">
        <f t="shared" si="123"/>
        <v>0</v>
      </c>
      <c r="X183" s="80">
        <v>3</v>
      </c>
      <c r="Y183" s="78"/>
      <c r="Z183" s="80">
        <f t="shared" si="124"/>
        <v>3</v>
      </c>
      <c r="AA183" s="80">
        <f t="shared" si="125"/>
        <v>0</v>
      </c>
      <c r="AB183" s="80">
        <f t="shared" si="126"/>
        <v>0</v>
      </c>
      <c r="AC183" s="80"/>
      <c r="AD183">
        <v>0.1</v>
      </c>
      <c r="AE183" s="78">
        <f t="shared" si="127"/>
        <v>0</v>
      </c>
      <c r="AF183">
        <v>0.1</v>
      </c>
      <c r="AG183" s="78">
        <f t="shared" si="111"/>
        <v>0</v>
      </c>
    </row>
    <row r="184" spans="1:33" x14ac:dyDescent="0.2">
      <c r="A184" s="107"/>
      <c r="B184" s="181"/>
      <c r="C184" s="181" t="s">
        <v>140</v>
      </c>
      <c r="D184" s="111">
        <f t="shared" ref="D184:I184" si="136">SUM(D179:D183)</f>
        <v>0</v>
      </c>
      <c r="E184" s="95">
        <f t="shared" si="136"/>
        <v>28000</v>
      </c>
      <c r="F184" s="95">
        <f t="shared" si="136"/>
        <v>30800</v>
      </c>
      <c r="G184" s="95">
        <f t="shared" si="136"/>
        <v>37269</v>
      </c>
      <c r="H184" s="95">
        <f t="shared" si="136"/>
        <v>46061.77</v>
      </c>
      <c r="I184" s="95">
        <f t="shared" si="136"/>
        <v>50667.947</v>
      </c>
      <c r="J184" s="95">
        <v>53708.023820000002</v>
      </c>
      <c r="K184" s="90">
        <f>SUM(K179:K183)</f>
        <v>0</v>
      </c>
      <c r="L184" s="90"/>
      <c r="M184" s="90"/>
      <c r="N184" s="90">
        <f t="shared" ref="N184" si="137">SUM(N179:N183)</f>
        <v>0</v>
      </c>
      <c r="O184" s="90">
        <f>SUM(O179:O183)</f>
        <v>0</v>
      </c>
      <c r="P184" s="90">
        <f t="shared" ref="P184:W184" si="138">SUM(P179:P183)</f>
        <v>0</v>
      </c>
      <c r="Q184" s="90">
        <f t="shared" si="138"/>
        <v>0</v>
      </c>
      <c r="R184" s="90">
        <f t="shared" si="138"/>
        <v>0</v>
      </c>
      <c r="S184" s="90">
        <f t="shared" si="138"/>
        <v>0</v>
      </c>
      <c r="T184" s="90">
        <f t="shared" si="138"/>
        <v>4.8499999999999996</v>
      </c>
      <c r="U184" s="90">
        <f t="shared" si="138"/>
        <v>0</v>
      </c>
      <c r="V184" s="90">
        <f t="shared" si="138"/>
        <v>0</v>
      </c>
      <c r="W184" s="90">
        <f t="shared" si="138"/>
        <v>0</v>
      </c>
      <c r="X184" s="80"/>
      <c r="Y184" s="90"/>
      <c r="Z184" s="80"/>
      <c r="AA184" s="80">
        <f t="shared" si="125"/>
        <v>0</v>
      </c>
      <c r="AB184" s="80">
        <f t="shared" si="126"/>
        <v>0</v>
      </c>
      <c r="AC184" s="91"/>
      <c r="AD184">
        <v>0.1</v>
      </c>
      <c r="AE184" s="90">
        <f t="shared" si="127"/>
        <v>0</v>
      </c>
      <c r="AF184">
        <v>0.1</v>
      </c>
      <c r="AG184" s="90">
        <f t="shared" si="111"/>
        <v>0</v>
      </c>
    </row>
    <row r="185" spans="1:33" ht="31.5" customHeight="1" x14ac:dyDescent="0.2">
      <c r="A185" s="71" t="s">
        <v>170</v>
      </c>
      <c r="B185" s="97"/>
      <c r="C185" s="97"/>
      <c r="D185" s="94"/>
      <c r="E185" s="95"/>
      <c r="F185" s="95"/>
      <c r="G185" s="95"/>
      <c r="H185" s="95"/>
      <c r="I185" s="95"/>
      <c r="J185" s="95"/>
      <c r="K185" s="90"/>
      <c r="L185" s="96"/>
      <c r="M185" s="96"/>
      <c r="N185" s="96"/>
      <c r="O185" s="96"/>
      <c r="P185" s="130">
        <v>1.1399999999999999</v>
      </c>
      <c r="Q185" s="96"/>
      <c r="R185" s="186"/>
      <c r="S185" s="96"/>
      <c r="T185" s="130"/>
      <c r="U185" s="96"/>
      <c r="V185" s="186"/>
      <c r="W185" s="96"/>
      <c r="X185" s="80"/>
      <c r="Y185" s="96"/>
      <c r="Z185" s="80"/>
      <c r="AA185" s="80">
        <f t="shared" si="125"/>
        <v>0</v>
      </c>
      <c r="AB185" s="80">
        <f t="shared" si="126"/>
        <v>0</v>
      </c>
      <c r="AC185" s="144"/>
      <c r="AD185">
        <v>0.1</v>
      </c>
      <c r="AE185" s="96"/>
      <c r="AG185" s="96"/>
    </row>
    <row r="186" spans="1:33" x14ac:dyDescent="0.2">
      <c r="A186" s="102"/>
      <c r="B186" s="87"/>
      <c r="C186" s="87" t="s">
        <v>133</v>
      </c>
      <c r="D186" s="72">
        <v>1</v>
      </c>
      <c r="E186" s="73">
        <v>7000</v>
      </c>
      <c r="F186" s="74">
        <f t="shared" ref="F186:F192" si="139">ROUND(E186*F$12,2)</f>
        <v>7700</v>
      </c>
      <c r="G186" s="74">
        <f>F186*1.1*1.1</f>
        <v>9317</v>
      </c>
      <c r="H186" s="74">
        <v>11515.44</v>
      </c>
      <c r="I186" s="74">
        <f t="shared" ref="I186:I192" si="140">H186*$I$12</f>
        <v>12666.984000000002</v>
      </c>
      <c r="J186" s="74">
        <v>13427.003040000003</v>
      </c>
      <c r="K186" s="74">
        <f>ROUND('26.08.22'!K178*1.04,2)</f>
        <v>20649.54</v>
      </c>
      <c r="L186" s="75" t="s">
        <v>171</v>
      </c>
      <c r="M186" s="76">
        <v>30</v>
      </c>
      <c r="N186" s="76"/>
      <c r="O186" s="78">
        <f t="shared" si="105"/>
        <v>6194.86</v>
      </c>
      <c r="P186" s="78">
        <f t="shared" si="106"/>
        <v>23540.48</v>
      </c>
      <c r="Q186" s="78">
        <f t="shared" si="107"/>
        <v>29735.337599999999</v>
      </c>
      <c r="R186" s="79">
        <f t="shared" si="108"/>
        <v>80120.217600000004</v>
      </c>
      <c r="S186" s="78">
        <f t="shared" si="109"/>
        <v>5162.3900000000003</v>
      </c>
      <c r="T186" s="78">
        <v>1.44</v>
      </c>
      <c r="U186" s="78">
        <f t="shared" si="110"/>
        <v>85282.607600000003</v>
      </c>
      <c r="V186" s="79">
        <f t="shared" si="122"/>
        <v>69704.589311999996</v>
      </c>
      <c r="W186" s="78">
        <f t="shared" si="123"/>
        <v>74195.868612000006</v>
      </c>
      <c r="X186" s="80">
        <v>3</v>
      </c>
      <c r="Y186" s="78">
        <v>3</v>
      </c>
      <c r="Z186" s="80">
        <f t="shared" si="124"/>
        <v>0</v>
      </c>
      <c r="AA186" s="80">
        <f t="shared" si="125"/>
        <v>0</v>
      </c>
      <c r="AB186" s="80">
        <f t="shared" si="126"/>
        <v>61948.62</v>
      </c>
      <c r="AC186" s="80"/>
      <c r="AD186">
        <v>0.1</v>
      </c>
      <c r="AE186" s="78">
        <f t="shared" si="127"/>
        <v>2064.9540000000002</v>
      </c>
      <c r="AF186">
        <v>0.1</v>
      </c>
      <c r="AG186" s="78">
        <f t="shared" si="111"/>
        <v>2064.9540000000002</v>
      </c>
    </row>
    <row r="187" spans="1:33" ht="20.25" hidden="1" customHeight="1" x14ac:dyDescent="0.2">
      <c r="A187" s="102"/>
      <c r="B187" s="122"/>
      <c r="C187" s="122"/>
      <c r="D187" s="72">
        <v>0</v>
      </c>
      <c r="E187" s="73">
        <v>5700</v>
      </c>
      <c r="F187" s="74">
        <f t="shared" si="139"/>
        <v>6270</v>
      </c>
      <c r="G187" s="74">
        <f>F187*1.1*1.1+0.3</f>
        <v>7587.0000000000018</v>
      </c>
      <c r="H187" s="74">
        <v>9376.86</v>
      </c>
      <c r="I187" s="74">
        <f t="shared" si="140"/>
        <v>10314.546000000002</v>
      </c>
      <c r="J187" s="74">
        <v>10933.418760000002</v>
      </c>
      <c r="K187" s="74">
        <f>ROUND('26.08.22'!K179*1.04,2)</f>
        <v>0</v>
      </c>
      <c r="L187" s="110"/>
      <c r="M187" s="76"/>
      <c r="N187" s="76"/>
      <c r="O187" s="78">
        <f t="shared" si="105"/>
        <v>0</v>
      </c>
      <c r="P187" s="78">
        <f t="shared" si="106"/>
        <v>0</v>
      </c>
      <c r="Q187" s="78">
        <f t="shared" si="107"/>
        <v>0</v>
      </c>
      <c r="R187" s="79">
        <f t="shared" si="108"/>
        <v>0</v>
      </c>
      <c r="S187" s="78">
        <f t="shared" si="109"/>
        <v>0</v>
      </c>
      <c r="T187" s="78">
        <v>0.99</v>
      </c>
      <c r="U187" s="78">
        <f t="shared" si="110"/>
        <v>0</v>
      </c>
      <c r="V187" s="79">
        <f t="shared" si="122"/>
        <v>0</v>
      </c>
      <c r="W187" s="78">
        <f t="shared" si="123"/>
        <v>0</v>
      </c>
      <c r="X187" s="80">
        <v>3</v>
      </c>
      <c r="Y187" s="78">
        <v>3</v>
      </c>
      <c r="Z187" s="80">
        <f t="shared" si="124"/>
        <v>0</v>
      </c>
      <c r="AA187" s="80">
        <f t="shared" si="125"/>
        <v>0</v>
      </c>
      <c r="AB187" s="80">
        <f t="shared" si="126"/>
        <v>0</v>
      </c>
      <c r="AC187" s="80"/>
      <c r="AD187">
        <v>0.1</v>
      </c>
      <c r="AE187" s="78">
        <f t="shared" si="127"/>
        <v>0</v>
      </c>
      <c r="AF187">
        <v>0.1</v>
      </c>
      <c r="AG187" s="78">
        <f t="shared" si="111"/>
        <v>0</v>
      </c>
    </row>
    <row r="188" spans="1:33" x14ac:dyDescent="0.2">
      <c r="A188" s="102"/>
      <c r="B188" s="107"/>
      <c r="C188" s="107" t="s">
        <v>48</v>
      </c>
      <c r="D188" s="109">
        <v>1</v>
      </c>
      <c r="E188" s="73">
        <v>5000</v>
      </c>
      <c r="F188" s="74">
        <f t="shared" si="139"/>
        <v>5500</v>
      </c>
      <c r="G188" s="74">
        <f>F188*1.1*1.1</f>
        <v>6655.0000000000018</v>
      </c>
      <c r="H188" s="74">
        <v>8225.31</v>
      </c>
      <c r="I188" s="74">
        <f t="shared" si="140"/>
        <v>9047.8410000000003</v>
      </c>
      <c r="J188" s="74">
        <v>9590.7114600000004</v>
      </c>
      <c r="K188" s="74">
        <f>ROUND('26.08.22'!K180*1.04,2)</f>
        <v>13766.34</v>
      </c>
      <c r="L188" s="75" t="s">
        <v>172</v>
      </c>
      <c r="M188" s="145">
        <v>30</v>
      </c>
      <c r="N188" s="145"/>
      <c r="O188" s="78">
        <f t="shared" si="105"/>
        <v>4129.8999999999996</v>
      </c>
      <c r="P188" s="78">
        <f t="shared" si="106"/>
        <v>15693.63</v>
      </c>
      <c r="Q188" s="78">
        <f t="shared" si="107"/>
        <v>12252.042600000001</v>
      </c>
      <c r="R188" s="79">
        <f t="shared" si="108"/>
        <v>45841.912599999996</v>
      </c>
      <c r="S188" s="78">
        <f t="shared" si="109"/>
        <v>3441.59</v>
      </c>
      <c r="T188" s="78">
        <v>0.89</v>
      </c>
      <c r="U188" s="78">
        <f t="shared" si="110"/>
        <v>49283.502599999993</v>
      </c>
      <c r="V188" s="79">
        <f t="shared" si="122"/>
        <v>39882.463961999994</v>
      </c>
      <c r="W188" s="78">
        <f t="shared" si="123"/>
        <v>42876.647261999991</v>
      </c>
      <c r="X188" s="80">
        <v>3</v>
      </c>
      <c r="Y188" s="78">
        <v>3</v>
      </c>
      <c r="Z188" s="80">
        <f t="shared" si="124"/>
        <v>0</v>
      </c>
      <c r="AA188" s="80">
        <f t="shared" si="125"/>
        <v>0</v>
      </c>
      <c r="AB188" s="80">
        <f t="shared" si="126"/>
        <v>41299.020000000004</v>
      </c>
      <c r="AC188" s="80"/>
      <c r="AD188">
        <v>0.1</v>
      </c>
      <c r="AE188" s="78">
        <f t="shared" si="127"/>
        <v>1376.634</v>
      </c>
      <c r="AF188">
        <v>0.1</v>
      </c>
      <c r="AG188" s="78">
        <f t="shared" si="111"/>
        <v>1376.634</v>
      </c>
    </row>
    <row r="189" spans="1:33" x14ac:dyDescent="0.2">
      <c r="A189" s="102"/>
      <c r="B189" s="107"/>
      <c r="C189" s="107" t="s">
        <v>48</v>
      </c>
      <c r="D189" s="109">
        <v>1</v>
      </c>
      <c r="E189" s="73">
        <v>5000</v>
      </c>
      <c r="F189" s="74">
        <f t="shared" si="139"/>
        <v>5500</v>
      </c>
      <c r="G189" s="74">
        <f>F189*1.1*1.1</f>
        <v>6655.0000000000018</v>
      </c>
      <c r="H189" s="74">
        <v>8225.31</v>
      </c>
      <c r="I189" s="74">
        <f t="shared" si="140"/>
        <v>9047.8410000000003</v>
      </c>
      <c r="J189" s="74">
        <v>9590.7114600000004</v>
      </c>
      <c r="K189" s="74">
        <f>ROUND('26.08.22'!K181*1.04,2)</f>
        <v>13766.34</v>
      </c>
      <c r="L189" s="187" t="s">
        <v>173</v>
      </c>
      <c r="M189" s="83">
        <v>15</v>
      </c>
      <c r="N189" s="76"/>
      <c r="O189" s="78">
        <f t="shared" si="105"/>
        <v>2064.9499999999998</v>
      </c>
      <c r="P189" s="78">
        <f t="shared" si="106"/>
        <v>15693.63</v>
      </c>
      <c r="Q189" s="78">
        <f t="shared" si="107"/>
        <v>12252.042600000001</v>
      </c>
      <c r="R189" s="79">
        <f t="shared" si="108"/>
        <v>43776.962599999999</v>
      </c>
      <c r="S189" s="78">
        <f t="shared" si="109"/>
        <v>3441.59</v>
      </c>
      <c r="T189" s="78">
        <v>0.89</v>
      </c>
      <c r="U189" s="78">
        <f t="shared" si="110"/>
        <v>47218.552599999995</v>
      </c>
      <c r="V189" s="79">
        <f t="shared" si="122"/>
        <v>38085.957461999998</v>
      </c>
      <c r="W189" s="78">
        <f t="shared" si="123"/>
        <v>41080.140761999995</v>
      </c>
      <c r="X189" s="80">
        <v>3</v>
      </c>
      <c r="Y189" s="78">
        <v>3</v>
      </c>
      <c r="Z189" s="80">
        <f t="shared" si="124"/>
        <v>0</v>
      </c>
      <c r="AA189" s="80">
        <f t="shared" si="125"/>
        <v>0</v>
      </c>
      <c r="AB189" s="80">
        <f t="shared" si="126"/>
        <v>41299.020000000004</v>
      </c>
      <c r="AC189" s="80"/>
      <c r="AD189">
        <v>0.1</v>
      </c>
      <c r="AE189" s="78">
        <f t="shared" si="127"/>
        <v>1376.634</v>
      </c>
      <c r="AF189">
        <v>0.1</v>
      </c>
      <c r="AG189" s="78">
        <f t="shared" si="111"/>
        <v>1376.634</v>
      </c>
    </row>
    <row r="190" spans="1:33" ht="26.25" customHeight="1" x14ac:dyDescent="0.2">
      <c r="A190" s="102"/>
      <c r="B190" s="107"/>
      <c r="C190" s="131" t="s">
        <v>136</v>
      </c>
      <c r="D190" s="109">
        <v>1</v>
      </c>
      <c r="E190" s="73">
        <v>5000</v>
      </c>
      <c r="F190" s="74">
        <f t="shared" si="139"/>
        <v>5500</v>
      </c>
      <c r="G190" s="74">
        <f>F190*1.1*1.1</f>
        <v>6655.0000000000018</v>
      </c>
      <c r="H190" s="74">
        <v>8225.31</v>
      </c>
      <c r="I190" s="74">
        <f t="shared" si="140"/>
        <v>9047.8410000000003</v>
      </c>
      <c r="J190" s="74">
        <v>9590.7114600000004</v>
      </c>
      <c r="K190" s="74">
        <f>ROUND('26.08.22'!K182*1.04,2)</f>
        <v>16519.63</v>
      </c>
      <c r="L190" s="105" t="s">
        <v>231</v>
      </c>
      <c r="M190" s="83">
        <v>30</v>
      </c>
      <c r="N190" s="83"/>
      <c r="O190" s="78">
        <f t="shared" si="105"/>
        <v>4955.8900000000003</v>
      </c>
      <c r="P190" s="78">
        <f t="shared" si="106"/>
        <v>18832.38</v>
      </c>
      <c r="Q190" s="78">
        <f t="shared" si="107"/>
        <v>16354.433700000001</v>
      </c>
      <c r="R190" s="79">
        <f t="shared" si="108"/>
        <v>56662.333700000003</v>
      </c>
      <c r="S190" s="78">
        <f>ROUND(K190*S$12,2)</f>
        <v>4129.91</v>
      </c>
      <c r="T190" s="78">
        <v>0.99</v>
      </c>
      <c r="U190" s="78">
        <f>K190+O190+P190+Q190+S190</f>
        <v>60792.243700000006</v>
      </c>
      <c r="V190" s="79">
        <f t="shared" si="122"/>
        <v>49296.230319000002</v>
      </c>
      <c r="W190" s="78">
        <f t="shared" si="123"/>
        <v>52889.252019000007</v>
      </c>
      <c r="X190" s="80">
        <v>3</v>
      </c>
      <c r="Y190" s="78">
        <v>3</v>
      </c>
      <c r="Z190" s="80">
        <f t="shared" si="124"/>
        <v>0</v>
      </c>
      <c r="AA190" s="80">
        <f t="shared" si="125"/>
        <v>0</v>
      </c>
      <c r="AB190" s="80">
        <f t="shared" si="126"/>
        <v>49558.89</v>
      </c>
      <c r="AC190" s="80"/>
      <c r="AD190">
        <v>0.1</v>
      </c>
      <c r="AE190" s="78">
        <f t="shared" si="127"/>
        <v>1651.9630000000002</v>
      </c>
      <c r="AF190">
        <v>0.1</v>
      </c>
      <c r="AG190" s="78">
        <f t="shared" si="111"/>
        <v>1651.9630000000002</v>
      </c>
    </row>
    <row r="191" spans="1:33" ht="24" customHeight="1" x14ac:dyDescent="0.2">
      <c r="A191" s="102"/>
      <c r="B191" s="107"/>
      <c r="C191" s="131" t="s">
        <v>136</v>
      </c>
      <c r="D191" s="109">
        <v>1</v>
      </c>
      <c r="E191" s="73">
        <v>5000</v>
      </c>
      <c r="F191" s="74">
        <f>ROUND(E191*F$12,2)</f>
        <v>5500</v>
      </c>
      <c r="G191" s="74">
        <f>F191*1.1*1.1</f>
        <v>6655.0000000000018</v>
      </c>
      <c r="H191" s="74">
        <v>8225.31</v>
      </c>
      <c r="I191" s="74">
        <f>H191*$I$12</f>
        <v>9047.8410000000003</v>
      </c>
      <c r="J191" s="74">
        <v>9590.7114600000004</v>
      </c>
      <c r="K191" s="74">
        <f>ROUND('26.08.22'!K183*1.04,2)</f>
        <v>16519.63</v>
      </c>
      <c r="L191" s="75" t="s">
        <v>174</v>
      </c>
      <c r="M191" s="83">
        <v>30</v>
      </c>
      <c r="N191" s="76"/>
      <c r="O191" s="78">
        <f t="shared" si="105"/>
        <v>4955.8900000000003</v>
      </c>
      <c r="P191" s="78">
        <f t="shared" si="106"/>
        <v>18832.38</v>
      </c>
      <c r="Q191" s="78">
        <f t="shared" si="107"/>
        <v>16354.433700000001</v>
      </c>
      <c r="R191" s="79">
        <f t="shared" si="108"/>
        <v>56662.333700000003</v>
      </c>
      <c r="S191" s="78">
        <f t="shared" si="109"/>
        <v>4129.91</v>
      </c>
      <c r="T191" s="78">
        <v>0.99</v>
      </c>
      <c r="U191" s="78">
        <f t="shared" si="110"/>
        <v>60792.243700000006</v>
      </c>
      <c r="V191" s="79">
        <f t="shared" si="122"/>
        <v>49296.230319000002</v>
      </c>
      <c r="W191" s="78">
        <f t="shared" si="123"/>
        <v>52889.252019000007</v>
      </c>
      <c r="X191" s="80">
        <v>3</v>
      </c>
      <c r="Y191" s="78"/>
      <c r="Z191" s="80">
        <f t="shared" si="124"/>
        <v>3</v>
      </c>
      <c r="AA191" s="80">
        <f t="shared" si="125"/>
        <v>49558.89</v>
      </c>
      <c r="AB191" s="80">
        <f t="shared" si="126"/>
        <v>0</v>
      </c>
      <c r="AC191" s="80"/>
      <c r="AD191">
        <v>0.1</v>
      </c>
      <c r="AE191" s="78">
        <f t="shared" si="127"/>
        <v>1651.9630000000002</v>
      </c>
      <c r="AF191">
        <v>0.1</v>
      </c>
      <c r="AG191" s="78">
        <f t="shared" si="111"/>
        <v>1651.9630000000002</v>
      </c>
    </row>
    <row r="192" spans="1:33" x14ac:dyDescent="0.2">
      <c r="A192" s="102"/>
      <c r="B192" s="107"/>
      <c r="C192" s="107" t="s">
        <v>138</v>
      </c>
      <c r="D192" s="109">
        <v>1</v>
      </c>
      <c r="E192" s="73">
        <v>4500</v>
      </c>
      <c r="F192" s="74">
        <f t="shared" si="139"/>
        <v>4950</v>
      </c>
      <c r="G192" s="74">
        <f>F192*1.1*1.1+0.5</f>
        <v>5990.0000000000009</v>
      </c>
      <c r="H192" s="74">
        <v>7402.79</v>
      </c>
      <c r="I192" s="74">
        <f t="shared" si="140"/>
        <v>8143.0690000000004</v>
      </c>
      <c r="J192" s="74">
        <v>8631.6531400000003</v>
      </c>
      <c r="K192" s="74">
        <f>ROUND('26.08.22'!K184*1.04,2)</f>
        <v>12389.73</v>
      </c>
      <c r="L192" s="105" t="s">
        <v>206</v>
      </c>
      <c r="M192" s="76">
        <v>0</v>
      </c>
      <c r="N192" s="76"/>
      <c r="O192" s="78">
        <f t="shared" si="105"/>
        <v>0</v>
      </c>
      <c r="P192" s="78">
        <f t="shared" si="106"/>
        <v>14124.29</v>
      </c>
      <c r="Q192" s="78">
        <f t="shared" si="107"/>
        <v>6690.4542000000001</v>
      </c>
      <c r="R192" s="79">
        <f t="shared" si="108"/>
        <v>33204.474199999997</v>
      </c>
      <c r="S192" s="78">
        <f t="shared" si="109"/>
        <v>3097.43</v>
      </c>
      <c r="T192" s="78">
        <v>0.54</v>
      </c>
      <c r="U192" s="78">
        <f t="shared" si="110"/>
        <v>36301.904199999997</v>
      </c>
      <c r="V192" s="79">
        <f t="shared" si="122"/>
        <v>28887.892553999998</v>
      </c>
      <c r="W192" s="78">
        <f t="shared" si="123"/>
        <v>31582.656653999999</v>
      </c>
      <c r="X192" s="80">
        <v>3</v>
      </c>
      <c r="Y192" s="78">
        <v>3</v>
      </c>
      <c r="Z192" s="80">
        <f t="shared" si="124"/>
        <v>0</v>
      </c>
      <c r="AA192" s="80">
        <f t="shared" si="125"/>
        <v>0</v>
      </c>
      <c r="AB192" s="80">
        <f t="shared" si="126"/>
        <v>37169.19</v>
      </c>
      <c r="AC192" s="80"/>
      <c r="AD192">
        <v>0.1</v>
      </c>
      <c r="AE192" s="78">
        <f t="shared" si="127"/>
        <v>1238.973</v>
      </c>
      <c r="AF192">
        <v>0.1</v>
      </c>
      <c r="AG192" s="78">
        <f t="shared" si="111"/>
        <v>1238.973</v>
      </c>
    </row>
    <row r="193" spans="1:33" x14ac:dyDescent="0.2">
      <c r="A193" s="107"/>
      <c r="B193" s="181"/>
      <c r="C193" s="181" t="s">
        <v>140</v>
      </c>
      <c r="D193" s="111">
        <f t="shared" ref="D193:I193" si="141">SUM(D186:D192)</f>
        <v>6</v>
      </c>
      <c r="E193" s="95">
        <f t="shared" si="141"/>
        <v>37200</v>
      </c>
      <c r="F193" s="95">
        <f t="shared" si="141"/>
        <v>40920</v>
      </c>
      <c r="G193" s="95">
        <f t="shared" si="141"/>
        <v>49514</v>
      </c>
      <c r="H193" s="95">
        <f t="shared" si="141"/>
        <v>61196.329999999994</v>
      </c>
      <c r="I193" s="95">
        <f t="shared" si="141"/>
        <v>67315.963000000003</v>
      </c>
      <c r="J193" s="95">
        <v>61764.209320000016</v>
      </c>
      <c r="K193" s="90">
        <f>SUM(K186:K192)</f>
        <v>93611.21</v>
      </c>
      <c r="L193" s="90"/>
      <c r="M193" s="90"/>
      <c r="N193" s="90">
        <f t="shared" ref="N193" si="142">SUM(N186:N192)</f>
        <v>0</v>
      </c>
      <c r="O193" s="90">
        <f>SUM(O186:O192)</f>
        <v>22301.489999999998</v>
      </c>
      <c r="P193" s="90">
        <f t="shared" ref="P193:W193" si="143">SUM(P186:P192)</f>
        <v>106716.79000000001</v>
      </c>
      <c r="Q193" s="90">
        <f t="shared" si="143"/>
        <v>93638.744399999996</v>
      </c>
      <c r="R193" s="90">
        <f t="shared" si="143"/>
        <v>316268.23440000002</v>
      </c>
      <c r="S193" s="90">
        <f t="shared" si="143"/>
        <v>23402.82</v>
      </c>
      <c r="T193" s="90">
        <f t="shared" si="143"/>
        <v>6.73</v>
      </c>
      <c r="U193" s="90">
        <f t="shared" si="143"/>
        <v>339671.05439999996</v>
      </c>
      <c r="V193" s="90">
        <f t="shared" si="143"/>
        <v>275153.36392799998</v>
      </c>
      <c r="W193" s="90">
        <f t="shared" si="143"/>
        <v>295513.81732800003</v>
      </c>
      <c r="X193" s="80"/>
      <c r="Y193" s="90"/>
      <c r="Z193" s="80"/>
      <c r="AA193" s="90">
        <f>SUM(AA13:AA192)</f>
        <v>1675089.76</v>
      </c>
      <c r="AB193" s="90">
        <f>SUM(AB13:AB192)</f>
        <v>5286829.6099999957</v>
      </c>
      <c r="AC193" s="90"/>
      <c r="AD193" s="90"/>
      <c r="AE193" s="90">
        <f>SUM(AE186:AE192)</f>
        <v>9361.1209999999992</v>
      </c>
      <c r="AF193" s="90"/>
      <c r="AG193" s="90">
        <f>SUM(AG186:AG192)</f>
        <v>9361.1209999999992</v>
      </c>
    </row>
    <row r="194" spans="1:33" x14ac:dyDescent="0.2">
      <c r="A194" s="188"/>
      <c r="B194" s="188"/>
      <c r="C194" s="188" t="s">
        <v>175</v>
      </c>
      <c r="D194" s="189">
        <f>D147+D155+D164+D177+D184+D193</f>
        <v>32</v>
      </c>
      <c r="E194" s="189">
        <f t="shared" ref="E194:K194" si="144">E147+E155+E164+E177+E184+E193</f>
        <v>203700</v>
      </c>
      <c r="F194" s="189">
        <f t="shared" si="144"/>
        <v>224070</v>
      </c>
      <c r="G194" s="189">
        <f t="shared" si="144"/>
        <v>271131</v>
      </c>
      <c r="H194" s="189">
        <f t="shared" si="144"/>
        <v>335921.82999999996</v>
      </c>
      <c r="I194" s="189">
        <f t="shared" si="144"/>
        <v>369514.01299999998</v>
      </c>
      <c r="J194" s="189">
        <f t="shared" si="144"/>
        <v>314959.16210000002</v>
      </c>
      <c r="K194" s="90">
        <f t="shared" si="144"/>
        <v>503848.6</v>
      </c>
      <c r="L194" s="90"/>
      <c r="M194" s="90"/>
      <c r="N194" s="90">
        <f t="shared" ref="N194:W194" si="145">N147+N155+N164+N177+N184+N193</f>
        <v>0</v>
      </c>
      <c r="O194" s="90">
        <f t="shared" si="145"/>
        <v>123897.16999999998</v>
      </c>
      <c r="P194" s="90">
        <f t="shared" si="145"/>
        <v>574387.46000000008</v>
      </c>
      <c r="Q194" s="90">
        <f t="shared" si="145"/>
        <v>505004.98050000006</v>
      </c>
      <c r="R194" s="90">
        <f t="shared" si="145"/>
        <v>1707138.2104999998</v>
      </c>
      <c r="S194" s="90">
        <f t="shared" si="145"/>
        <v>125962.24000000002</v>
      </c>
      <c r="T194" s="90">
        <f t="shared" si="145"/>
        <v>40.379999999999995</v>
      </c>
      <c r="U194" s="90">
        <f t="shared" si="145"/>
        <v>1833100.4505</v>
      </c>
      <c r="V194" s="90">
        <f t="shared" si="145"/>
        <v>1485210.2431349996</v>
      </c>
      <c r="W194" s="90">
        <f t="shared" si="145"/>
        <v>1594797.391935</v>
      </c>
      <c r="X194" s="80"/>
      <c r="Y194" s="90"/>
      <c r="Z194" s="80"/>
      <c r="AA194" s="90"/>
      <c r="AB194" s="90"/>
      <c r="AC194" s="90"/>
      <c r="AD194" s="90"/>
      <c r="AE194" s="90">
        <f>AE147+AE155+AE164+AE177+AE184+AE193</f>
        <v>50384.86</v>
      </c>
      <c r="AF194" s="90"/>
      <c r="AG194" s="90">
        <f>AG147+AG155+AG164+AG177+AG184+AG193</f>
        <v>50384.86</v>
      </c>
    </row>
    <row r="195" spans="1:33" ht="13.5" x14ac:dyDescent="0.25">
      <c r="A195" s="190"/>
      <c r="B195" s="190"/>
      <c r="C195" s="191" t="s">
        <v>176</v>
      </c>
      <c r="D195" s="192">
        <f>D194+D136</f>
        <v>123</v>
      </c>
      <c r="E195" s="193">
        <f t="shared" ref="E195:I195" si="146">E194+E136</f>
        <v>525900</v>
      </c>
      <c r="F195" s="193">
        <f t="shared" si="146"/>
        <v>579370</v>
      </c>
      <c r="G195" s="193">
        <f t="shared" si="146"/>
        <v>834571</v>
      </c>
      <c r="H195" s="193">
        <f t="shared" si="146"/>
        <v>1101205.1000000001</v>
      </c>
      <c r="I195" s="193">
        <f t="shared" si="146"/>
        <v>1211325.6100000001</v>
      </c>
      <c r="J195" s="193">
        <v>1355360.1140200002</v>
      </c>
      <c r="K195" s="194">
        <f>K194+K136</f>
        <v>2211977.44</v>
      </c>
      <c r="L195" s="194"/>
      <c r="M195" s="194"/>
      <c r="N195" s="194">
        <f t="shared" ref="N195:W195" si="147">N194+N136</f>
        <v>0</v>
      </c>
      <c r="O195" s="194">
        <f t="shared" si="147"/>
        <v>554907.89999999991</v>
      </c>
      <c r="P195" s="194">
        <f t="shared" si="147"/>
        <v>2525371.3899999997</v>
      </c>
      <c r="Q195" s="194">
        <f t="shared" si="147"/>
        <v>3022033.5519000003</v>
      </c>
      <c r="R195" s="194">
        <f t="shared" si="147"/>
        <v>8234830.8818999995</v>
      </c>
      <c r="S195" s="194">
        <f t="shared" si="147"/>
        <v>544046.51</v>
      </c>
      <c r="T195" s="194">
        <f t="shared" si="147"/>
        <v>175.56</v>
      </c>
      <c r="U195" s="194">
        <f t="shared" si="147"/>
        <v>8774403.3218999989</v>
      </c>
      <c r="V195" s="194">
        <f t="shared" si="147"/>
        <v>7164302.8672529999</v>
      </c>
      <c r="W195" s="194">
        <f t="shared" si="147"/>
        <v>7633730.8900529994</v>
      </c>
      <c r="X195" s="80"/>
      <c r="Y195" s="194"/>
      <c r="Z195" s="80"/>
      <c r="AA195" s="194"/>
      <c r="AB195" s="194"/>
      <c r="AC195" s="194"/>
      <c r="AD195" s="194"/>
      <c r="AE195" s="194">
        <f>AE194+AE136</f>
        <v>239094.00399999996</v>
      </c>
      <c r="AF195" s="194"/>
      <c r="AG195" s="194">
        <f>AG194+AG136</f>
        <v>409906.88799999992</v>
      </c>
    </row>
    <row r="196" spans="1:33" ht="13.5" x14ac:dyDescent="0.25">
      <c r="A196" s="190"/>
      <c r="B196" s="190"/>
      <c r="C196" s="195"/>
      <c r="D196" s="192"/>
      <c r="E196" s="196" t="e">
        <f>E194+#REF!</f>
        <v>#REF!</v>
      </c>
      <c r="F196" s="196"/>
      <c r="G196" s="196"/>
      <c r="H196" s="196"/>
      <c r="I196" s="196"/>
      <c r="J196" s="196"/>
      <c r="K196" s="196"/>
      <c r="L196" s="197"/>
      <c r="M196" s="198"/>
      <c r="N196" s="198" t="e">
        <f>N194+#REF!</f>
        <v>#REF!</v>
      </c>
      <c r="O196" s="196">
        <f>O195*12</f>
        <v>6658894.7999999989</v>
      </c>
      <c r="P196" s="196"/>
      <c r="Q196" s="196"/>
      <c r="R196" s="199"/>
      <c r="S196" s="196">
        <f>R195+S195</f>
        <v>8778877.3918999992</v>
      </c>
      <c r="T196" s="196"/>
      <c r="U196" s="196"/>
      <c r="V196" s="199"/>
      <c r="W196" s="196"/>
      <c r="X196" s="80"/>
      <c r="Y196" s="196"/>
      <c r="Z196" s="80"/>
      <c r="AA196" s="200"/>
      <c r="AB196" s="200"/>
      <c r="AC196" s="200"/>
      <c r="AE196" s="196"/>
      <c r="AG196" s="196"/>
    </row>
    <row r="197" spans="1:33" ht="13.5" x14ac:dyDescent="0.25">
      <c r="A197" s="201"/>
      <c r="B197" s="201"/>
      <c r="C197" s="202"/>
      <c r="D197" s="203"/>
      <c r="E197" s="204"/>
      <c r="F197" s="204"/>
      <c r="G197" s="204"/>
      <c r="H197" s="204"/>
      <c r="I197" s="204"/>
      <c r="J197" s="204"/>
      <c r="K197" s="204"/>
      <c r="L197" s="206"/>
      <c r="M197" s="205"/>
      <c r="N197" s="205"/>
      <c r="O197" s="204"/>
      <c r="P197" s="204"/>
      <c r="Q197" s="204"/>
      <c r="R197" s="204"/>
      <c r="S197" s="204"/>
      <c r="T197" s="204"/>
      <c r="U197" s="204"/>
      <c r="W197" s="204"/>
      <c r="X197" s="204"/>
      <c r="Y197" s="204"/>
      <c r="Z197" s="204"/>
      <c r="AA197" s="204"/>
      <c r="AB197" s="204"/>
      <c r="AC197" s="204"/>
      <c r="AE197" s="204"/>
      <c r="AG197" s="204"/>
    </row>
    <row r="198" spans="1:33" ht="13.5" x14ac:dyDescent="0.25">
      <c r="A198" s="201"/>
      <c r="B198" s="201"/>
      <c r="C198" s="202" t="s">
        <v>177</v>
      </c>
      <c r="D198" s="206">
        <f t="shared" ref="D198:J198" si="148">D117+D118+D119+D120+D146+D154+D163+D172+D183+D192</f>
        <v>9</v>
      </c>
      <c r="E198" s="206">
        <f t="shared" si="148"/>
        <v>45000</v>
      </c>
      <c r="F198" s="206">
        <f t="shared" si="148"/>
        <v>49500</v>
      </c>
      <c r="G198" s="206">
        <f t="shared" si="148"/>
        <v>59900.000000000007</v>
      </c>
      <c r="H198" s="206">
        <f t="shared" si="148"/>
        <v>74027.899999999994</v>
      </c>
      <c r="I198" s="206">
        <f t="shared" si="148"/>
        <v>81430.690000000017</v>
      </c>
      <c r="J198" s="206">
        <f t="shared" si="148"/>
        <v>86316.531399999993</v>
      </c>
      <c r="K198" s="206">
        <f>K117+K118+K119+K120+K146+K154+K163+K172+K183+K192</f>
        <v>111507.56999999998</v>
      </c>
      <c r="L198" s="206"/>
      <c r="M198" s="206"/>
      <c r="N198" s="206">
        <f t="shared" ref="N198:S198" si="149">N117+N118+N119+N120+N146+N154+N163+N172+N183+N192</f>
        <v>0</v>
      </c>
      <c r="O198" s="206">
        <f t="shared" si="149"/>
        <v>0</v>
      </c>
      <c r="P198" s="206">
        <f t="shared" si="149"/>
        <v>139508.35000000003</v>
      </c>
      <c r="Q198" s="206">
        <f t="shared" si="149"/>
        <v>104817.11580000003</v>
      </c>
      <c r="R198" s="206">
        <f t="shared" si="149"/>
        <v>355833.03579999995</v>
      </c>
      <c r="S198" s="206">
        <f t="shared" si="149"/>
        <v>27876.87</v>
      </c>
      <c r="T198" s="206"/>
      <c r="U198" s="206">
        <f>U117+U118+U119+U120+U146+U154+U163+U172+U183+U192</f>
        <v>383709.90579999995</v>
      </c>
      <c r="V198" s="206">
        <f>V117+V118+V119+V120+V146+V154+V163+V172+V183+V192</f>
        <v>309574.74114599999</v>
      </c>
      <c r="W198" s="206">
        <f>W117+W118+W119+W120+W146+W154+W163+W172+W183+W192</f>
        <v>333827.61804599996</v>
      </c>
      <c r="X198" s="206"/>
      <c r="Y198" s="206"/>
      <c r="Z198" s="206"/>
      <c r="AA198" s="206"/>
      <c r="AB198" s="206"/>
      <c r="AC198" s="206"/>
      <c r="AE198" s="206"/>
      <c r="AG198" s="206"/>
    </row>
    <row r="199" spans="1:33" ht="13.5" x14ac:dyDescent="0.25">
      <c r="A199" s="201"/>
      <c r="B199" s="207"/>
      <c r="C199" s="202" t="s">
        <v>178</v>
      </c>
      <c r="D199" s="206">
        <f>D195-D198</f>
        <v>114</v>
      </c>
      <c r="E199" s="206">
        <f t="shared" ref="E199:J199" si="150">E195-E198</f>
        <v>480900</v>
      </c>
      <c r="F199" s="206">
        <f t="shared" si="150"/>
        <v>529870</v>
      </c>
      <c r="G199" s="206">
        <f t="shared" si="150"/>
        <v>774671</v>
      </c>
      <c r="H199" s="206">
        <f t="shared" si="150"/>
        <v>1027177.2000000001</v>
      </c>
      <c r="I199" s="206">
        <f t="shared" si="150"/>
        <v>1129894.9200000002</v>
      </c>
      <c r="J199" s="206">
        <f t="shared" si="150"/>
        <v>1269043.5826200002</v>
      </c>
      <c r="K199" s="206">
        <f>K195-K198</f>
        <v>2100469.87</v>
      </c>
      <c r="L199" s="206"/>
      <c r="M199" s="206"/>
      <c r="N199" s="206">
        <f t="shared" ref="N199:W199" si="151">N195-N198</f>
        <v>0</v>
      </c>
      <c r="O199" s="206">
        <f t="shared" si="151"/>
        <v>554907.89999999991</v>
      </c>
      <c r="P199" s="206">
        <f t="shared" si="151"/>
        <v>2385863.0399999996</v>
      </c>
      <c r="Q199" s="206">
        <f t="shared" si="151"/>
        <v>2917216.4361000005</v>
      </c>
      <c r="R199" s="206">
        <f t="shared" si="151"/>
        <v>7878997.8460999997</v>
      </c>
      <c r="S199" s="206">
        <f t="shared" si="151"/>
        <v>516169.64</v>
      </c>
      <c r="T199" s="206"/>
      <c r="U199" s="206">
        <f t="shared" si="151"/>
        <v>8390693.4160999991</v>
      </c>
      <c r="V199" s="206">
        <f t="shared" si="151"/>
        <v>6854728.1261069998</v>
      </c>
      <c r="W199" s="206">
        <f t="shared" si="151"/>
        <v>7299903.2720069997</v>
      </c>
      <c r="X199" s="206"/>
      <c r="Y199" s="206"/>
      <c r="Z199" s="206"/>
      <c r="AA199" s="206"/>
      <c r="AB199" s="206"/>
      <c r="AC199" s="206"/>
      <c r="AE199" s="206"/>
      <c r="AF199" s="85"/>
      <c r="AG199" s="206"/>
    </row>
    <row r="200" spans="1:33" ht="13.5" x14ac:dyDescent="0.25">
      <c r="A200" s="201"/>
      <c r="B200" s="207"/>
      <c r="C200" s="202" t="s">
        <v>214</v>
      </c>
      <c r="D200" s="206">
        <f t="shared" ref="D200:J200" si="152">SUM(D198:D199)</f>
        <v>123</v>
      </c>
      <c r="E200" s="206">
        <f t="shared" si="152"/>
        <v>525900</v>
      </c>
      <c r="F200" s="206">
        <f t="shared" si="152"/>
        <v>579370</v>
      </c>
      <c r="G200" s="206">
        <f t="shared" si="152"/>
        <v>834571</v>
      </c>
      <c r="H200" s="206">
        <f t="shared" si="152"/>
        <v>1101205.1000000001</v>
      </c>
      <c r="I200" s="206">
        <f t="shared" si="152"/>
        <v>1211325.6100000001</v>
      </c>
      <c r="J200" s="206">
        <f t="shared" si="152"/>
        <v>1355360.1140200002</v>
      </c>
      <c r="K200" s="206">
        <f>SUM(K198:K199)</f>
        <v>2211977.44</v>
      </c>
      <c r="L200" s="206">
        <f t="shared" ref="L200:W200" si="153">SUM(L198:L199)</f>
        <v>0</v>
      </c>
      <c r="M200" s="206">
        <f t="shared" si="153"/>
        <v>0</v>
      </c>
      <c r="N200" s="206">
        <f t="shared" si="153"/>
        <v>0</v>
      </c>
      <c r="O200" s="206">
        <f>SUM(O198:O199)</f>
        <v>554907.89999999991</v>
      </c>
      <c r="P200" s="206">
        <f>SUM(P198:P199)</f>
        <v>2525371.3899999997</v>
      </c>
      <c r="Q200" s="206">
        <f t="shared" si="153"/>
        <v>3022033.5519000003</v>
      </c>
      <c r="R200" s="206">
        <f t="shared" si="153"/>
        <v>8234830.8818999995</v>
      </c>
      <c r="S200" s="206">
        <f t="shared" si="153"/>
        <v>544046.51</v>
      </c>
      <c r="T200" s="206">
        <f t="shared" si="153"/>
        <v>0</v>
      </c>
      <c r="U200" s="206">
        <f t="shared" si="153"/>
        <v>8774403.3218999989</v>
      </c>
      <c r="V200" s="206">
        <f t="shared" si="153"/>
        <v>7164302.8672529999</v>
      </c>
      <c r="W200" s="206">
        <f t="shared" si="153"/>
        <v>7633730.8900529994</v>
      </c>
      <c r="X200" s="208"/>
      <c r="Y200" s="208"/>
      <c r="Z200" s="208"/>
      <c r="AA200" s="208"/>
      <c r="AB200" s="208"/>
      <c r="AC200" s="208"/>
      <c r="AE200" s="208"/>
      <c r="AF200" s="209"/>
      <c r="AG200" s="208"/>
    </row>
    <row r="201" spans="1:33" ht="13.5" x14ac:dyDescent="0.25">
      <c r="C201" s="202"/>
      <c r="D201" s="206"/>
      <c r="K201" s="206"/>
      <c r="L201" s="206"/>
      <c r="M201" s="206"/>
      <c r="N201" s="206"/>
      <c r="O201" s="206"/>
      <c r="P201" s="206"/>
      <c r="Q201" s="206"/>
      <c r="R201" s="206"/>
      <c r="S201" s="206"/>
      <c r="T201" s="206"/>
      <c r="U201" s="206"/>
      <c r="V201" s="206"/>
      <c r="W201" s="206"/>
      <c r="X201" s="206"/>
      <c r="Y201" s="206"/>
      <c r="Z201" s="206"/>
      <c r="AA201" s="206"/>
      <c r="AB201" s="206"/>
      <c r="AC201" s="206"/>
      <c r="AD201" s="206"/>
      <c r="AE201" s="206"/>
      <c r="AG201" s="206"/>
    </row>
    <row r="202" spans="1:33" x14ac:dyDescent="0.2">
      <c r="K202" s="85">
        <f>ROUND(K195*1.09,2)</f>
        <v>2411055.41</v>
      </c>
    </row>
    <row r="204" spans="1:33" x14ac:dyDescent="0.2">
      <c r="P204" s="85"/>
      <c r="T204" s="85"/>
    </row>
  </sheetData>
  <mergeCells count="5">
    <mergeCell ref="A3:C3"/>
    <mergeCell ref="E5:L5"/>
    <mergeCell ref="L6:M6"/>
    <mergeCell ref="O7:R7"/>
    <mergeCell ref="O8:R8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207"/>
  <sheetViews>
    <sheetView topLeftCell="A182" workbookViewId="0">
      <selection activeCell="D200" sqref="D200"/>
    </sheetView>
  </sheetViews>
  <sheetFormatPr defaultRowHeight="12.75" x14ac:dyDescent="0.2"/>
  <cols>
    <col min="1" max="1" width="26.28515625" customWidth="1"/>
    <col min="2" max="2" width="4.140625" customWidth="1"/>
    <col min="3" max="3" width="28.7109375" customWidth="1"/>
    <col min="4" max="4" width="11.28515625" bestFit="1" customWidth="1"/>
    <col min="5" max="5" width="0.140625" hidden="1" customWidth="1"/>
    <col min="6" max="6" width="13.7109375" hidden="1" customWidth="1"/>
    <col min="7" max="7" width="10.140625" hidden="1" customWidth="1"/>
    <col min="8" max="8" width="10.5703125" hidden="1" customWidth="1"/>
    <col min="9" max="9" width="12" hidden="1" customWidth="1"/>
    <col min="10" max="10" width="0.140625" customWidth="1"/>
    <col min="11" max="11" width="12.5703125" style="85" customWidth="1"/>
    <col min="12" max="12" width="17.7109375" customWidth="1"/>
    <col min="13" max="13" width="6" customWidth="1"/>
    <col min="14" max="14" width="8.42578125" hidden="1" customWidth="1"/>
    <col min="15" max="15" width="12.28515625" bestFit="1" customWidth="1"/>
    <col min="16" max="16" width="16.28515625" customWidth="1"/>
    <col min="17" max="17" width="13.5703125" customWidth="1"/>
    <col min="18" max="18" width="13" style="38" customWidth="1"/>
    <col min="19" max="19" width="12.28515625" bestFit="1" customWidth="1"/>
    <col min="20" max="20" width="14" customWidth="1"/>
    <col min="21" max="21" width="14.85546875" customWidth="1"/>
    <col min="22" max="22" width="13" customWidth="1"/>
    <col min="23" max="23" width="12.28515625" bestFit="1" customWidth="1"/>
    <col min="24" max="24" width="12.28515625" customWidth="1"/>
    <col min="25" max="25" width="15.85546875" bestFit="1" customWidth="1"/>
    <col min="26" max="26" width="12.28515625" customWidth="1"/>
    <col min="27" max="27" width="14.28515625" customWidth="1"/>
    <col min="28" max="29" width="12.28515625" customWidth="1"/>
    <col min="30" max="30" width="14.140625" customWidth="1"/>
    <col min="31" max="31" width="12.28515625" bestFit="1" customWidth="1"/>
    <col min="32" max="32" width="14.140625" customWidth="1"/>
    <col min="33" max="33" width="13.42578125" bestFit="1" customWidth="1"/>
    <col min="34" max="34" width="10.140625" bestFit="1" customWidth="1"/>
  </cols>
  <sheetData>
    <row r="1" spans="1:34" ht="15.75" x14ac:dyDescent="0.25">
      <c r="A1" s="1" t="s">
        <v>0</v>
      </c>
      <c r="B1" s="2"/>
      <c r="C1" s="1"/>
      <c r="D1" s="1"/>
      <c r="E1" s="3"/>
      <c r="F1" s="4"/>
      <c r="G1" s="5"/>
      <c r="H1" s="5"/>
      <c r="I1" s="5"/>
      <c r="J1" s="5"/>
      <c r="K1" s="223"/>
      <c r="L1" s="6"/>
      <c r="M1" s="7"/>
      <c r="N1" s="1"/>
      <c r="O1" s="1"/>
      <c r="P1" s="7" t="s">
        <v>1</v>
      </c>
      <c r="Q1" s="8"/>
      <c r="R1" s="9"/>
      <c r="S1" s="1"/>
      <c r="T1" s="7"/>
      <c r="U1" s="1"/>
      <c r="W1" s="1"/>
      <c r="X1" s="1"/>
      <c r="Y1" s="1"/>
      <c r="Z1" s="1"/>
      <c r="AA1" s="1"/>
      <c r="AB1" s="1"/>
      <c r="AC1" s="1"/>
      <c r="AE1" s="1"/>
      <c r="AG1" s="1"/>
    </row>
    <row r="2" spans="1:34" x14ac:dyDescent="0.2">
      <c r="A2" s="7" t="s">
        <v>2</v>
      </c>
      <c r="B2" s="2"/>
      <c r="C2" s="7"/>
      <c r="D2" s="1"/>
      <c r="E2" s="3"/>
      <c r="F2" s="4"/>
      <c r="G2" s="4"/>
      <c r="H2" s="4"/>
      <c r="I2" s="4"/>
      <c r="J2" s="4"/>
      <c r="K2" s="224"/>
      <c r="L2" s="10"/>
      <c r="M2" s="1"/>
      <c r="N2" s="1"/>
      <c r="O2" s="1"/>
      <c r="P2" s="11" t="s">
        <v>3</v>
      </c>
      <c r="Q2" s="12"/>
      <c r="R2" s="13"/>
      <c r="S2" s="1"/>
      <c r="T2" s="11"/>
      <c r="U2" s="1"/>
      <c r="W2" s="1"/>
      <c r="X2" s="1"/>
      <c r="Y2" s="1"/>
      <c r="Z2" s="1"/>
      <c r="AA2" s="1"/>
      <c r="AB2" s="1"/>
      <c r="AC2" s="1"/>
      <c r="AE2" s="1"/>
      <c r="AG2" s="1"/>
    </row>
    <row r="3" spans="1:34" ht="15.75" x14ac:dyDescent="0.2">
      <c r="A3" s="463" t="s">
        <v>4</v>
      </c>
      <c r="B3" s="464"/>
      <c r="C3" s="464"/>
      <c r="D3" s="14"/>
      <c r="E3" s="15"/>
      <c r="F3" s="16"/>
      <c r="G3" s="16"/>
      <c r="H3" s="16"/>
      <c r="I3" s="16"/>
      <c r="J3" s="16"/>
      <c r="K3" s="225"/>
      <c r="L3" s="17"/>
      <c r="M3" s="18"/>
      <c r="N3" s="19"/>
      <c r="O3" s="20"/>
      <c r="P3" s="21" t="s">
        <v>5</v>
      </c>
      <c r="Q3" s="22"/>
      <c r="R3" s="23"/>
      <c r="S3" s="20"/>
      <c r="T3" s="21"/>
      <c r="U3" s="20"/>
      <c r="W3" s="20"/>
      <c r="X3" s="20"/>
      <c r="Y3" s="20"/>
      <c r="Z3" s="20"/>
      <c r="AA3" s="20"/>
      <c r="AB3" s="20"/>
      <c r="AC3" s="20"/>
      <c r="AE3" s="20"/>
      <c r="AG3" s="20"/>
    </row>
    <row r="4" spans="1:34" ht="9.75" customHeight="1" x14ac:dyDescent="0.2">
      <c r="A4" s="24"/>
      <c r="B4" s="25"/>
      <c r="C4" s="236"/>
      <c r="D4" s="14"/>
      <c r="E4" s="15"/>
      <c r="F4" s="16"/>
      <c r="G4" s="16"/>
      <c r="H4" s="16"/>
      <c r="I4" s="16"/>
      <c r="J4" s="16"/>
      <c r="K4" s="225"/>
      <c r="L4" s="17"/>
      <c r="M4" s="18"/>
      <c r="N4" s="19"/>
      <c r="O4" s="20"/>
      <c r="P4" s="21"/>
      <c r="Q4" s="22"/>
      <c r="R4" s="23"/>
      <c r="S4" s="20"/>
      <c r="T4" s="21"/>
      <c r="U4" s="20"/>
      <c r="W4" s="20"/>
      <c r="X4" s="20"/>
      <c r="Y4" s="20"/>
      <c r="Z4" s="20"/>
      <c r="AA4" s="20"/>
      <c r="AB4" s="20"/>
      <c r="AC4" s="20"/>
      <c r="AE4" s="20"/>
      <c r="AG4" s="20"/>
    </row>
    <row r="5" spans="1:34" ht="19.5" hidden="1" x14ac:dyDescent="0.2">
      <c r="A5" s="19"/>
      <c r="B5" s="25"/>
      <c r="C5" s="27"/>
      <c r="D5" s="28"/>
      <c r="E5" s="465"/>
      <c r="F5" s="465"/>
      <c r="G5" s="465"/>
      <c r="H5" s="465"/>
      <c r="I5" s="465"/>
      <c r="J5" s="465"/>
      <c r="K5" s="465"/>
      <c r="L5" s="466"/>
      <c r="M5" s="19"/>
      <c r="N5" s="19"/>
      <c r="P5" s="29"/>
      <c r="Q5" s="30"/>
      <c r="R5" s="31"/>
      <c r="T5" s="29"/>
    </row>
    <row r="6" spans="1:34" ht="19.5" x14ac:dyDescent="0.2">
      <c r="A6" s="19"/>
      <c r="B6" s="25"/>
      <c r="C6" s="32"/>
      <c r="D6" s="28"/>
      <c r="E6" s="15"/>
      <c r="F6" s="16"/>
      <c r="G6" s="16"/>
      <c r="H6" s="16"/>
      <c r="I6" s="16"/>
      <c r="J6" s="16"/>
      <c r="K6" s="225"/>
      <c r="L6" s="465"/>
      <c r="M6" s="466"/>
      <c r="N6" s="19"/>
      <c r="O6" s="33"/>
      <c r="P6" s="33" t="s">
        <v>6</v>
      </c>
      <c r="Q6" s="33"/>
      <c r="R6" s="31"/>
      <c r="S6" s="33"/>
      <c r="T6" s="33"/>
      <c r="U6" s="33"/>
      <c r="W6" s="33"/>
      <c r="X6" s="33"/>
      <c r="Y6" s="33"/>
      <c r="Z6" s="33"/>
      <c r="AA6" s="33"/>
      <c r="AB6" s="33"/>
      <c r="AC6" s="33"/>
      <c r="AE6" s="33"/>
      <c r="AG6" s="33"/>
    </row>
    <row r="7" spans="1:34" ht="15.75" customHeight="1" x14ac:dyDescent="0.25">
      <c r="A7" s="34" t="s">
        <v>232</v>
      </c>
      <c r="B7" s="35"/>
      <c r="C7" s="34"/>
      <c r="D7" s="35"/>
      <c r="E7" s="36"/>
      <c r="F7" s="36"/>
      <c r="G7" s="36"/>
      <c r="H7" s="36"/>
      <c r="I7" s="36"/>
      <c r="J7" s="36"/>
      <c r="K7" s="226"/>
      <c r="L7" s="37"/>
      <c r="M7" s="19"/>
      <c r="N7" s="19"/>
      <c r="O7" s="467" t="s">
        <v>188</v>
      </c>
      <c r="P7" s="468"/>
      <c r="Q7" s="468"/>
      <c r="R7" s="468"/>
      <c r="T7" s="38"/>
    </row>
    <row r="8" spans="1:34" ht="19.5" customHeight="1" x14ac:dyDescent="0.2">
      <c r="A8" s="19"/>
      <c r="B8" s="25"/>
      <c r="C8" s="27"/>
      <c r="D8" s="39"/>
      <c r="E8" s="40"/>
      <c r="F8" s="41"/>
      <c r="G8" s="41"/>
      <c r="H8" s="41"/>
      <c r="I8" s="41"/>
      <c r="J8" s="41"/>
      <c r="K8" s="227"/>
      <c r="L8" s="42"/>
      <c r="M8" s="19"/>
      <c r="N8" s="19"/>
      <c r="O8" s="467"/>
      <c r="P8" s="468"/>
      <c r="Q8" s="468"/>
      <c r="R8" s="468"/>
      <c r="T8" s="214"/>
    </row>
    <row r="9" spans="1:34" ht="13.5" x14ac:dyDescent="0.25">
      <c r="A9" s="43"/>
      <c r="B9" s="44"/>
      <c r="C9" s="45"/>
      <c r="D9" s="43"/>
      <c r="E9" s="46"/>
      <c r="F9" s="47"/>
      <c r="G9" s="47"/>
      <c r="H9" s="47"/>
      <c r="I9" s="47"/>
      <c r="J9" s="47"/>
      <c r="K9" s="47"/>
      <c r="L9" s="48"/>
      <c r="M9" s="43"/>
      <c r="N9" s="43"/>
      <c r="O9" s="43"/>
      <c r="P9" s="43"/>
      <c r="Q9" s="44"/>
      <c r="R9" s="213" t="s">
        <v>179</v>
      </c>
      <c r="S9" s="43"/>
      <c r="T9" s="43"/>
      <c r="U9" s="43"/>
      <c r="W9" s="43"/>
      <c r="X9" s="49"/>
      <c r="Y9" s="43"/>
      <c r="Z9" s="49"/>
      <c r="AA9" s="49"/>
      <c r="AB9" s="49"/>
      <c r="AC9" s="49"/>
      <c r="AE9" s="43"/>
      <c r="AG9" s="43"/>
    </row>
    <row r="10" spans="1:34" ht="102" customHeight="1" x14ac:dyDescent="0.2">
      <c r="A10" s="50" t="s">
        <v>7</v>
      </c>
      <c r="B10" s="50" t="s">
        <v>8</v>
      </c>
      <c r="C10" s="50" t="s">
        <v>9</v>
      </c>
      <c r="D10" s="50" t="s">
        <v>10</v>
      </c>
      <c r="E10" s="50" t="s">
        <v>11</v>
      </c>
      <c r="F10" s="50" t="s">
        <v>11</v>
      </c>
      <c r="G10" s="50" t="s">
        <v>11</v>
      </c>
      <c r="H10" s="51" t="s">
        <v>12</v>
      </c>
      <c r="I10" s="50" t="s">
        <v>13</v>
      </c>
      <c r="J10" s="50"/>
      <c r="K10" s="228" t="s">
        <v>11</v>
      </c>
      <c r="L10" s="52" t="s">
        <v>14</v>
      </c>
      <c r="M10" s="53" t="s">
        <v>15</v>
      </c>
      <c r="N10" s="54" t="s">
        <v>16</v>
      </c>
      <c r="O10" s="55" t="s">
        <v>17</v>
      </c>
      <c r="P10" s="53" t="s">
        <v>18</v>
      </c>
      <c r="Q10" s="53" t="s">
        <v>19</v>
      </c>
      <c r="R10" s="56" t="s">
        <v>20</v>
      </c>
      <c r="S10" s="55" t="s">
        <v>21</v>
      </c>
      <c r="T10" s="53" t="s">
        <v>22</v>
      </c>
      <c r="U10" s="55" t="s">
        <v>20</v>
      </c>
      <c r="V10" s="56" t="s">
        <v>23</v>
      </c>
      <c r="W10" s="55" t="s">
        <v>24</v>
      </c>
      <c r="X10" s="57" t="s">
        <v>25</v>
      </c>
      <c r="Y10" s="55" t="s">
        <v>26</v>
      </c>
      <c r="Z10" s="57"/>
      <c r="AA10" s="57"/>
      <c r="AB10" s="57"/>
      <c r="AC10" s="57"/>
      <c r="AE10" s="55"/>
      <c r="AG10" s="55"/>
    </row>
    <row r="11" spans="1:34" ht="13.5" x14ac:dyDescent="0.2">
      <c r="A11" s="50" t="s">
        <v>27</v>
      </c>
      <c r="B11" s="50" t="s">
        <v>28</v>
      </c>
      <c r="C11" s="50" t="s">
        <v>29</v>
      </c>
      <c r="D11" s="50" t="s">
        <v>30</v>
      </c>
      <c r="E11" s="50"/>
      <c r="F11" s="50"/>
      <c r="G11" s="50"/>
      <c r="H11" s="50"/>
      <c r="I11" s="50"/>
      <c r="J11" s="50"/>
      <c r="K11" s="228" t="s">
        <v>31</v>
      </c>
      <c r="L11" s="52">
        <v>6</v>
      </c>
      <c r="M11" s="53">
        <v>7</v>
      </c>
      <c r="N11" s="54"/>
      <c r="O11" s="55">
        <v>8</v>
      </c>
      <c r="P11" s="53">
        <v>9</v>
      </c>
      <c r="Q11" s="53">
        <v>10</v>
      </c>
      <c r="R11" s="58">
        <v>11</v>
      </c>
      <c r="S11" s="55">
        <v>12</v>
      </c>
      <c r="T11" s="53">
        <v>13</v>
      </c>
      <c r="U11" s="55">
        <v>14</v>
      </c>
      <c r="V11" s="58">
        <v>15</v>
      </c>
      <c r="W11" s="55">
        <v>16</v>
      </c>
      <c r="X11" s="57"/>
      <c r="Y11" s="55"/>
      <c r="Z11" s="57"/>
      <c r="AA11" s="57"/>
      <c r="AB11" s="57"/>
      <c r="AC11" s="57"/>
      <c r="AE11" s="55"/>
      <c r="AG11" s="55"/>
    </row>
    <row r="12" spans="1:34" x14ac:dyDescent="0.2">
      <c r="A12" s="59" t="s">
        <v>32</v>
      </c>
      <c r="B12" s="60"/>
      <c r="C12" s="60"/>
      <c r="D12" s="60"/>
      <c r="E12" s="61"/>
      <c r="F12" s="62">
        <v>1.1000000000000001</v>
      </c>
      <c r="G12" s="62">
        <v>1.1000000000000001</v>
      </c>
      <c r="H12" s="62">
        <v>1.1000000000000001</v>
      </c>
      <c r="I12" s="62">
        <v>1.1000000000000001</v>
      </c>
      <c r="J12" s="62">
        <v>1.06</v>
      </c>
      <c r="K12" s="229"/>
      <c r="L12" s="63"/>
      <c r="M12" s="64"/>
      <c r="N12" s="64"/>
      <c r="O12" s="64"/>
      <c r="P12" s="65">
        <v>1.24</v>
      </c>
      <c r="Q12" s="66" t="s">
        <v>33</v>
      </c>
      <c r="R12" s="67"/>
      <c r="S12" s="64">
        <v>0.25</v>
      </c>
      <c r="T12" s="65"/>
      <c r="U12" s="64"/>
      <c r="V12" s="67"/>
      <c r="W12" s="64"/>
      <c r="X12" s="68"/>
      <c r="Y12" s="64"/>
      <c r="Z12" s="68"/>
      <c r="AA12" s="68"/>
      <c r="AB12" s="68"/>
      <c r="AC12" s="68"/>
      <c r="AE12" s="64"/>
      <c r="AG12" s="64"/>
    </row>
    <row r="13" spans="1:34" ht="15.75" customHeight="1" x14ac:dyDescent="0.2">
      <c r="A13" s="69"/>
      <c r="B13" s="70"/>
      <c r="C13" s="71" t="s">
        <v>34</v>
      </c>
      <c r="D13" s="72">
        <v>1</v>
      </c>
      <c r="E13" s="73">
        <v>12000</v>
      </c>
      <c r="F13" s="74">
        <f>ROUND(E13*F$12,2)</f>
        <v>13200</v>
      </c>
      <c r="G13" s="74">
        <f>F13*1.1*1.1</f>
        <v>15972.000000000004</v>
      </c>
      <c r="H13" s="74">
        <v>19740.75</v>
      </c>
      <c r="I13" s="74">
        <f>H13*$I$12</f>
        <v>21714.825000000001</v>
      </c>
      <c r="J13" s="74">
        <v>23017.714500000002</v>
      </c>
      <c r="K13" s="74">
        <f>ROUND('ПРОЕКТ с 01.02.2023'!K13*1.09,2)</f>
        <v>36012.75</v>
      </c>
      <c r="L13" s="75" t="s">
        <v>35</v>
      </c>
      <c r="M13" s="76">
        <v>30</v>
      </c>
      <c r="N13" s="77"/>
      <c r="O13" s="78">
        <f>ROUND((K13*M13/100),2)</f>
        <v>10803.83</v>
      </c>
      <c r="P13" s="78">
        <f>ROUND(K13*P$12,2)</f>
        <v>44655.81</v>
      </c>
      <c r="Q13" s="78">
        <f>K13*T13</f>
        <v>48257.085000000006</v>
      </c>
      <c r="R13" s="79">
        <f>K13+O13+P13+Q13</f>
        <v>139729.47500000001</v>
      </c>
      <c r="S13" s="78">
        <f>ROUND(K13*S$12,2)</f>
        <v>9003.19</v>
      </c>
      <c r="T13" s="78">
        <v>1.34</v>
      </c>
      <c r="U13" s="78">
        <f>K13+O13+P13+Q13+S13</f>
        <v>148732.66500000001</v>
      </c>
      <c r="V13" s="79">
        <f>R13*0.87</f>
        <v>121564.64325000001</v>
      </c>
      <c r="W13" s="78">
        <f>U13*0.87</f>
        <v>129397.41855</v>
      </c>
      <c r="X13" s="80">
        <v>3</v>
      </c>
      <c r="Y13" s="78">
        <v>3</v>
      </c>
      <c r="Z13" s="80">
        <f>X13-Y13</f>
        <v>0</v>
      </c>
      <c r="AA13" s="80">
        <f>K13*Z13</f>
        <v>0</v>
      </c>
      <c r="AB13" s="80">
        <f>K13*Y13</f>
        <v>108038.25</v>
      </c>
      <c r="AC13" s="80"/>
      <c r="AD13">
        <v>0.1</v>
      </c>
      <c r="AE13" s="78">
        <f>K13*AD13</f>
        <v>3601.2750000000001</v>
      </c>
      <c r="AF13">
        <v>0.2</v>
      </c>
      <c r="AG13" s="78">
        <f>AF13*K13</f>
        <v>7202.55</v>
      </c>
    </row>
    <row r="14" spans="1:34" ht="16.5" hidden="1" customHeight="1" x14ac:dyDescent="0.2">
      <c r="A14" s="81"/>
      <c r="B14" s="82"/>
      <c r="C14" s="82" t="s">
        <v>36</v>
      </c>
      <c r="D14" s="72">
        <v>0</v>
      </c>
      <c r="E14" s="73">
        <v>11500</v>
      </c>
      <c r="F14" s="74">
        <f>ROUND(E14*F$12,2)</f>
        <v>12650</v>
      </c>
      <c r="G14" s="74">
        <f>F14*1.1*1.1+0.5</f>
        <v>15307.000000000004</v>
      </c>
      <c r="H14" s="74">
        <v>18918.22</v>
      </c>
      <c r="I14" s="74">
        <f>H14*$I$12</f>
        <v>20810.042000000001</v>
      </c>
      <c r="J14" s="74">
        <v>22058.644520000002</v>
      </c>
      <c r="K14" s="74"/>
      <c r="L14" s="75"/>
      <c r="M14" s="83"/>
      <c r="N14" s="84"/>
      <c r="O14" s="78">
        <f>ROUND((K14*M14/100),2)</f>
        <v>0</v>
      </c>
      <c r="P14" s="78">
        <f>ROUND(K14*P$12,2)</f>
        <v>0</v>
      </c>
      <c r="Q14" s="78">
        <f>K14*T14</f>
        <v>0</v>
      </c>
      <c r="R14" s="79">
        <f>K14+O14+P14+Q14</f>
        <v>0</v>
      </c>
      <c r="S14" s="78">
        <f>ROUND(K14*S$12,2)</f>
        <v>0</v>
      </c>
      <c r="T14" s="78">
        <v>1.1399999999999999</v>
      </c>
      <c r="U14" s="78">
        <f>K14+O14+P14+Q14+S14</f>
        <v>0</v>
      </c>
      <c r="V14" s="79">
        <f>R14*0.87</f>
        <v>0</v>
      </c>
      <c r="W14" s="78">
        <f t="shared" ref="W14:W90" si="0">U14*0.87</f>
        <v>0</v>
      </c>
      <c r="X14" s="80">
        <v>3</v>
      </c>
      <c r="Y14" s="78">
        <v>3</v>
      </c>
      <c r="Z14" s="80">
        <f t="shared" ref="Z14:Z95" si="1">X14-Y14</f>
        <v>0</v>
      </c>
      <c r="AA14" s="80">
        <f t="shared" ref="AA14:AA95" si="2">K14*Z14</f>
        <v>0</v>
      </c>
      <c r="AB14" s="80">
        <f t="shared" ref="AB14:AB95" si="3">K14*Y14</f>
        <v>0</v>
      </c>
      <c r="AC14" s="80"/>
      <c r="AD14">
        <v>0.1</v>
      </c>
      <c r="AE14" s="78">
        <f t="shared" ref="AE14:AE95" si="4">K14*AD14</f>
        <v>0</v>
      </c>
      <c r="AF14">
        <v>0.2</v>
      </c>
      <c r="AG14" s="78">
        <f t="shared" ref="AG14:AG95" si="5">AF14*K14</f>
        <v>0</v>
      </c>
      <c r="AH14" s="85">
        <f>R14+AG14</f>
        <v>0</v>
      </c>
    </row>
    <row r="15" spans="1:34" ht="16.5" customHeight="1" x14ac:dyDescent="0.2">
      <c r="A15" s="81"/>
      <c r="B15" s="82"/>
      <c r="C15" s="82" t="s">
        <v>37</v>
      </c>
      <c r="D15" s="72">
        <v>1</v>
      </c>
      <c r="E15" s="73"/>
      <c r="F15" s="74"/>
      <c r="G15" s="74"/>
      <c r="H15" s="74"/>
      <c r="I15" s="74"/>
      <c r="J15" s="74"/>
      <c r="K15" s="74">
        <f>ROUND('ПРОЕКТ с 01.02.2023'!K15*1.09,2)</f>
        <v>19506.919999999998</v>
      </c>
      <c r="L15" s="75" t="s">
        <v>187</v>
      </c>
      <c r="M15" s="83">
        <v>10</v>
      </c>
      <c r="N15" s="84"/>
      <c r="O15" s="78">
        <f>ROUND((K15*M15/100),2)</f>
        <v>1950.69</v>
      </c>
      <c r="P15" s="78">
        <f>ROUND(K15*1.14,2)</f>
        <v>22237.89</v>
      </c>
      <c r="Q15" s="78">
        <f>K15*T15</f>
        <v>30040.656799999997</v>
      </c>
      <c r="R15" s="79">
        <f>K15+O15+P15+Q15</f>
        <v>73736.156799999997</v>
      </c>
      <c r="S15" s="78">
        <f>ROUND(K15*S$12,2)</f>
        <v>4876.7299999999996</v>
      </c>
      <c r="T15" s="78">
        <v>1.54</v>
      </c>
      <c r="U15" s="78">
        <f>K15+O15+P15+Q15+S15</f>
        <v>78612.886799999993</v>
      </c>
      <c r="V15" s="79">
        <f>R15*0.87</f>
        <v>64150.456415999994</v>
      </c>
      <c r="W15" s="78">
        <f t="shared" si="0"/>
        <v>68393.211515999996</v>
      </c>
      <c r="X15" s="80">
        <v>3</v>
      </c>
      <c r="Y15" s="78">
        <v>3</v>
      </c>
      <c r="Z15" s="80">
        <f t="shared" si="1"/>
        <v>0</v>
      </c>
      <c r="AA15" s="80">
        <f t="shared" si="2"/>
        <v>0</v>
      </c>
      <c r="AB15" s="80">
        <f t="shared" si="3"/>
        <v>58520.759999999995</v>
      </c>
      <c r="AC15" s="80"/>
      <c r="AD15">
        <v>1.1000000000000001</v>
      </c>
      <c r="AE15" s="78">
        <f t="shared" si="4"/>
        <v>21457.612000000001</v>
      </c>
      <c r="AF15">
        <v>1.2</v>
      </c>
      <c r="AG15" s="78">
        <f t="shared" si="5"/>
        <v>23408.303999999996</v>
      </c>
      <c r="AH15" s="85">
        <f>R15+AG15</f>
        <v>97144.460800000001</v>
      </c>
    </row>
    <row r="16" spans="1:34" x14ac:dyDescent="0.2">
      <c r="A16" s="86"/>
      <c r="B16" s="87"/>
      <c r="C16" s="87" t="s">
        <v>38</v>
      </c>
      <c r="D16" s="88">
        <f>SUM(D13:D15)</f>
        <v>2</v>
      </c>
      <c r="E16" s="89">
        <f>SUM(E13:E14)</f>
        <v>23500</v>
      </c>
      <c r="F16" s="89">
        <f>SUM(F13:F14)</f>
        <v>25850</v>
      </c>
      <c r="G16" s="89">
        <f>SUM(G13:G14)</f>
        <v>31279.000000000007</v>
      </c>
      <c r="H16" s="89">
        <f>SUM(H13:H14)</f>
        <v>38658.97</v>
      </c>
      <c r="I16" s="89">
        <f>SUM(I13:I14)</f>
        <v>42524.866999999998</v>
      </c>
      <c r="J16" s="89">
        <v>45076.359020000004</v>
      </c>
      <c r="K16" s="90">
        <f>SUM(K13:K15)</f>
        <v>55519.67</v>
      </c>
      <c r="L16" s="90"/>
      <c r="M16" s="90"/>
      <c r="N16" s="90">
        <f t="shared" ref="N16" si="6">SUM(N13:N14)</f>
        <v>0</v>
      </c>
      <c r="O16" s="90">
        <f>SUM(O13:O15)</f>
        <v>12754.52</v>
      </c>
      <c r="P16" s="90">
        <f>SUM(P13:P15)</f>
        <v>66893.7</v>
      </c>
      <c r="Q16" s="90">
        <f t="shared" ref="Q16:AH16" si="7">SUM(Q13:Q15)</f>
        <v>78297.741800000003</v>
      </c>
      <c r="R16" s="90">
        <f t="shared" si="7"/>
        <v>213465.6318</v>
      </c>
      <c r="S16" s="90">
        <f t="shared" si="7"/>
        <v>13879.92</v>
      </c>
      <c r="T16" s="90"/>
      <c r="U16" s="90">
        <f t="shared" si="7"/>
        <v>227345.55180000002</v>
      </c>
      <c r="V16" s="90">
        <f t="shared" si="7"/>
        <v>185715.09966599999</v>
      </c>
      <c r="W16" s="90">
        <f t="shared" si="7"/>
        <v>197790.63006599998</v>
      </c>
      <c r="X16" s="90">
        <f t="shared" si="7"/>
        <v>9</v>
      </c>
      <c r="Y16" s="90">
        <f t="shared" si="7"/>
        <v>9</v>
      </c>
      <c r="Z16" s="90">
        <f t="shared" si="7"/>
        <v>0</v>
      </c>
      <c r="AA16" s="90">
        <f t="shared" si="7"/>
        <v>0</v>
      </c>
      <c r="AB16" s="90">
        <f t="shared" si="7"/>
        <v>166559.01</v>
      </c>
      <c r="AC16" s="90">
        <f t="shared" si="7"/>
        <v>0</v>
      </c>
      <c r="AD16" s="90">
        <f t="shared" si="7"/>
        <v>1.3</v>
      </c>
      <c r="AE16" s="90">
        <f t="shared" si="7"/>
        <v>25058.887000000002</v>
      </c>
      <c r="AF16" s="90">
        <f t="shared" si="7"/>
        <v>1.6</v>
      </c>
      <c r="AG16" s="90">
        <f t="shared" si="7"/>
        <v>30610.853999999996</v>
      </c>
      <c r="AH16" s="90">
        <f t="shared" si="7"/>
        <v>97144.460800000001</v>
      </c>
    </row>
    <row r="17" spans="1:34" x14ac:dyDescent="0.2">
      <c r="A17" s="92" t="s">
        <v>39</v>
      </c>
      <c r="B17" s="93"/>
      <c r="C17" s="93"/>
      <c r="D17" s="94"/>
      <c r="E17" s="95"/>
      <c r="F17" s="95"/>
      <c r="G17" s="95"/>
      <c r="H17" s="95"/>
      <c r="I17" s="95"/>
      <c r="J17" s="95"/>
      <c r="K17" s="90"/>
      <c r="L17" s="96"/>
      <c r="M17" s="97"/>
      <c r="N17" s="97"/>
      <c r="O17" s="98"/>
      <c r="P17" s="99" t="s">
        <v>40</v>
      </c>
      <c r="Q17" s="66" t="s">
        <v>41</v>
      </c>
      <c r="R17" s="79"/>
      <c r="S17" s="98"/>
      <c r="T17" s="99"/>
      <c r="U17" s="98"/>
      <c r="V17" s="100"/>
      <c r="W17" s="98"/>
      <c r="X17" s="80"/>
      <c r="Y17" s="98"/>
      <c r="Z17" s="80"/>
      <c r="AA17" s="80">
        <f t="shared" si="2"/>
        <v>0</v>
      </c>
      <c r="AB17" s="80">
        <f t="shared" si="3"/>
        <v>0</v>
      </c>
      <c r="AC17" s="101"/>
      <c r="AD17">
        <v>0.1</v>
      </c>
      <c r="AE17" s="98"/>
      <c r="AG17" s="98"/>
    </row>
    <row r="18" spans="1:34" x14ac:dyDescent="0.2">
      <c r="A18" s="102"/>
      <c r="B18" s="103"/>
      <c r="C18" s="104" t="s">
        <v>42</v>
      </c>
      <c r="D18" s="72">
        <v>1</v>
      </c>
      <c r="E18" s="73">
        <v>8500</v>
      </c>
      <c r="F18" s="74">
        <f t="shared" ref="F18:F23" si="8">ROUND(E18*F$12,2)</f>
        <v>9350</v>
      </c>
      <c r="G18" s="74">
        <f>F18*1.1*1.1+0.5</f>
        <v>11314.000000000002</v>
      </c>
      <c r="H18" s="74">
        <v>13983.03</v>
      </c>
      <c r="I18" s="74">
        <f t="shared" ref="I18:I23" si="9">H18*$I$12</f>
        <v>15381.333000000002</v>
      </c>
      <c r="J18" s="74">
        <v>16304.212980000004</v>
      </c>
      <c r="K18" s="74">
        <f>ROUND('ПРОЕКТ с 01.02.2023'!K18*1.09,2)</f>
        <v>25509.02</v>
      </c>
      <c r="L18" s="105" t="s">
        <v>44</v>
      </c>
      <c r="M18" s="76">
        <v>30</v>
      </c>
      <c r="N18" s="76"/>
      <c r="O18" s="78">
        <f t="shared" ref="O18:O23" si="10">ROUND((K18*M18/100),2)</f>
        <v>7652.71</v>
      </c>
      <c r="P18" s="78">
        <f>ROUND(K18*1.24,2)</f>
        <v>31631.18</v>
      </c>
      <c r="Q18" s="78">
        <f t="shared" ref="Q18:Q22" si="11">K18*T18</f>
        <v>41834.792799999996</v>
      </c>
      <c r="R18" s="79">
        <f t="shared" ref="R18:R23" si="12">K18+O18+P18+Q18</f>
        <v>106627.7028</v>
      </c>
      <c r="S18" s="78">
        <f t="shared" ref="S18:S23" si="13">ROUND(K18*S$12,2)</f>
        <v>6377.26</v>
      </c>
      <c r="T18" s="78">
        <v>1.64</v>
      </c>
      <c r="U18" s="78">
        <f t="shared" ref="U18:U23" si="14">K18+O18+P18+Q18+S18</f>
        <v>113004.96279999999</v>
      </c>
      <c r="V18" s="79">
        <f t="shared" ref="V18:V90" si="15">R18*0.87</f>
        <v>92766.101435999997</v>
      </c>
      <c r="W18" s="78">
        <f t="shared" si="0"/>
        <v>98314.317635999992</v>
      </c>
      <c r="X18" s="80">
        <v>3</v>
      </c>
      <c r="Y18" s="78">
        <v>3</v>
      </c>
      <c r="Z18" s="80">
        <f t="shared" si="1"/>
        <v>0</v>
      </c>
      <c r="AA18" s="80">
        <f t="shared" si="2"/>
        <v>0</v>
      </c>
      <c r="AB18" s="80">
        <f t="shared" si="3"/>
        <v>76527.06</v>
      </c>
      <c r="AC18" s="80"/>
      <c r="AD18">
        <v>0.1</v>
      </c>
      <c r="AE18" s="78">
        <f t="shared" si="4"/>
        <v>2550.902</v>
      </c>
      <c r="AF18">
        <v>0.2</v>
      </c>
      <c r="AG18" s="78">
        <f t="shared" si="5"/>
        <v>5101.8040000000001</v>
      </c>
    </row>
    <row r="19" spans="1:34" x14ac:dyDescent="0.2">
      <c r="A19" s="102"/>
      <c r="B19" s="106"/>
      <c r="C19" s="82" t="s">
        <v>43</v>
      </c>
      <c r="D19" s="72">
        <v>1</v>
      </c>
      <c r="E19" s="73">
        <v>7700</v>
      </c>
      <c r="F19" s="74">
        <f t="shared" si="8"/>
        <v>8470</v>
      </c>
      <c r="G19" s="74">
        <f>F19*1.1*1.1+0.3</f>
        <v>10249</v>
      </c>
      <c r="H19" s="74">
        <v>12666.98</v>
      </c>
      <c r="I19" s="74">
        <f t="shared" si="9"/>
        <v>13933.678</v>
      </c>
      <c r="J19" s="74">
        <v>14769.698680000001</v>
      </c>
      <c r="K19" s="74">
        <f>ROUND('ПРОЕКТ с 01.02.2023'!K19*1.09,2)</f>
        <v>23108.17</v>
      </c>
      <c r="L19" s="75" t="s">
        <v>46</v>
      </c>
      <c r="M19" s="76">
        <v>30</v>
      </c>
      <c r="N19" s="76"/>
      <c r="O19" s="78">
        <f t="shared" si="10"/>
        <v>6932.45</v>
      </c>
      <c r="P19" s="78">
        <f>ROUND(K19*1.14,2)</f>
        <v>26343.31</v>
      </c>
      <c r="Q19" s="78">
        <f t="shared" si="11"/>
        <v>35586.5818</v>
      </c>
      <c r="R19" s="79">
        <f t="shared" si="12"/>
        <v>91970.511800000007</v>
      </c>
      <c r="S19" s="78">
        <f t="shared" si="13"/>
        <v>5777.04</v>
      </c>
      <c r="T19" s="78">
        <v>1.54</v>
      </c>
      <c r="U19" s="78">
        <f t="shared" si="14"/>
        <v>97747.551800000001</v>
      </c>
      <c r="V19" s="79">
        <f t="shared" si="15"/>
        <v>80014.345266000004</v>
      </c>
      <c r="W19" s="78">
        <f t="shared" si="0"/>
        <v>85040.370066000003</v>
      </c>
      <c r="X19" s="80">
        <v>3</v>
      </c>
      <c r="Y19" s="78"/>
      <c r="Z19" s="80">
        <f t="shared" si="1"/>
        <v>3</v>
      </c>
      <c r="AA19" s="80">
        <f t="shared" si="2"/>
        <v>69324.509999999995</v>
      </c>
      <c r="AB19" s="80">
        <f t="shared" si="3"/>
        <v>0</v>
      </c>
      <c r="AC19" s="80"/>
      <c r="AD19">
        <v>0.1</v>
      </c>
      <c r="AE19" s="78">
        <f t="shared" si="4"/>
        <v>2310.817</v>
      </c>
      <c r="AF19">
        <v>0.2</v>
      </c>
      <c r="AG19" s="78">
        <f t="shared" si="5"/>
        <v>4621.634</v>
      </c>
    </row>
    <row r="20" spans="1:34" x14ac:dyDescent="0.2">
      <c r="A20" s="86"/>
      <c r="B20" s="107"/>
      <c r="C20" s="107" t="s">
        <v>182</v>
      </c>
      <c r="D20" s="108">
        <v>1</v>
      </c>
      <c r="E20" s="73">
        <v>6500</v>
      </c>
      <c r="F20" s="74">
        <f t="shared" si="8"/>
        <v>7150</v>
      </c>
      <c r="G20" s="74">
        <f>F20*1.1*1.1+0.5</f>
        <v>8652.0000000000018</v>
      </c>
      <c r="H20" s="74">
        <v>10692.91</v>
      </c>
      <c r="I20" s="74">
        <f t="shared" si="9"/>
        <v>11762.201000000001</v>
      </c>
      <c r="J20" s="74">
        <v>12467.933060000001</v>
      </c>
      <c r="K20" s="74">
        <f>ROUND('ПРОЕКТ с 01.02.2023'!K20*1.09,2)</f>
        <v>19506.919999999998</v>
      </c>
      <c r="L20" s="75" t="s">
        <v>207</v>
      </c>
      <c r="M20" s="83">
        <v>30</v>
      </c>
      <c r="N20" s="83"/>
      <c r="O20" s="78">
        <f t="shared" si="10"/>
        <v>5852.08</v>
      </c>
      <c r="P20" s="78">
        <f>ROUND(K20*1.14,2)</f>
        <v>22237.89</v>
      </c>
      <c r="Q20" s="78">
        <f t="shared" si="11"/>
        <v>30040.656799999997</v>
      </c>
      <c r="R20" s="79">
        <f t="shared" si="12"/>
        <v>77637.546799999996</v>
      </c>
      <c r="S20" s="78">
        <f t="shared" si="13"/>
        <v>4876.7299999999996</v>
      </c>
      <c r="T20" s="78">
        <v>1.54</v>
      </c>
      <c r="U20" s="78">
        <f t="shared" si="14"/>
        <v>82514.276799999992</v>
      </c>
      <c r="V20" s="79">
        <f t="shared" si="15"/>
        <v>67544.665716000003</v>
      </c>
      <c r="W20" s="78">
        <f t="shared" si="0"/>
        <v>71787.420815999998</v>
      </c>
      <c r="X20" s="80">
        <v>3</v>
      </c>
      <c r="Y20" s="78">
        <v>3</v>
      </c>
      <c r="Z20" s="80">
        <f t="shared" si="1"/>
        <v>0</v>
      </c>
      <c r="AA20" s="80">
        <f t="shared" si="2"/>
        <v>0</v>
      </c>
      <c r="AB20" s="80">
        <f t="shared" si="3"/>
        <v>58520.759999999995</v>
      </c>
      <c r="AC20" s="80"/>
      <c r="AD20">
        <v>0.1</v>
      </c>
      <c r="AE20" s="78">
        <f t="shared" si="4"/>
        <v>1950.692</v>
      </c>
      <c r="AF20">
        <v>0.2</v>
      </c>
      <c r="AG20" s="78">
        <f t="shared" si="5"/>
        <v>3901.384</v>
      </c>
    </row>
    <row r="21" spans="1:34" x14ac:dyDescent="0.2">
      <c r="A21" s="86"/>
      <c r="B21" s="107"/>
      <c r="C21" s="107" t="s">
        <v>182</v>
      </c>
      <c r="D21" s="108">
        <v>1</v>
      </c>
      <c r="E21" s="73">
        <v>6500</v>
      </c>
      <c r="F21" s="74">
        <f t="shared" si="8"/>
        <v>7150</v>
      </c>
      <c r="G21" s="74">
        <f>F21*1.1*1.1+0.5</f>
        <v>8652.0000000000018</v>
      </c>
      <c r="H21" s="74">
        <v>10692.91</v>
      </c>
      <c r="I21" s="74">
        <f t="shared" si="9"/>
        <v>11762.201000000001</v>
      </c>
      <c r="J21" s="74">
        <v>12467.933060000001</v>
      </c>
      <c r="K21" s="74">
        <f>ROUND('ПРОЕКТ с 01.02.2023'!K21*1.09,2)</f>
        <v>19506.919999999998</v>
      </c>
      <c r="L21" s="75" t="s">
        <v>47</v>
      </c>
      <c r="M21" s="76">
        <v>30</v>
      </c>
      <c r="N21" s="83"/>
      <c r="O21" s="78">
        <f t="shared" si="10"/>
        <v>5852.08</v>
      </c>
      <c r="P21" s="78">
        <f>ROUND(K21*1.14,2)</f>
        <v>22237.89</v>
      </c>
      <c r="Q21" s="78">
        <f t="shared" si="11"/>
        <v>30040.656799999997</v>
      </c>
      <c r="R21" s="79">
        <f t="shared" si="12"/>
        <v>77637.546799999996</v>
      </c>
      <c r="S21" s="78">
        <f t="shared" si="13"/>
        <v>4876.7299999999996</v>
      </c>
      <c r="T21" s="78">
        <v>1.54</v>
      </c>
      <c r="U21" s="78">
        <f t="shared" si="14"/>
        <v>82514.276799999992</v>
      </c>
      <c r="V21" s="79">
        <f t="shared" si="15"/>
        <v>67544.665716000003</v>
      </c>
      <c r="W21" s="78">
        <f t="shared" si="0"/>
        <v>71787.420815999998</v>
      </c>
      <c r="X21" s="80">
        <v>3</v>
      </c>
      <c r="Y21" s="78">
        <v>2</v>
      </c>
      <c r="Z21" s="80">
        <f t="shared" si="1"/>
        <v>1</v>
      </c>
      <c r="AA21" s="80">
        <f t="shared" si="2"/>
        <v>19506.919999999998</v>
      </c>
      <c r="AB21" s="80">
        <f t="shared" si="3"/>
        <v>39013.839999999997</v>
      </c>
      <c r="AC21" s="80"/>
      <c r="AD21">
        <v>0.1</v>
      </c>
      <c r="AE21" s="78">
        <f t="shared" si="4"/>
        <v>1950.692</v>
      </c>
      <c r="AF21">
        <v>0.2</v>
      </c>
      <c r="AG21" s="78">
        <f t="shared" si="5"/>
        <v>3901.384</v>
      </c>
    </row>
    <row r="22" spans="1:34" x14ac:dyDescent="0.2">
      <c r="A22" s="102"/>
      <c r="B22" s="107"/>
      <c r="C22" s="107" t="s">
        <v>183</v>
      </c>
      <c r="D22" s="109">
        <v>1</v>
      </c>
      <c r="E22" s="73">
        <v>5600</v>
      </c>
      <c r="F22" s="74">
        <f t="shared" si="8"/>
        <v>6160</v>
      </c>
      <c r="G22" s="74">
        <f>F22*1.1*1.1+0.4</f>
        <v>7454.0000000000009</v>
      </c>
      <c r="H22" s="74">
        <v>9212.35</v>
      </c>
      <c r="I22" s="74">
        <f t="shared" si="9"/>
        <v>10133.585000000001</v>
      </c>
      <c r="J22" s="74">
        <v>10741.600100000001</v>
      </c>
      <c r="K22" s="74">
        <f>ROUND('ПРОЕКТ с 01.02.2023'!K22*1.09,2)</f>
        <v>16805.98</v>
      </c>
      <c r="L22" s="110" t="s">
        <v>49</v>
      </c>
      <c r="M22" s="83">
        <v>30</v>
      </c>
      <c r="N22" s="76"/>
      <c r="O22" s="78">
        <f t="shared" si="10"/>
        <v>5041.79</v>
      </c>
      <c r="P22" s="78">
        <f>ROUND(K22*1.14,2)</f>
        <v>19158.82</v>
      </c>
      <c r="Q22" s="78">
        <f t="shared" si="11"/>
        <v>24200.611199999999</v>
      </c>
      <c r="R22" s="79">
        <f t="shared" si="12"/>
        <v>65207.201199999996</v>
      </c>
      <c r="S22" s="78">
        <f t="shared" si="13"/>
        <v>4201.5</v>
      </c>
      <c r="T22" s="78">
        <v>1.44</v>
      </c>
      <c r="U22" s="78">
        <f t="shared" si="14"/>
        <v>69408.701199999996</v>
      </c>
      <c r="V22" s="79">
        <f t="shared" si="15"/>
        <v>56730.265044</v>
      </c>
      <c r="W22" s="78">
        <f t="shared" si="0"/>
        <v>60385.570043999993</v>
      </c>
      <c r="X22" s="80">
        <v>3</v>
      </c>
      <c r="Y22" s="78">
        <v>3</v>
      </c>
      <c r="Z22" s="80">
        <f t="shared" si="1"/>
        <v>0</v>
      </c>
      <c r="AA22" s="80">
        <f t="shared" si="2"/>
        <v>0</v>
      </c>
      <c r="AB22" s="80">
        <f t="shared" si="3"/>
        <v>50417.94</v>
      </c>
      <c r="AC22" s="80"/>
      <c r="AD22">
        <v>0.1</v>
      </c>
      <c r="AE22" s="78">
        <f t="shared" si="4"/>
        <v>1680.598</v>
      </c>
      <c r="AF22">
        <v>0.2</v>
      </c>
      <c r="AG22" s="78">
        <f t="shared" si="5"/>
        <v>3361.1959999999999</v>
      </c>
    </row>
    <row r="23" spans="1:34" x14ac:dyDescent="0.2">
      <c r="A23" s="102"/>
      <c r="B23" s="107"/>
      <c r="C23" s="107" t="s">
        <v>182</v>
      </c>
      <c r="D23" s="109">
        <v>1</v>
      </c>
      <c r="E23" s="73">
        <v>5600</v>
      </c>
      <c r="F23" s="74">
        <f t="shared" si="8"/>
        <v>6160</v>
      </c>
      <c r="G23" s="74">
        <f>F23*1.1*1.1+0.4</f>
        <v>7454.0000000000009</v>
      </c>
      <c r="H23" s="74">
        <v>9212.35</v>
      </c>
      <c r="I23" s="74">
        <f t="shared" si="9"/>
        <v>10133.585000000001</v>
      </c>
      <c r="J23" s="74">
        <v>10741.600100000001</v>
      </c>
      <c r="K23" s="74">
        <f>ROUND('ПРОЕКТ с 01.02.2023'!K23*1.09,2)</f>
        <v>19506.919999999998</v>
      </c>
      <c r="L23" s="75" t="s">
        <v>50</v>
      </c>
      <c r="M23" s="83">
        <v>30</v>
      </c>
      <c r="N23" s="76"/>
      <c r="O23" s="78">
        <f t="shared" si="10"/>
        <v>5852.08</v>
      </c>
      <c r="P23" s="78">
        <f>ROUND(K23*1.14,2)</f>
        <v>22237.89</v>
      </c>
      <c r="Q23" s="78">
        <f>K23*T23</f>
        <v>30040.656799999997</v>
      </c>
      <c r="R23" s="79">
        <f t="shared" si="12"/>
        <v>77637.546799999996</v>
      </c>
      <c r="S23" s="78">
        <f t="shared" si="13"/>
        <v>4876.7299999999996</v>
      </c>
      <c r="T23" s="78">
        <v>1.54</v>
      </c>
      <c r="U23" s="78">
        <f t="shared" si="14"/>
        <v>82514.276799999992</v>
      </c>
      <c r="V23" s="79">
        <f t="shared" si="15"/>
        <v>67544.665716000003</v>
      </c>
      <c r="W23" s="78">
        <f t="shared" si="0"/>
        <v>71787.420815999998</v>
      </c>
      <c r="X23" s="80">
        <v>3</v>
      </c>
      <c r="Y23" s="78">
        <v>3</v>
      </c>
      <c r="Z23" s="80">
        <f t="shared" si="1"/>
        <v>0</v>
      </c>
      <c r="AA23" s="80">
        <f t="shared" si="2"/>
        <v>0</v>
      </c>
      <c r="AB23" s="80">
        <f t="shared" si="3"/>
        <v>58520.759999999995</v>
      </c>
      <c r="AC23" s="80"/>
      <c r="AD23">
        <v>0.1</v>
      </c>
      <c r="AE23" s="78">
        <f t="shared" si="4"/>
        <v>1950.692</v>
      </c>
      <c r="AF23">
        <v>0.2</v>
      </c>
      <c r="AG23" s="78">
        <f t="shared" si="5"/>
        <v>3901.384</v>
      </c>
    </row>
    <row r="24" spans="1:34" x14ac:dyDescent="0.2">
      <c r="A24" s="102"/>
      <c r="B24" s="87"/>
      <c r="C24" s="87" t="s">
        <v>51</v>
      </c>
      <c r="D24" s="88">
        <f>SUM(D18:D23)</f>
        <v>6</v>
      </c>
      <c r="E24" s="95">
        <f t="shared" ref="E24:I24" si="16">SUM(E18:E23)</f>
        <v>40400</v>
      </c>
      <c r="F24" s="95">
        <f t="shared" si="16"/>
        <v>44440</v>
      </c>
      <c r="G24" s="95">
        <f t="shared" si="16"/>
        <v>53775</v>
      </c>
      <c r="H24" s="95">
        <f t="shared" si="16"/>
        <v>66460.53</v>
      </c>
      <c r="I24" s="95">
        <f t="shared" si="16"/>
        <v>73106.582999999999</v>
      </c>
      <c r="J24" s="95">
        <v>77492.977979999996</v>
      </c>
      <c r="K24" s="90">
        <f>SUM(K18:K23)</f>
        <v>123943.93</v>
      </c>
      <c r="L24" s="90"/>
      <c r="M24" s="90"/>
      <c r="N24" s="90">
        <f t="shared" ref="N24" si="17">SUM(N18:N23)</f>
        <v>0</v>
      </c>
      <c r="O24" s="90">
        <f>SUM(O18:O23)</f>
        <v>37183.19</v>
      </c>
      <c r="P24" s="90">
        <f t="shared" ref="P24:W24" si="18">SUM(P18:P23)</f>
        <v>143846.97999999998</v>
      </c>
      <c r="Q24" s="90">
        <f t="shared" si="18"/>
        <v>191743.95619999996</v>
      </c>
      <c r="R24" s="90">
        <f t="shared" si="18"/>
        <v>496718.05620000005</v>
      </c>
      <c r="S24" s="90">
        <f t="shared" si="18"/>
        <v>30985.989999999998</v>
      </c>
      <c r="T24" s="90">
        <f t="shared" si="18"/>
        <v>9.2399999999999984</v>
      </c>
      <c r="U24" s="90">
        <f t="shared" si="18"/>
        <v>527704.04619999998</v>
      </c>
      <c r="V24" s="90">
        <f t="shared" si="18"/>
        <v>432144.70889400004</v>
      </c>
      <c r="W24" s="90">
        <f t="shared" si="18"/>
        <v>459102.52019399998</v>
      </c>
      <c r="X24" s="80"/>
      <c r="Y24" s="90"/>
      <c r="Z24" s="80"/>
      <c r="AA24" s="80">
        <f t="shared" si="2"/>
        <v>0</v>
      </c>
      <c r="AB24" s="80">
        <f t="shared" si="3"/>
        <v>0</v>
      </c>
      <c r="AC24" s="91"/>
      <c r="AD24">
        <v>0.1</v>
      </c>
      <c r="AE24" s="95">
        <f t="shared" si="4"/>
        <v>12394.393</v>
      </c>
      <c r="AF24">
        <v>0.2</v>
      </c>
      <c r="AG24" s="95">
        <f t="shared" si="5"/>
        <v>24788.786</v>
      </c>
    </row>
    <row r="25" spans="1:34" ht="51" x14ac:dyDescent="0.2">
      <c r="A25" s="59" t="s">
        <v>52</v>
      </c>
      <c r="B25" s="87"/>
      <c r="C25" s="87"/>
      <c r="D25" s="111"/>
      <c r="E25" s="95"/>
      <c r="F25" s="95"/>
      <c r="G25" s="95"/>
      <c r="H25" s="95"/>
      <c r="I25" s="95"/>
      <c r="J25" s="95"/>
      <c r="K25" s="90"/>
      <c r="L25" s="112"/>
      <c r="M25" s="113"/>
      <c r="N25" s="113"/>
      <c r="O25" s="95"/>
      <c r="P25" s="114">
        <v>1.19</v>
      </c>
      <c r="Q25" s="95"/>
      <c r="R25" s="79"/>
      <c r="S25" s="95"/>
      <c r="T25" s="114"/>
      <c r="U25" s="95"/>
      <c r="V25" s="115"/>
      <c r="W25" s="95"/>
      <c r="X25" s="80"/>
      <c r="Y25" s="95"/>
      <c r="Z25" s="80"/>
      <c r="AA25" s="80">
        <f t="shared" si="2"/>
        <v>0</v>
      </c>
      <c r="AB25" s="80">
        <f t="shared" si="3"/>
        <v>0</v>
      </c>
      <c r="AC25" s="116"/>
      <c r="AD25">
        <v>0.1</v>
      </c>
      <c r="AE25" s="95"/>
      <c r="AG25" s="95"/>
    </row>
    <row r="26" spans="1:34" ht="25.5" x14ac:dyDescent="0.2">
      <c r="A26" s="117"/>
      <c r="B26" s="87"/>
      <c r="C26" s="59" t="s">
        <v>193</v>
      </c>
      <c r="D26" s="108">
        <v>1</v>
      </c>
      <c r="E26" s="118"/>
      <c r="F26" s="118"/>
      <c r="G26" s="118">
        <f>11616*1.1+0.4</f>
        <v>12778</v>
      </c>
      <c r="H26" s="74">
        <v>15792.6</v>
      </c>
      <c r="I26" s="74">
        <f>H26*$I$12</f>
        <v>17371.86</v>
      </c>
      <c r="J26" s="74">
        <v>18414.171600000001</v>
      </c>
      <c r="K26" s="74">
        <f>ROUND('ПРОЕКТ с 01.02.2023'!K26*1.09,2)</f>
        <v>33011.67</v>
      </c>
      <c r="L26" s="75" t="s">
        <v>53</v>
      </c>
      <c r="M26" s="83">
        <v>30</v>
      </c>
      <c r="N26" s="83"/>
      <c r="O26" s="78">
        <f>ROUND((K26*M26/100),2)</f>
        <v>9903.5</v>
      </c>
      <c r="P26" s="118">
        <f>ROUND(K26*1.19,2)</f>
        <v>39283.89</v>
      </c>
      <c r="Q26" s="78">
        <f>K26*T26</f>
        <v>50837.971799999999</v>
      </c>
      <c r="R26" s="79">
        <f>K26+O26+P26+Q26</f>
        <v>133037.0318</v>
      </c>
      <c r="S26" s="78">
        <f>ROUND(K26*S$12,2)</f>
        <v>8252.92</v>
      </c>
      <c r="T26" s="118">
        <v>1.54</v>
      </c>
      <c r="U26" s="78">
        <f>K26+O26+P26+Q26+S26</f>
        <v>141289.95180000001</v>
      </c>
      <c r="V26" s="79">
        <f t="shared" si="15"/>
        <v>115742.217666</v>
      </c>
      <c r="W26" s="78">
        <f t="shared" si="0"/>
        <v>122922.25806600001</v>
      </c>
      <c r="X26" s="80">
        <v>3</v>
      </c>
      <c r="Y26" s="78">
        <v>3</v>
      </c>
      <c r="Z26" s="80">
        <f t="shared" si="1"/>
        <v>0</v>
      </c>
      <c r="AA26" s="80">
        <f t="shared" si="2"/>
        <v>0</v>
      </c>
      <c r="AB26" s="80">
        <f t="shared" si="3"/>
        <v>99035.01</v>
      </c>
      <c r="AC26" s="80"/>
      <c r="AD26">
        <v>0.1</v>
      </c>
      <c r="AE26" s="78">
        <f t="shared" si="4"/>
        <v>3301.1669999999999</v>
      </c>
      <c r="AF26">
        <v>0.2</v>
      </c>
      <c r="AG26" s="78">
        <f t="shared" si="5"/>
        <v>6602.3339999999998</v>
      </c>
    </row>
    <row r="27" spans="1:34" ht="15" customHeight="1" x14ac:dyDescent="0.2">
      <c r="A27" s="117"/>
      <c r="B27" s="87"/>
      <c r="C27" s="119" t="s">
        <v>54</v>
      </c>
      <c r="D27" s="108">
        <v>1</v>
      </c>
      <c r="E27" s="118"/>
      <c r="F27" s="118"/>
      <c r="G27" s="118">
        <f>10527*1.1+0.3</f>
        <v>11580</v>
      </c>
      <c r="H27" s="74">
        <v>14312.05</v>
      </c>
      <c r="I27" s="74">
        <f>H27*$I$12</f>
        <v>15743.255000000001</v>
      </c>
      <c r="J27" s="74">
        <v>16687.850300000002</v>
      </c>
      <c r="K27" s="74">
        <f>ROUND('ПРОЕКТ с 01.02.2023'!K27*1.09,2)</f>
        <v>26109.279999999999</v>
      </c>
      <c r="L27" s="75" t="s">
        <v>210</v>
      </c>
      <c r="M27" s="76">
        <v>30</v>
      </c>
      <c r="N27" s="83"/>
      <c r="O27" s="78">
        <f>ROUND((K27*M27/100),2)</f>
        <v>7832.78</v>
      </c>
      <c r="P27" s="118">
        <f>ROUND(K27*1.19,2)</f>
        <v>31070.04</v>
      </c>
      <c r="Q27" s="78">
        <f>K27*T27</f>
        <v>40208.2912</v>
      </c>
      <c r="R27" s="79">
        <f>K27+O27+P27+Q27</f>
        <v>105220.3912</v>
      </c>
      <c r="S27" s="78">
        <f>ROUND(K27*S$12,2)</f>
        <v>6527.32</v>
      </c>
      <c r="T27" s="118">
        <v>1.54</v>
      </c>
      <c r="U27" s="78">
        <f>K27+O27+P27+Q27+S27</f>
        <v>111747.71119999999</v>
      </c>
      <c r="V27" s="79">
        <f>R27*0.87</f>
        <v>91541.740343999991</v>
      </c>
      <c r="W27" s="78">
        <f>U27*0.87</f>
        <v>97220.508743999992</v>
      </c>
      <c r="X27" s="80">
        <v>3</v>
      </c>
      <c r="Y27" s="78">
        <v>3</v>
      </c>
      <c r="Z27" s="80">
        <f t="shared" si="1"/>
        <v>0</v>
      </c>
      <c r="AA27" s="80">
        <f t="shared" si="2"/>
        <v>0</v>
      </c>
      <c r="AB27" s="80">
        <f t="shared" si="3"/>
        <v>78327.839999999997</v>
      </c>
      <c r="AC27" s="80"/>
      <c r="AD27">
        <v>0.1</v>
      </c>
      <c r="AE27" s="78">
        <f t="shared" si="4"/>
        <v>2610.9279999999999</v>
      </c>
      <c r="AF27">
        <v>0.2</v>
      </c>
      <c r="AG27" s="78">
        <f t="shared" si="5"/>
        <v>5221.8559999999998</v>
      </c>
    </row>
    <row r="28" spans="1:34" ht="54" customHeight="1" x14ac:dyDescent="0.2">
      <c r="A28" s="120" t="s">
        <v>56</v>
      </c>
      <c r="B28" s="93"/>
      <c r="C28" s="93"/>
      <c r="D28" s="94"/>
      <c r="E28" s="95"/>
      <c r="F28" s="95"/>
      <c r="G28" s="95"/>
      <c r="H28" s="95"/>
      <c r="I28" s="95"/>
      <c r="J28" s="95"/>
      <c r="K28" s="90"/>
      <c r="L28" s="90"/>
      <c r="M28" s="90"/>
      <c r="N28" s="90"/>
      <c r="O28" s="90"/>
      <c r="P28" s="99" t="s">
        <v>40</v>
      </c>
      <c r="Q28" s="66" t="s">
        <v>57</v>
      </c>
      <c r="R28" s="79"/>
      <c r="S28" s="90"/>
      <c r="T28" s="99"/>
      <c r="U28" s="90"/>
      <c r="V28" s="121"/>
      <c r="W28" s="90"/>
      <c r="X28" s="80"/>
      <c r="Y28" s="90"/>
      <c r="Z28" s="80"/>
      <c r="AA28" s="80">
        <f t="shared" si="2"/>
        <v>0</v>
      </c>
      <c r="AB28" s="80">
        <f t="shared" si="3"/>
        <v>0</v>
      </c>
      <c r="AC28" s="91"/>
      <c r="AD28">
        <v>0.1</v>
      </c>
      <c r="AE28" s="90"/>
      <c r="AG28" s="90"/>
      <c r="AH28" s="85"/>
    </row>
    <row r="29" spans="1:34" x14ac:dyDescent="0.2">
      <c r="A29" s="102"/>
      <c r="B29" s="87"/>
      <c r="C29" s="87" t="s">
        <v>58</v>
      </c>
      <c r="D29" s="72">
        <v>1</v>
      </c>
      <c r="E29" s="73">
        <v>8500</v>
      </c>
      <c r="F29" s="74">
        <f t="shared" ref="F29:F53" si="19">ROUND(E29*F$12,2)</f>
        <v>9350</v>
      </c>
      <c r="G29" s="74">
        <f>9075*1.1+0.5</f>
        <v>9983</v>
      </c>
      <c r="H29" s="74">
        <v>12337.98</v>
      </c>
      <c r="I29" s="74">
        <f t="shared" ref="I29:I43" si="20">H29*$I$12</f>
        <v>13571.778</v>
      </c>
      <c r="J29" s="74">
        <v>14386.084680000002</v>
      </c>
      <c r="K29" s="74">
        <f>ROUND('ПРОЕКТ с 01.02.2023'!K29*1.09,2)</f>
        <v>25509.02</v>
      </c>
      <c r="L29" s="105" t="s">
        <v>59</v>
      </c>
      <c r="M29" s="76">
        <v>30</v>
      </c>
      <c r="N29" s="76"/>
      <c r="O29" s="78">
        <f>ROUND((K29*M29/100),2)</f>
        <v>7652.71</v>
      </c>
      <c r="P29" s="78">
        <f>ROUND(K29*1.24,2)</f>
        <v>31631.18</v>
      </c>
      <c r="Q29" s="78">
        <f>K29*T29</f>
        <v>39283.890800000001</v>
      </c>
      <c r="R29" s="79">
        <f>K29+O29+P29+Q29</f>
        <v>104076.8008</v>
      </c>
      <c r="S29" s="78">
        <f>ROUND(K29*S$12,2)</f>
        <v>6377.26</v>
      </c>
      <c r="T29" s="78">
        <v>1.54</v>
      </c>
      <c r="U29" s="78">
        <f>K29+O29+P29+Q29+S29</f>
        <v>110454.06079999999</v>
      </c>
      <c r="V29" s="79">
        <f t="shared" si="15"/>
        <v>90546.816695999994</v>
      </c>
      <c r="W29" s="78">
        <f t="shared" si="0"/>
        <v>96095.03289599999</v>
      </c>
      <c r="X29" s="80">
        <v>3</v>
      </c>
      <c r="Y29" s="78">
        <v>3</v>
      </c>
      <c r="Z29" s="80">
        <f t="shared" si="1"/>
        <v>0</v>
      </c>
      <c r="AA29" s="80">
        <f t="shared" si="2"/>
        <v>0</v>
      </c>
      <c r="AB29" s="80">
        <f t="shared" si="3"/>
        <v>76527.06</v>
      </c>
      <c r="AC29" s="80"/>
      <c r="AD29">
        <v>0.1</v>
      </c>
      <c r="AE29" s="78">
        <f t="shared" si="4"/>
        <v>2550.902</v>
      </c>
      <c r="AF29">
        <v>0.2</v>
      </c>
      <c r="AG29" s="78">
        <f t="shared" si="5"/>
        <v>5101.8040000000001</v>
      </c>
    </row>
    <row r="30" spans="1:34" x14ac:dyDescent="0.2">
      <c r="A30" s="102"/>
      <c r="B30" s="87"/>
      <c r="C30" s="122" t="s">
        <v>60</v>
      </c>
      <c r="D30" s="72">
        <v>1</v>
      </c>
      <c r="E30" s="73"/>
      <c r="F30" s="74"/>
      <c r="G30" s="74"/>
      <c r="H30" s="74"/>
      <c r="I30" s="74"/>
      <c r="J30" s="74"/>
      <c r="K30" s="74">
        <f>ROUND('ПРОЕКТ с 01.02.2023'!K30*1.09,2)</f>
        <v>23108.17</v>
      </c>
      <c r="L30" s="75" t="s">
        <v>61</v>
      </c>
      <c r="M30" s="76">
        <v>30</v>
      </c>
      <c r="N30" s="76"/>
      <c r="O30" s="78">
        <f>ROUND((K30*M30/100),2)</f>
        <v>6932.45</v>
      </c>
      <c r="P30" s="78">
        <f t="shared" ref="P30:P44" si="21">ROUND(K30*1.14,2)</f>
        <v>26343.31</v>
      </c>
      <c r="Q30" s="78">
        <f>K30*T30</f>
        <v>35586.5818</v>
      </c>
      <c r="R30" s="79">
        <f>K30+O30+P30+Q30</f>
        <v>91970.511800000007</v>
      </c>
      <c r="S30" s="78">
        <f>ROUND(K30*S$12,2)</f>
        <v>5777.04</v>
      </c>
      <c r="T30" s="78">
        <v>1.54</v>
      </c>
      <c r="U30" s="78">
        <f>K30+O30+P30+Q30+S30</f>
        <v>97747.551800000001</v>
      </c>
      <c r="V30" s="79">
        <f>R30*0.87</f>
        <v>80014.345266000004</v>
      </c>
      <c r="W30" s="78">
        <f>U30*0.87</f>
        <v>85040.370066000003</v>
      </c>
      <c r="X30" s="80"/>
      <c r="Y30" s="78"/>
      <c r="Z30" s="80"/>
      <c r="AA30" s="80"/>
      <c r="AB30" s="80"/>
      <c r="AC30" s="80"/>
      <c r="AE30" s="78"/>
      <c r="AG30" s="78"/>
    </row>
    <row r="31" spans="1:34" x14ac:dyDescent="0.2">
      <c r="A31" s="102"/>
      <c r="B31" s="87"/>
      <c r="C31" s="107" t="s">
        <v>45</v>
      </c>
      <c r="D31" s="72">
        <v>1</v>
      </c>
      <c r="E31" s="73">
        <v>6500</v>
      </c>
      <c r="F31" s="74">
        <f t="shared" si="19"/>
        <v>7150</v>
      </c>
      <c r="G31" s="74">
        <f>F31*1.1*1.1+0.5</f>
        <v>8652.0000000000018</v>
      </c>
      <c r="H31" s="74">
        <v>10692.91</v>
      </c>
      <c r="I31" s="74">
        <f t="shared" si="20"/>
        <v>11762.201000000001</v>
      </c>
      <c r="J31" s="74">
        <v>12467.933060000001</v>
      </c>
      <c r="K31" s="74">
        <f>ROUND('ПРОЕКТ с 01.02.2023'!K31*1.09,2)</f>
        <v>19506.919999999998</v>
      </c>
      <c r="L31" s="105" t="s">
        <v>62</v>
      </c>
      <c r="M31" s="76">
        <v>30</v>
      </c>
      <c r="N31" s="76"/>
      <c r="O31" s="78">
        <f t="shared" ref="O31:O44" si="22">ROUND((K31*M31/100),2)</f>
        <v>5852.08</v>
      </c>
      <c r="P31" s="78">
        <f t="shared" si="21"/>
        <v>22237.89</v>
      </c>
      <c r="Q31" s="78">
        <f t="shared" ref="Q31:Q44" si="23">K31*T31</f>
        <v>30040.656799999997</v>
      </c>
      <c r="R31" s="79">
        <f t="shared" ref="R31:R44" si="24">K31+O31+P31+Q31</f>
        <v>77637.546799999996</v>
      </c>
      <c r="S31" s="78">
        <f t="shared" ref="S31:S44" si="25">ROUND(K31*S$12,2)</f>
        <v>4876.7299999999996</v>
      </c>
      <c r="T31" s="78">
        <v>1.54</v>
      </c>
      <c r="U31" s="78">
        <f t="shared" ref="U31:U44" si="26">K31+O31+P31+Q31+S31</f>
        <v>82514.276799999992</v>
      </c>
      <c r="V31" s="79">
        <f t="shared" si="15"/>
        <v>67544.665716000003</v>
      </c>
      <c r="W31" s="78">
        <f t="shared" si="0"/>
        <v>71787.420815999998</v>
      </c>
      <c r="X31" s="80">
        <v>3</v>
      </c>
      <c r="Y31" s="78">
        <v>3</v>
      </c>
      <c r="Z31" s="80">
        <f t="shared" si="1"/>
        <v>0</v>
      </c>
      <c r="AA31" s="80">
        <f t="shared" si="2"/>
        <v>0</v>
      </c>
      <c r="AB31" s="80">
        <f t="shared" si="3"/>
        <v>58520.759999999995</v>
      </c>
      <c r="AC31" s="80"/>
      <c r="AD31">
        <v>0.1</v>
      </c>
      <c r="AE31" s="78">
        <f t="shared" si="4"/>
        <v>1950.692</v>
      </c>
      <c r="AF31">
        <v>0.2</v>
      </c>
      <c r="AG31" s="78">
        <f t="shared" si="5"/>
        <v>3901.384</v>
      </c>
    </row>
    <row r="32" spans="1:34" x14ac:dyDescent="0.2">
      <c r="A32" s="102"/>
      <c r="B32" s="107"/>
      <c r="C32" s="107" t="s">
        <v>45</v>
      </c>
      <c r="D32" s="72">
        <v>1</v>
      </c>
      <c r="E32" s="73">
        <v>6500</v>
      </c>
      <c r="F32" s="74">
        <f t="shared" si="19"/>
        <v>7150</v>
      </c>
      <c r="G32" s="74">
        <f>F32*1.1*1.1+0.5</f>
        <v>8652.0000000000018</v>
      </c>
      <c r="H32" s="74">
        <v>10692.91</v>
      </c>
      <c r="I32" s="74">
        <f t="shared" si="20"/>
        <v>11762.201000000001</v>
      </c>
      <c r="J32" s="74">
        <v>12467.933060000001</v>
      </c>
      <c r="K32" s="74">
        <f>ROUND('ПРОЕКТ с 01.02.2023'!K32*1.09,2)</f>
        <v>19506.919999999998</v>
      </c>
      <c r="L32" s="75" t="s">
        <v>63</v>
      </c>
      <c r="M32" s="83">
        <v>30</v>
      </c>
      <c r="N32" s="76"/>
      <c r="O32" s="78">
        <f t="shared" si="22"/>
        <v>5852.08</v>
      </c>
      <c r="P32" s="78">
        <f t="shared" si="21"/>
        <v>22237.89</v>
      </c>
      <c r="Q32" s="78">
        <f t="shared" si="23"/>
        <v>30040.656799999997</v>
      </c>
      <c r="R32" s="79">
        <f t="shared" si="24"/>
        <v>77637.546799999996</v>
      </c>
      <c r="S32" s="78">
        <f t="shared" si="25"/>
        <v>4876.7299999999996</v>
      </c>
      <c r="T32" s="78">
        <v>1.54</v>
      </c>
      <c r="U32" s="78">
        <f t="shared" si="26"/>
        <v>82514.276799999992</v>
      </c>
      <c r="V32" s="79">
        <f t="shared" si="15"/>
        <v>67544.665716000003</v>
      </c>
      <c r="W32" s="78">
        <f t="shared" si="0"/>
        <v>71787.420815999998</v>
      </c>
      <c r="X32" s="80">
        <v>3</v>
      </c>
      <c r="Y32" s="78">
        <v>3</v>
      </c>
      <c r="Z32" s="80">
        <f t="shared" si="1"/>
        <v>0</v>
      </c>
      <c r="AA32" s="80">
        <f t="shared" si="2"/>
        <v>0</v>
      </c>
      <c r="AB32" s="80">
        <f t="shared" si="3"/>
        <v>58520.759999999995</v>
      </c>
      <c r="AC32" s="80"/>
      <c r="AD32">
        <v>0.1</v>
      </c>
      <c r="AE32" s="78">
        <f t="shared" si="4"/>
        <v>1950.692</v>
      </c>
      <c r="AF32">
        <v>0.2</v>
      </c>
      <c r="AG32" s="78">
        <f t="shared" si="5"/>
        <v>3901.384</v>
      </c>
    </row>
    <row r="33" spans="1:33" x14ac:dyDescent="0.2">
      <c r="A33" s="123"/>
      <c r="B33" s="107"/>
      <c r="C33" s="107" t="s">
        <v>45</v>
      </c>
      <c r="D33" s="109">
        <v>1</v>
      </c>
      <c r="E33" s="73">
        <v>6500</v>
      </c>
      <c r="F33" s="74">
        <f t="shared" si="19"/>
        <v>7150</v>
      </c>
      <c r="G33" s="74">
        <f>F33*1.1*1.1+0.5</f>
        <v>8652.0000000000018</v>
      </c>
      <c r="H33" s="74">
        <v>10692.91</v>
      </c>
      <c r="I33" s="74">
        <f t="shared" si="20"/>
        <v>11762.201000000001</v>
      </c>
      <c r="J33" s="74">
        <v>12467.933060000001</v>
      </c>
      <c r="K33" s="74">
        <f>ROUND('ПРОЕКТ с 01.02.2023'!K33*1.09,2)</f>
        <v>19506.919999999998</v>
      </c>
      <c r="L33" s="105" t="s">
        <v>201</v>
      </c>
      <c r="M33" s="76">
        <v>30</v>
      </c>
      <c r="N33" s="124"/>
      <c r="O33" s="78">
        <f t="shared" si="22"/>
        <v>5852.08</v>
      </c>
      <c r="P33" s="78">
        <f t="shared" si="21"/>
        <v>22237.89</v>
      </c>
      <c r="Q33" s="78">
        <f t="shared" si="23"/>
        <v>30040.656799999997</v>
      </c>
      <c r="R33" s="79">
        <f t="shared" si="24"/>
        <v>77637.546799999996</v>
      </c>
      <c r="S33" s="78">
        <f t="shared" si="25"/>
        <v>4876.7299999999996</v>
      </c>
      <c r="T33" s="78">
        <v>1.54</v>
      </c>
      <c r="U33" s="78">
        <f t="shared" si="26"/>
        <v>82514.276799999992</v>
      </c>
      <c r="V33" s="79">
        <f t="shared" si="15"/>
        <v>67544.665716000003</v>
      </c>
      <c r="W33" s="78">
        <f t="shared" si="0"/>
        <v>71787.420815999998</v>
      </c>
      <c r="X33" s="80">
        <v>3</v>
      </c>
      <c r="Y33" s="78">
        <v>3</v>
      </c>
      <c r="Z33" s="80">
        <f t="shared" si="1"/>
        <v>0</v>
      </c>
      <c r="AA33" s="80">
        <f t="shared" si="2"/>
        <v>0</v>
      </c>
      <c r="AB33" s="80">
        <f t="shared" si="3"/>
        <v>58520.759999999995</v>
      </c>
      <c r="AC33" s="80"/>
      <c r="AD33">
        <v>0.1</v>
      </c>
      <c r="AE33" s="78">
        <f t="shared" si="4"/>
        <v>1950.692</v>
      </c>
      <c r="AF33">
        <v>0.2</v>
      </c>
      <c r="AG33" s="78">
        <f t="shared" si="5"/>
        <v>3901.384</v>
      </c>
    </row>
    <row r="34" spans="1:33" x14ac:dyDescent="0.2">
      <c r="A34" s="102"/>
      <c r="B34" s="107"/>
      <c r="C34" s="107" t="s">
        <v>45</v>
      </c>
      <c r="D34" s="109">
        <v>1</v>
      </c>
      <c r="E34" s="73">
        <v>5600</v>
      </c>
      <c r="F34" s="74">
        <v>7150</v>
      </c>
      <c r="G34" s="74">
        <f>F34*1.1*1.1+0.5</f>
        <v>8652.0000000000018</v>
      </c>
      <c r="H34" s="74">
        <v>10692.91</v>
      </c>
      <c r="I34" s="74">
        <f t="shared" si="20"/>
        <v>11762.201000000001</v>
      </c>
      <c r="J34" s="74">
        <v>12467.933060000001</v>
      </c>
      <c r="K34" s="74">
        <f>ROUND('ПРОЕКТ с 01.02.2023'!K34*1.09,2)</f>
        <v>19506.919999999998</v>
      </c>
      <c r="L34" s="105" t="s">
        <v>64</v>
      </c>
      <c r="M34" s="76">
        <v>30</v>
      </c>
      <c r="N34" s="76"/>
      <c r="O34" s="78">
        <f t="shared" si="22"/>
        <v>5852.08</v>
      </c>
      <c r="P34" s="78">
        <f t="shared" si="21"/>
        <v>22237.89</v>
      </c>
      <c r="Q34" s="78">
        <f t="shared" si="23"/>
        <v>30040.656799999997</v>
      </c>
      <c r="R34" s="79">
        <f t="shared" si="24"/>
        <v>77637.546799999996</v>
      </c>
      <c r="S34" s="78">
        <f t="shared" si="25"/>
        <v>4876.7299999999996</v>
      </c>
      <c r="T34" s="78">
        <v>1.54</v>
      </c>
      <c r="U34" s="78">
        <f t="shared" si="26"/>
        <v>82514.276799999992</v>
      </c>
      <c r="V34" s="79">
        <f t="shared" si="15"/>
        <v>67544.665716000003</v>
      </c>
      <c r="W34" s="78">
        <f t="shared" si="0"/>
        <v>71787.420815999998</v>
      </c>
      <c r="X34" s="80">
        <v>3</v>
      </c>
      <c r="Y34" s="78">
        <v>3</v>
      </c>
      <c r="Z34" s="80">
        <f t="shared" si="1"/>
        <v>0</v>
      </c>
      <c r="AA34" s="80">
        <f t="shared" si="2"/>
        <v>0</v>
      </c>
      <c r="AB34" s="80">
        <f t="shared" si="3"/>
        <v>58520.759999999995</v>
      </c>
      <c r="AC34" s="80"/>
      <c r="AD34">
        <v>0.1</v>
      </c>
      <c r="AE34" s="78">
        <f t="shared" si="4"/>
        <v>1950.692</v>
      </c>
      <c r="AF34">
        <v>0.2</v>
      </c>
      <c r="AG34" s="78">
        <f t="shared" si="5"/>
        <v>3901.384</v>
      </c>
    </row>
    <row r="35" spans="1:33" x14ac:dyDescent="0.2">
      <c r="A35" s="102"/>
      <c r="B35" s="107"/>
      <c r="C35" s="107" t="s">
        <v>45</v>
      </c>
      <c r="D35" s="109">
        <v>1</v>
      </c>
      <c r="E35" s="73">
        <v>5600</v>
      </c>
      <c r="F35" s="74">
        <f>ROUND(E35*F$12,2)</f>
        <v>6160</v>
      </c>
      <c r="G35" s="74">
        <f>F35*1.1*1.1+0.4</f>
        <v>7454.0000000000009</v>
      </c>
      <c r="H35" s="74">
        <v>9212.35</v>
      </c>
      <c r="I35" s="74">
        <f>H35*$I$12</f>
        <v>10133.585000000001</v>
      </c>
      <c r="J35" s="74">
        <v>10741.600100000001</v>
      </c>
      <c r="K35" s="74">
        <f>ROUND('ПРОЕКТ с 01.02.2023'!K35*1.09,2)</f>
        <v>19506.919999999998</v>
      </c>
      <c r="L35" s="105" t="s">
        <v>185</v>
      </c>
      <c r="M35" s="83">
        <v>30</v>
      </c>
      <c r="N35" s="76"/>
      <c r="O35" s="78">
        <f t="shared" si="22"/>
        <v>5852.08</v>
      </c>
      <c r="P35" s="78">
        <f t="shared" si="21"/>
        <v>22237.89</v>
      </c>
      <c r="Q35" s="78">
        <f t="shared" si="23"/>
        <v>30040.656799999997</v>
      </c>
      <c r="R35" s="79">
        <f t="shared" si="24"/>
        <v>77637.546799999996</v>
      </c>
      <c r="S35" s="78">
        <f t="shared" si="25"/>
        <v>4876.7299999999996</v>
      </c>
      <c r="T35" s="78">
        <v>1.54</v>
      </c>
      <c r="U35" s="78">
        <f t="shared" si="26"/>
        <v>82514.276799999992</v>
      </c>
      <c r="V35" s="79">
        <f>R35*0.87</f>
        <v>67544.665716000003</v>
      </c>
      <c r="W35" s="78">
        <f>U35*0.87</f>
        <v>71787.420815999998</v>
      </c>
      <c r="X35" s="80">
        <v>3</v>
      </c>
      <c r="Y35" s="78">
        <v>3</v>
      </c>
      <c r="Z35" s="80">
        <f t="shared" si="1"/>
        <v>0</v>
      </c>
      <c r="AA35" s="80">
        <f t="shared" si="2"/>
        <v>0</v>
      </c>
      <c r="AB35" s="80">
        <f t="shared" si="3"/>
        <v>58520.759999999995</v>
      </c>
      <c r="AC35" s="80"/>
      <c r="AD35">
        <v>0.1</v>
      </c>
      <c r="AE35" s="78">
        <f t="shared" si="4"/>
        <v>1950.692</v>
      </c>
      <c r="AF35">
        <v>0.2</v>
      </c>
      <c r="AG35" s="78">
        <f t="shared" si="5"/>
        <v>3901.384</v>
      </c>
    </row>
    <row r="36" spans="1:33" x14ac:dyDescent="0.2">
      <c r="A36" s="102"/>
      <c r="B36" s="107"/>
      <c r="C36" s="107" t="s">
        <v>45</v>
      </c>
      <c r="D36" s="109">
        <v>1</v>
      </c>
      <c r="E36" s="73">
        <v>5600</v>
      </c>
      <c r="F36" s="74">
        <f t="shared" si="19"/>
        <v>6160</v>
      </c>
      <c r="G36" s="74">
        <f>F36*1.1*1.1+0.4</f>
        <v>7454.0000000000009</v>
      </c>
      <c r="H36" s="74">
        <v>9212.35</v>
      </c>
      <c r="I36" s="74">
        <f t="shared" si="20"/>
        <v>10133.585000000001</v>
      </c>
      <c r="J36" s="74">
        <v>10741.600100000001</v>
      </c>
      <c r="K36" s="74">
        <f>ROUND('ПРОЕКТ с 01.02.2023'!K36*1.09,2)</f>
        <v>19506.919999999998</v>
      </c>
      <c r="L36" s="105" t="s">
        <v>65</v>
      </c>
      <c r="M36" s="83">
        <v>30</v>
      </c>
      <c r="N36" s="76"/>
      <c r="O36" s="78">
        <f t="shared" si="22"/>
        <v>5852.08</v>
      </c>
      <c r="P36" s="78">
        <f t="shared" si="21"/>
        <v>22237.89</v>
      </c>
      <c r="Q36" s="78">
        <f t="shared" si="23"/>
        <v>30040.656799999997</v>
      </c>
      <c r="R36" s="79">
        <f t="shared" si="24"/>
        <v>77637.546799999996</v>
      </c>
      <c r="S36" s="78">
        <f t="shared" si="25"/>
        <v>4876.7299999999996</v>
      </c>
      <c r="T36" s="78">
        <v>1.54</v>
      </c>
      <c r="U36" s="78">
        <f t="shared" si="26"/>
        <v>82514.276799999992</v>
      </c>
      <c r="V36" s="79">
        <f t="shared" si="15"/>
        <v>67544.665716000003</v>
      </c>
      <c r="W36" s="78">
        <f t="shared" si="0"/>
        <v>71787.420815999998</v>
      </c>
      <c r="X36" s="80">
        <v>3</v>
      </c>
      <c r="Y36" s="78">
        <v>3</v>
      </c>
      <c r="Z36" s="80">
        <f t="shared" si="1"/>
        <v>0</v>
      </c>
      <c r="AA36" s="80">
        <f t="shared" si="2"/>
        <v>0</v>
      </c>
      <c r="AB36" s="80">
        <f t="shared" si="3"/>
        <v>58520.759999999995</v>
      </c>
      <c r="AC36" s="80"/>
      <c r="AD36">
        <v>0.1</v>
      </c>
      <c r="AE36" s="78">
        <f t="shared" si="4"/>
        <v>1950.692</v>
      </c>
      <c r="AF36">
        <v>0.2</v>
      </c>
      <c r="AG36" s="78">
        <f t="shared" si="5"/>
        <v>3901.384</v>
      </c>
    </row>
    <row r="37" spans="1:33" x14ac:dyDescent="0.2">
      <c r="A37" s="102"/>
      <c r="B37" s="107"/>
      <c r="C37" s="107" t="s">
        <v>45</v>
      </c>
      <c r="D37" s="109">
        <v>1</v>
      </c>
      <c r="E37" s="73">
        <v>5600</v>
      </c>
      <c r="F37" s="74">
        <f t="shared" si="19"/>
        <v>6160</v>
      </c>
      <c r="G37" s="74">
        <f>F37*1.1*1.1+0.4</f>
        <v>7454.0000000000009</v>
      </c>
      <c r="H37" s="74">
        <v>9213.35</v>
      </c>
      <c r="I37" s="74">
        <f t="shared" si="20"/>
        <v>10134.685000000001</v>
      </c>
      <c r="J37" s="74">
        <v>10741.600100000001</v>
      </c>
      <c r="K37" s="74">
        <f>ROUND('ПРОЕКТ с 01.02.2023'!K37*1.09,2)</f>
        <v>19506.919999999998</v>
      </c>
      <c r="L37" s="105" t="s">
        <v>229</v>
      </c>
      <c r="M37" s="83">
        <v>30</v>
      </c>
      <c r="N37" s="76"/>
      <c r="O37" s="78">
        <f t="shared" si="22"/>
        <v>5852.08</v>
      </c>
      <c r="P37" s="78">
        <f t="shared" si="21"/>
        <v>22237.89</v>
      </c>
      <c r="Q37" s="78">
        <f t="shared" si="23"/>
        <v>30040.656799999997</v>
      </c>
      <c r="R37" s="79">
        <f t="shared" si="24"/>
        <v>77637.546799999996</v>
      </c>
      <c r="S37" s="78">
        <f t="shared" si="25"/>
        <v>4876.7299999999996</v>
      </c>
      <c r="T37" s="78">
        <v>1.54</v>
      </c>
      <c r="U37" s="78">
        <f t="shared" si="26"/>
        <v>82514.276799999992</v>
      </c>
      <c r="V37" s="79">
        <f t="shared" si="15"/>
        <v>67544.665716000003</v>
      </c>
      <c r="W37" s="78">
        <f t="shared" si="0"/>
        <v>71787.420815999998</v>
      </c>
      <c r="X37" s="80">
        <v>3</v>
      </c>
      <c r="Y37" s="78">
        <v>3</v>
      </c>
      <c r="Z37" s="80">
        <f t="shared" si="1"/>
        <v>0</v>
      </c>
      <c r="AA37" s="80">
        <f t="shared" si="2"/>
        <v>0</v>
      </c>
      <c r="AB37" s="80">
        <f t="shared" si="3"/>
        <v>58520.759999999995</v>
      </c>
      <c r="AC37" s="80"/>
      <c r="AD37">
        <v>1.1000000000000001</v>
      </c>
      <c r="AE37" s="78">
        <f t="shared" si="4"/>
        <v>21457.612000000001</v>
      </c>
      <c r="AF37">
        <v>1.2</v>
      </c>
      <c r="AG37" s="78">
        <f t="shared" si="5"/>
        <v>23408.303999999996</v>
      </c>
    </row>
    <row r="38" spans="1:33" ht="12" customHeight="1" x14ac:dyDescent="0.2">
      <c r="A38" s="127"/>
      <c r="B38" s="107"/>
      <c r="C38" s="107" t="s">
        <v>45</v>
      </c>
      <c r="D38" s="109">
        <v>1</v>
      </c>
      <c r="E38" s="73">
        <v>5600</v>
      </c>
      <c r="F38" s="74">
        <f t="shared" si="19"/>
        <v>6160</v>
      </c>
      <c r="G38" s="74">
        <f>F38*1.1*1.1+0.4</f>
        <v>7454.0000000000009</v>
      </c>
      <c r="H38" s="74">
        <v>9212.35</v>
      </c>
      <c r="I38" s="74">
        <f t="shared" si="20"/>
        <v>10133.585000000001</v>
      </c>
      <c r="J38" s="74">
        <v>10741.600100000001</v>
      </c>
      <c r="K38" s="74">
        <f>ROUND('ПРОЕКТ с 01.02.2023'!K38*1.09,2)</f>
        <v>19506.919999999998</v>
      </c>
      <c r="L38" s="75" t="s">
        <v>190</v>
      </c>
      <c r="M38" s="83">
        <v>20</v>
      </c>
      <c r="N38" s="113"/>
      <c r="O38" s="78">
        <f t="shared" si="22"/>
        <v>3901.38</v>
      </c>
      <c r="P38" s="78">
        <f t="shared" si="21"/>
        <v>22237.89</v>
      </c>
      <c r="Q38" s="78">
        <f t="shared" si="23"/>
        <v>30040.656799999997</v>
      </c>
      <c r="R38" s="79">
        <f t="shared" si="24"/>
        <v>75686.846799999999</v>
      </c>
      <c r="S38" s="78">
        <f t="shared" si="25"/>
        <v>4876.7299999999996</v>
      </c>
      <c r="T38" s="78">
        <v>1.54</v>
      </c>
      <c r="U38" s="78">
        <f t="shared" si="26"/>
        <v>80563.576799999995</v>
      </c>
      <c r="V38" s="79">
        <f t="shared" si="15"/>
        <v>65847.556715999992</v>
      </c>
      <c r="W38" s="78">
        <f t="shared" si="0"/>
        <v>70090.311816000001</v>
      </c>
      <c r="X38" s="80">
        <v>3</v>
      </c>
      <c r="Y38" s="78">
        <v>3</v>
      </c>
      <c r="Z38" s="80">
        <f t="shared" si="1"/>
        <v>0</v>
      </c>
      <c r="AA38" s="80">
        <f t="shared" si="2"/>
        <v>0</v>
      </c>
      <c r="AB38" s="80">
        <f t="shared" si="3"/>
        <v>58520.759999999995</v>
      </c>
      <c r="AC38" s="80"/>
      <c r="AD38">
        <v>0.1</v>
      </c>
      <c r="AE38" s="78">
        <f t="shared" si="4"/>
        <v>1950.692</v>
      </c>
      <c r="AF38">
        <v>0.2</v>
      </c>
      <c r="AG38" s="78">
        <f t="shared" si="5"/>
        <v>3901.384</v>
      </c>
    </row>
    <row r="39" spans="1:33" ht="12" customHeight="1" x14ac:dyDescent="0.2">
      <c r="A39" s="127"/>
      <c r="B39" s="107"/>
      <c r="C39" s="293"/>
      <c r="D39" s="234">
        <v>1</v>
      </c>
      <c r="E39" s="115"/>
      <c r="F39" s="79"/>
      <c r="G39" s="79"/>
      <c r="H39" s="79"/>
      <c r="I39" s="79"/>
      <c r="J39" s="79"/>
      <c r="K39" s="79">
        <f>ROUND('ПРОЕКТ с 01.02.2023'!K39*1.09,2)</f>
        <v>19506.919999999998</v>
      </c>
      <c r="L39" s="75"/>
      <c r="M39" s="83"/>
      <c r="N39" s="113"/>
      <c r="O39" s="78"/>
      <c r="P39" s="78"/>
      <c r="Q39" s="78"/>
      <c r="R39" s="79"/>
      <c r="S39" s="78"/>
      <c r="T39" s="78"/>
      <c r="U39" s="78"/>
      <c r="V39" s="79"/>
      <c r="W39" s="78"/>
      <c r="X39" s="80"/>
      <c r="Y39" s="78"/>
      <c r="Z39" s="80"/>
      <c r="AA39" s="80"/>
      <c r="AB39" s="80"/>
      <c r="AC39" s="80"/>
      <c r="AE39" s="78"/>
      <c r="AG39" s="78"/>
    </row>
    <row r="40" spans="1:33" ht="12" customHeight="1" x14ac:dyDescent="0.2">
      <c r="A40" s="127"/>
      <c r="B40" s="107"/>
      <c r="C40" s="293"/>
      <c r="D40" s="234">
        <v>1</v>
      </c>
      <c r="E40" s="115"/>
      <c r="F40" s="79"/>
      <c r="G40" s="79"/>
      <c r="H40" s="79"/>
      <c r="I40" s="79"/>
      <c r="J40" s="79"/>
      <c r="K40" s="79">
        <f>ROUND('ПРОЕКТ с 01.02.2023'!K40*1.09,2)</f>
        <v>0</v>
      </c>
      <c r="L40" s="75"/>
      <c r="M40" s="83"/>
      <c r="N40" s="113"/>
      <c r="O40" s="78"/>
      <c r="P40" s="78"/>
      <c r="Q40" s="78"/>
      <c r="R40" s="79"/>
      <c r="S40" s="78"/>
      <c r="T40" s="78"/>
      <c r="U40" s="78"/>
      <c r="V40" s="79"/>
      <c r="W40" s="78"/>
      <c r="X40" s="80"/>
      <c r="Y40" s="78"/>
      <c r="Z40" s="80"/>
      <c r="AA40" s="80"/>
      <c r="AB40" s="80"/>
      <c r="AC40" s="80"/>
      <c r="AE40" s="78"/>
      <c r="AG40" s="78"/>
    </row>
    <row r="41" spans="1:33" ht="12" customHeight="1" x14ac:dyDescent="0.2">
      <c r="A41" s="127"/>
      <c r="B41" s="107"/>
      <c r="C41" s="293"/>
      <c r="D41" s="234">
        <v>1</v>
      </c>
      <c r="E41" s="115"/>
      <c r="F41" s="79"/>
      <c r="G41" s="79"/>
      <c r="H41" s="79"/>
      <c r="I41" s="79"/>
      <c r="J41" s="79"/>
      <c r="K41" s="79">
        <f>ROUND('ПРОЕКТ с 01.02.2023'!K41*1.09,2)</f>
        <v>19506.919999999998</v>
      </c>
      <c r="L41" s="75"/>
      <c r="M41" s="83"/>
      <c r="N41" s="113"/>
      <c r="O41" s="78"/>
      <c r="P41" s="78"/>
      <c r="Q41" s="78"/>
      <c r="R41" s="79"/>
      <c r="S41" s="78"/>
      <c r="T41" s="78"/>
      <c r="U41" s="78"/>
      <c r="V41" s="79"/>
      <c r="W41" s="78"/>
      <c r="X41" s="80"/>
      <c r="Y41" s="78"/>
      <c r="Z41" s="80"/>
      <c r="AA41" s="80"/>
      <c r="AB41" s="80"/>
      <c r="AC41" s="80"/>
      <c r="AE41" s="78"/>
      <c r="AG41" s="78"/>
    </row>
    <row r="42" spans="1:33" ht="12" customHeight="1" x14ac:dyDescent="0.2">
      <c r="A42" s="127"/>
      <c r="B42" s="107"/>
      <c r="C42" s="294" t="s">
        <v>45</v>
      </c>
      <c r="D42" s="234">
        <v>1</v>
      </c>
      <c r="E42" s="115"/>
      <c r="F42" s="79"/>
      <c r="G42" s="79"/>
      <c r="H42" s="79"/>
      <c r="I42" s="79"/>
      <c r="J42" s="79"/>
      <c r="K42" s="79">
        <f>ROUND('ПРОЕКТ с 01.02.2023'!K42*1.09,2)</f>
        <v>19506.919999999998</v>
      </c>
      <c r="L42" s="75"/>
      <c r="M42" s="83">
        <v>30</v>
      </c>
      <c r="N42" s="113"/>
      <c r="O42" s="78">
        <f t="shared" si="22"/>
        <v>5852.08</v>
      </c>
      <c r="P42" s="78">
        <f t="shared" si="21"/>
        <v>22237.89</v>
      </c>
      <c r="Q42" s="78">
        <f t="shared" si="23"/>
        <v>30040.656799999997</v>
      </c>
      <c r="R42" s="79">
        <f t="shared" si="24"/>
        <v>77637.546799999996</v>
      </c>
      <c r="S42" s="78">
        <f t="shared" si="25"/>
        <v>4876.7299999999996</v>
      </c>
      <c r="T42" s="78">
        <v>1.54</v>
      </c>
      <c r="U42" s="78">
        <f t="shared" si="26"/>
        <v>82514.276799999992</v>
      </c>
      <c r="V42" s="79">
        <f t="shared" si="15"/>
        <v>67544.665716000003</v>
      </c>
      <c r="W42" s="78">
        <f t="shared" si="0"/>
        <v>71787.420815999998</v>
      </c>
      <c r="X42" s="80"/>
      <c r="Y42" s="78"/>
      <c r="Z42" s="80"/>
      <c r="AA42" s="80"/>
      <c r="AB42" s="80"/>
      <c r="AC42" s="80"/>
      <c r="AE42" s="78"/>
      <c r="AG42" s="78"/>
    </row>
    <row r="43" spans="1:33" x14ac:dyDescent="0.2">
      <c r="A43" s="127"/>
      <c r="B43" s="107"/>
      <c r="C43" s="107" t="s">
        <v>70</v>
      </c>
      <c r="D43" s="109">
        <v>1</v>
      </c>
      <c r="E43" s="73">
        <v>5600</v>
      </c>
      <c r="F43" s="74">
        <f t="shared" si="19"/>
        <v>6160</v>
      </c>
      <c r="G43" s="74">
        <f>F43*1.1*1.1+0.4</f>
        <v>7454.0000000000009</v>
      </c>
      <c r="H43" s="74">
        <v>9212.35</v>
      </c>
      <c r="I43" s="74">
        <f t="shared" si="20"/>
        <v>10133.585000000001</v>
      </c>
      <c r="J43" s="74">
        <v>10741.600100000001</v>
      </c>
      <c r="K43" s="74">
        <f>ROUND('ПРОЕКТ с 01.02.2023'!K43*1.09,2)</f>
        <v>16805.98</v>
      </c>
      <c r="L43" s="75" t="s">
        <v>189</v>
      </c>
      <c r="M43" s="83">
        <v>30</v>
      </c>
      <c r="N43" s="113"/>
      <c r="O43" s="78">
        <f t="shared" si="22"/>
        <v>5041.79</v>
      </c>
      <c r="P43" s="78">
        <f t="shared" si="21"/>
        <v>19158.82</v>
      </c>
      <c r="Q43" s="78">
        <f t="shared" si="23"/>
        <v>24200.611199999999</v>
      </c>
      <c r="R43" s="79">
        <f t="shared" si="24"/>
        <v>65207.201199999996</v>
      </c>
      <c r="S43" s="78">
        <f t="shared" si="25"/>
        <v>4201.5</v>
      </c>
      <c r="T43" s="78">
        <v>1.44</v>
      </c>
      <c r="U43" s="78">
        <f t="shared" si="26"/>
        <v>69408.701199999996</v>
      </c>
      <c r="V43" s="79">
        <f>R43*0.87</f>
        <v>56730.265044</v>
      </c>
      <c r="W43" s="78">
        <f t="shared" si="0"/>
        <v>60385.570043999993</v>
      </c>
      <c r="X43" s="80">
        <v>3</v>
      </c>
      <c r="Y43" s="78">
        <v>3</v>
      </c>
      <c r="Z43" s="80" t="s">
        <v>68</v>
      </c>
      <c r="AA43" s="80"/>
      <c r="AB43" s="80"/>
      <c r="AC43" s="80"/>
      <c r="AE43" s="78"/>
      <c r="AG43" s="78"/>
    </row>
    <row r="44" spans="1:33" x14ac:dyDescent="0.2">
      <c r="A44" s="127"/>
      <c r="B44" s="107"/>
      <c r="C44" s="107" t="s">
        <v>70</v>
      </c>
      <c r="D44" s="109">
        <v>1</v>
      </c>
      <c r="E44" s="73"/>
      <c r="F44" s="74"/>
      <c r="G44" s="74"/>
      <c r="H44" s="74"/>
      <c r="I44" s="74"/>
      <c r="J44" s="74"/>
      <c r="K44" s="74">
        <f>ROUND('ПРОЕКТ с 01.02.2023'!K44*1.09,2)</f>
        <v>16805.98</v>
      </c>
      <c r="L44" s="75" t="s">
        <v>223</v>
      </c>
      <c r="M44" s="83">
        <v>15</v>
      </c>
      <c r="N44" s="113"/>
      <c r="O44" s="78">
        <f t="shared" si="22"/>
        <v>2520.9</v>
      </c>
      <c r="P44" s="78">
        <f t="shared" si="21"/>
        <v>19158.82</v>
      </c>
      <c r="Q44" s="78">
        <f t="shared" si="23"/>
        <v>24200.611199999999</v>
      </c>
      <c r="R44" s="79">
        <f t="shared" si="24"/>
        <v>62686.311199999996</v>
      </c>
      <c r="S44" s="78">
        <f t="shared" si="25"/>
        <v>4201.5</v>
      </c>
      <c r="T44" s="78">
        <v>1.44</v>
      </c>
      <c r="U44" s="78">
        <f t="shared" si="26"/>
        <v>66887.811199999996</v>
      </c>
      <c r="V44" s="79">
        <f t="shared" si="15"/>
        <v>54537.090743999994</v>
      </c>
      <c r="W44" s="78">
        <f t="shared" si="0"/>
        <v>58192.395743999994</v>
      </c>
      <c r="X44" s="80"/>
      <c r="Y44" s="78"/>
      <c r="Z44" s="80"/>
      <c r="AA44" s="80"/>
      <c r="AB44" s="80"/>
      <c r="AC44" s="80"/>
      <c r="AE44" s="78"/>
      <c r="AG44" s="78"/>
    </row>
    <row r="45" spans="1:33" x14ac:dyDescent="0.2">
      <c r="A45" s="102"/>
      <c r="B45" s="107"/>
      <c r="C45" s="87" t="s">
        <v>51</v>
      </c>
      <c r="D45" s="88">
        <f>SUM(D29:D44)</f>
        <v>16</v>
      </c>
      <c r="E45" s="95"/>
      <c r="F45" s="90"/>
      <c r="G45" s="89">
        <f>SUM(G29:G36)</f>
        <v>59499</v>
      </c>
      <c r="H45" s="89">
        <f>SUM(H29:H36)</f>
        <v>73534.320000000007</v>
      </c>
      <c r="I45" s="89">
        <f>SUM(I29:I36)</f>
        <v>80887.752000000008</v>
      </c>
      <c r="J45" s="89">
        <v>87467.350080000004</v>
      </c>
      <c r="K45" s="90">
        <f>SUM(K29:K44)</f>
        <v>296805.26999999984</v>
      </c>
      <c r="L45" s="90"/>
      <c r="M45" s="90"/>
      <c r="N45" s="90">
        <f>SUM(N29:N36)</f>
        <v>0</v>
      </c>
      <c r="O45" s="90">
        <f t="shared" ref="O45:W45" si="27">SUM(O29:O44)</f>
        <v>72865.87</v>
      </c>
      <c r="P45" s="90">
        <f t="shared" si="27"/>
        <v>296433.14000000007</v>
      </c>
      <c r="Q45" s="90">
        <f t="shared" si="27"/>
        <v>393637.60619999992</v>
      </c>
      <c r="R45" s="90">
        <f t="shared" si="27"/>
        <v>1020728.0462</v>
      </c>
      <c r="S45" s="90">
        <f t="shared" si="27"/>
        <v>64447.869999999981</v>
      </c>
      <c r="T45" s="90">
        <f t="shared" si="27"/>
        <v>19.82</v>
      </c>
      <c r="U45" s="90">
        <f t="shared" si="27"/>
        <v>1085175.9161999999</v>
      </c>
      <c r="V45" s="90">
        <f t="shared" si="27"/>
        <v>888033.4001940001</v>
      </c>
      <c r="W45" s="90">
        <f t="shared" si="27"/>
        <v>944103.04709399992</v>
      </c>
      <c r="X45" s="80"/>
      <c r="Y45" s="90"/>
      <c r="Z45" s="80">
        <f t="shared" si="1"/>
        <v>0</v>
      </c>
      <c r="AA45" s="80">
        <f t="shared" si="2"/>
        <v>0</v>
      </c>
      <c r="AB45" s="80">
        <f t="shared" si="3"/>
        <v>0</v>
      </c>
      <c r="AC45" s="91"/>
      <c r="AD45">
        <v>0.1</v>
      </c>
      <c r="AE45" s="89">
        <f t="shared" si="4"/>
        <v>29680.526999999987</v>
      </c>
      <c r="AF45">
        <v>0.2</v>
      </c>
      <c r="AG45" s="89">
        <f t="shared" si="5"/>
        <v>59361.053999999975</v>
      </c>
    </row>
    <row r="46" spans="1:33" ht="45" customHeight="1" x14ac:dyDescent="0.2">
      <c r="A46" s="120" t="s">
        <v>66</v>
      </c>
      <c r="B46" s="107"/>
      <c r="C46" s="87"/>
      <c r="D46" s="111"/>
      <c r="E46" s="95"/>
      <c r="F46" s="90"/>
      <c r="G46" s="89"/>
      <c r="H46" s="89"/>
      <c r="I46" s="89"/>
      <c r="J46" s="89"/>
      <c r="K46" s="90"/>
      <c r="L46" s="112"/>
      <c r="M46" s="113"/>
      <c r="N46" s="113"/>
      <c r="O46" s="89"/>
      <c r="P46" s="99" t="s">
        <v>40</v>
      </c>
      <c r="Q46" s="89"/>
      <c r="R46" s="79"/>
      <c r="S46" s="89"/>
      <c r="T46" s="99"/>
      <c r="U46" s="89"/>
      <c r="V46" s="125"/>
      <c r="W46" s="89"/>
      <c r="X46" s="80"/>
      <c r="Y46" s="89"/>
      <c r="Z46" s="80">
        <f t="shared" si="1"/>
        <v>0</v>
      </c>
      <c r="AA46" s="80">
        <f t="shared" si="2"/>
        <v>0</v>
      </c>
      <c r="AB46" s="80">
        <f t="shared" si="3"/>
        <v>0</v>
      </c>
      <c r="AC46" s="126"/>
      <c r="AD46">
        <v>0.1</v>
      </c>
      <c r="AE46" s="89"/>
      <c r="AG46" s="89"/>
    </row>
    <row r="47" spans="1:33" x14ac:dyDescent="0.2">
      <c r="A47" s="127"/>
      <c r="B47" s="107"/>
      <c r="C47" s="87" t="s">
        <v>58</v>
      </c>
      <c r="D47" s="72">
        <v>1</v>
      </c>
      <c r="E47" s="73">
        <v>8500</v>
      </c>
      <c r="F47" s="74">
        <f t="shared" si="19"/>
        <v>9350</v>
      </c>
      <c r="G47" s="74">
        <f>9075*1.1+0.5</f>
        <v>9983</v>
      </c>
      <c r="H47" s="74">
        <v>12337.98</v>
      </c>
      <c r="I47" s="74">
        <f t="shared" ref="I47:I53" si="28">H47*$I$12</f>
        <v>13571.778</v>
      </c>
      <c r="J47" s="74">
        <v>14386.084680000002</v>
      </c>
      <c r="K47" s="74">
        <f>ROUND('ПРОЕКТ с 01.02.2023'!K47*1.09,2)</f>
        <v>25509.02</v>
      </c>
      <c r="L47" s="105" t="s">
        <v>67</v>
      </c>
      <c r="M47" s="83">
        <v>30</v>
      </c>
      <c r="N47" s="113"/>
      <c r="O47" s="78">
        <f t="shared" ref="O47:O53" si="29">ROUND((K47*M47/100),2)</f>
        <v>7652.71</v>
      </c>
      <c r="P47" s="78">
        <f>ROUND(K47*1.24,2)</f>
        <v>31631.18</v>
      </c>
      <c r="Q47" s="78">
        <f t="shared" ref="Q47:Q53" si="30">K47*T47</f>
        <v>39283.890800000001</v>
      </c>
      <c r="R47" s="79">
        <f t="shared" ref="R47:R53" si="31">K47+O47+P47+Q47</f>
        <v>104076.8008</v>
      </c>
      <c r="S47" s="78">
        <f t="shared" ref="S47:S53" si="32">ROUND(K47*S$12,2)</f>
        <v>6377.26</v>
      </c>
      <c r="T47" s="78">
        <v>1.54</v>
      </c>
      <c r="U47" s="78">
        <f t="shared" ref="U47:U53" si="33">K47+O47+P47+Q47+S47</f>
        <v>110454.06079999999</v>
      </c>
      <c r="V47" s="79">
        <f t="shared" si="15"/>
        <v>90546.816695999994</v>
      </c>
      <c r="W47" s="78">
        <f t="shared" si="0"/>
        <v>96095.03289599999</v>
      </c>
      <c r="X47" s="80">
        <v>3</v>
      </c>
      <c r="Y47" s="78">
        <v>3</v>
      </c>
      <c r="Z47" s="80">
        <f t="shared" si="1"/>
        <v>0</v>
      </c>
      <c r="AA47" s="80">
        <f t="shared" si="2"/>
        <v>0</v>
      </c>
      <c r="AB47" s="80">
        <f t="shared" si="3"/>
        <v>76527.06</v>
      </c>
      <c r="AC47" s="80"/>
      <c r="AD47">
        <v>0.1</v>
      </c>
      <c r="AE47" s="78">
        <f t="shared" si="4"/>
        <v>2550.902</v>
      </c>
      <c r="AF47">
        <v>0.2</v>
      </c>
      <c r="AG47" s="78">
        <f t="shared" si="5"/>
        <v>5101.8040000000001</v>
      </c>
    </row>
    <row r="48" spans="1:33" x14ac:dyDescent="0.2">
      <c r="A48" s="127"/>
      <c r="B48" s="107"/>
      <c r="C48" s="122" t="s">
        <v>60</v>
      </c>
      <c r="D48" s="72">
        <v>1</v>
      </c>
      <c r="E48" s="73">
        <v>5600</v>
      </c>
      <c r="F48" s="74">
        <f>ROUND(E48*F$12,2)</f>
        <v>6160</v>
      </c>
      <c r="G48" s="74">
        <f>F48*1.1*1.1+0.4</f>
        <v>7454.0000000000009</v>
      </c>
      <c r="H48" s="74">
        <v>9212.35</v>
      </c>
      <c r="I48" s="74">
        <f>H48*$I$12</f>
        <v>10133.585000000001</v>
      </c>
      <c r="J48" s="74">
        <v>10741.600100000001</v>
      </c>
      <c r="K48" s="74">
        <f>ROUND('ПРОЕКТ с 01.02.2023'!K48*1.09,2)</f>
        <v>23108.17</v>
      </c>
      <c r="L48" s="75" t="s">
        <v>55</v>
      </c>
      <c r="M48" s="76">
        <v>15</v>
      </c>
      <c r="N48" s="113"/>
      <c r="O48" s="78">
        <f>ROUND((K48*M48/100),2)</f>
        <v>3466.23</v>
      </c>
      <c r="P48" s="78">
        <f t="shared" ref="P48:P53" si="34">ROUND(K48*1.14,2)</f>
        <v>26343.31</v>
      </c>
      <c r="Q48" s="78">
        <f>K48*T48</f>
        <v>35586.5818</v>
      </c>
      <c r="R48" s="79">
        <f>K48+O48+P48+Q48</f>
        <v>88504.291800000006</v>
      </c>
      <c r="S48" s="78">
        <f>ROUND(K48*S$12,2)</f>
        <v>5777.04</v>
      </c>
      <c r="T48" s="78">
        <v>1.54</v>
      </c>
      <c r="U48" s="78">
        <f>K48+O48+P48+Q48+S48</f>
        <v>94281.3318</v>
      </c>
      <c r="V48" s="79">
        <f>R48*0.87</f>
        <v>76998.73386600001</v>
      </c>
      <c r="W48" s="78">
        <f>U48*0.87</f>
        <v>82024.758665999994</v>
      </c>
      <c r="X48" s="80"/>
      <c r="Y48" s="78"/>
      <c r="Z48" s="80"/>
      <c r="AA48" s="80"/>
      <c r="AB48" s="80"/>
      <c r="AC48" s="80"/>
      <c r="AE48" s="78"/>
      <c r="AG48" s="78"/>
    </row>
    <row r="49" spans="1:33" ht="12" customHeight="1" x14ac:dyDescent="0.2">
      <c r="A49" s="127"/>
      <c r="B49" s="107"/>
      <c r="C49" s="107" t="s">
        <v>45</v>
      </c>
      <c r="D49" s="109">
        <v>1</v>
      </c>
      <c r="E49" s="73">
        <v>6500</v>
      </c>
      <c r="F49" s="74">
        <f t="shared" si="19"/>
        <v>7150</v>
      </c>
      <c r="G49" s="74">
        <f>F49*1.1*1.1+0.5</f>
        <v>8652.0000000000018</v>
      </c>
      <c r="H49" s="74">
        <v>10692.91</v>
      </c>
      <c r="I49" s="74">
        <f t="shared" si="28"/>
        <v>11762.201000000001</v>
      </c>
      <c r="J49" s="74">
        <v>12467.933060000001</v>
      </c>
      <c r="K49" s="74">
        <f>ROUND('ПРОЕКТ с 01.02.2023'!K49*1.09,2)</f>
        <v>19506.919999999998</v>
      </c>
      <c r="L49" s="75" t="s">
        <v>69</v>
      </c>
      <c r="M49" s="76">
        <v>30</v>
      </c>
      <c r="N49" s="113"/>
      <c r="O49" s="78">
        <f t="shared" si="29"/>
        <v>5852.08</v>
      </c>
      <c r="P49" s="78">
        <f t="shared" si="34"/>
        <v>22237.89</v>
      </c>
      <c r="Q49" s="78">
        <f t="shared" si="30"/>
        <v>30040.656799999997</v>
      </c>
      <c r="R49" s="79">
        <f t="shared" si="31"/>
        <v>77637.546799999996</v>
      </c>
      <c r="S49" s="78">
        <f t="shared" si="32"/>
        <v>4876.7299999999996</v>
      </c>
      <c r="T49" s="78">
        <v>1.54</v>
      </c>
      <c r="U49" s="78">
        <f t="shared" si="33"/>
        <v>82514.276799999992</v>
      </c>
      <c r="V49" s="79">
        <f t="shared" si="15"/>
        <v>67544.665716000003</v>
      </c>
      <c r="W49" s="78">
        <f t="shared" si="0"/>
        <v>71787.420815999998</v>
      </c>
      <c r="X49" s="80">
        <v>3</v>
      </c>
      <c r="Y49" s="78">
        <v>3</v>
      </c>
      <c r="Z49" s="80">
        <f t="shared" si="1"/>
        <v>0</v>
      </c>
      <c r="AA49" s="80">
        <f t="shared" si="2"/>
        <v>0</v>
      </c>
      <c r="AB49" s="80">
        <f t="shared" si="3"/>
        <v>58520.759999999995</v>
      </c>
      <c r="AC49" s="80"/>
      <c r="AD49">
        <v>0.1</v>
      </c>
      <c r="AE49" s="78">
        <f t="shared" si="4"/>
        <v>1950.692</v>
      </c>
      <c r="AF49">
        <v>0.2</v>
      </c>
      <c r="AG49" s="78">
        <f t="shared" si="5"/>
        <v>3901.384</v>
      </c>
    </row>
    <row r="50" spans="1:33" x14ac:dyDescent="0.2">
      <c r="A50" s="127"/>
      <c r="B50" s="107"/>
      <c r="C50" s="107" t="s">
        <v>70</v>
      </c>
      <c r="D50" s="109">
        <v>1</v>
      </c>
      <c r="E50" s="73">
        <v>5600</v>
      </c>
      <c r="F50" s="74">
        <f t="shared" si="19"/>
        <v>6160</v>
      </c>
      <c r="G50" s="74">
        <f>F50*1.1*1.1+0.4</f>
        <v>7454.0000000000009</v>
      </c>
      <c r="H50" s="74">
        <v>9212.35</v>
      </c>
      <c r="I50" s="74">
        <f t="shared" si="28"/>
        <v>10133.585000000001</v>
      </c>
      <c r="J50" s="74">
        <v>10741.600100000001</v>
      </c>
      <c r="K50" s="74">
        <f>ROUND('ПРОЕКТ с 01.02.2023'!K50*1.09,2)</f>
        <v>16805.98</v>
      </c>
      <c r="L50" s="105" t="s">
        <v>224</v>
      </c>
      <c r="M50" s="83">
        <v>30</v>
      </c>
      <c r="N50" s="113"/>
      <c r="O50" s="78">
        <f t="shared" si="29"/>
        <v>5041.79</v>
      </c>
      <c r="P50" s="78">
        <f t="shared" si="34"/>
        <v>19158.82</v>
      </c>
      <c r="Q50" s="78">
        <f t="shared" si="30"/>
        <v>24200.611199999999</v>
      </c>
      <c r="R50" s="79">
        <f t="shared" si="31"/>
        <v>65207.201199999996</v>
      </c>
      <c r="S50" s="78">
        <f t="shared" si="32"/>
        <v>4201.5</v>
      </c>
      <c r="T50" s="78">
        <v>1.44</v>
      </c>
      <c r="U50" s="78">
        <f t="shared" si="33"/>
        <v>69408.701199999996</v>
      </c>
      <c r="V50" s="79">
        <f t="shared" si="15"/>
        <v>56730.265044</v>
      </c>
      <c r="W50" s="78">
        <f t="shared" si="0"/>
        <v>60385.570043999993</v>
      </c>
      <c r="X50" s="80">
        <v>3</v>
      </c>
      <c r="Y50" s="78">
        <v>3</v>
      </c>
      <c r="Z50" s="80">
        <f t="shared" si="1"/>
        <v>0</v>
      </c>
      <c r="AA50" s="80">
        <f t="shared" si="2"/>
        <v>0</v>
      </c>
      <c r="AB50" s="80">
        <f t="shared" si="3"/>
        <v>50417.94</v>
      </c>
      <c r="AC50" s="80"/>
      <c r="AD50">
        <v>0.1</v>
      </c>
      <c r="AE50" s="78">
        <f t="shared" si="4"/>
        <v>1680.598</v>
      </c>
      <c r="AF50">
        <v>0.2</v>
      </c>
      <c r="AG50" s="78">
        <f t="shared" si="5"/>
        <v>3361.1959999999999</v>
      </c>
    </row>
    <row r="51" spans="1:33" x14ac:dyDescent="0.2">
      <c r="A51" s="102"/>
      <c r="B51" s="107"/>
      <c r="C51" s="107" t="s">
        <v>45</v>
      </c>
      <c r="D51" s="109">
        <v>1</v>
      </c>
      <c r="E51" s="73">
        <v>6500</v>
      </c>
      <c r="F51" s="74">
        <f t="shared" si="19"/>
        <v>7150</v>
      </c>
      <c r="G51" s="74">
        <f>F51*1.1*1.1+0.5</f>
        <v>8652.0000000000018</v>
      </c>
      <c r="H51" s="74">
        <v>10692.91</v>
      </c>
      <c r="I51" s="74">
        <f t="shared" si="28"/>
        <v>11762.201000000001</v>
      </c>
      <c r="J51" s="74">
        <v>12467.933060000001</v>
      </c>
      <c r="K51" s="74">
        <f>ROUND('ПРОЕКТ с 01.02.2023'!K51*1.09,2)</f>
        <v>19506.919999999998</v>
      </c>
      <c r="L51" s="128" t="s">
        <v>71</v>
      </c>
      <c r="M51" s="83">
        <v>30</v>
      </c>
      <c r="N51" s="76"/>
      <c r="O51" s="78">
        <f t="shared" si="29"/>
        <v>5852.08</v>
      </c>
      <c r="P51" s="78">
        <f t="shared" si="34"/>
        <v>22237.89</v>
      </c>
      <c r="Q51" s="78">
        <f t="shared" si="30"/>
        <v>30040.656799999997</v>
      </c>
      <c r="R51" s="79">
        <f t="shared" si="31"/>
        <v>77637.546799999996</v>
      </c>
      <c r="S51" s="78">
        <f t="shared" si="32"/>
        <v>4876.7299999999996</v>
      </c>
      <c r="T51" s="78">
        <v>1.54</v>
      </c>
      <c r="U51" s="78">
        <f t="shared" si="33"/>
        <v>82514.276799999992</v>
      </c>
      <c r="V51" s="79">
        <f t="shared" si="15"/>
        <v>67544.665716000003</v>
      </c>
      <c r="W51" s="78">
        <f t="shared" si="0"/>
        <v>71787.420815999998</v>
      </c>
      <c r="X51" s="80">
        <v>3</v>
      </c>
      <c r="Y51" s="78">
        <v>3</v>
      </c>
      <c r="Z51" s="80">
        <f t="shared" si="1"/>
        <v>0</v>
      </c>
      <c r="AA51" s="80">
        <f t="shared" si="2"/>
        <v>0</v>
      </c>
      <c r="AB51" s="80">
        <f t="shared" si="3"/>
        <v>58520.759999999995</v>
      </c>
      <c r="AC51" s="80"/>
      <c r="AD51">
        <v>0.1</v>
      </c>
      <c r="AE51" s="78">
        <f t="shared" si="4"/>
        <v>1950.692</v>
      </c>
      <c r="AF51">
        <v>0.2</v>
      </c>
      <c r="AG51" s="78">
        <f t="shared" si="5"/>
        <v>3901.384</v>
      </c>
    </row>
    <row r="52" spans="1:33" x14ac:dyDescent="0.2">
      <c r="A52" s="102"/>
      <c r="B52" s="107"/>
      <c r="C52" s="107" t="s">
        <v>45</v>
      </c>
      <c r="D52" s="109">
        <v>1</v>
      </c>
      <c r="E52" s="73">
        <v>5600</v>
      </c>
      <c r="F52" s="74">
        <f t="shared" si="19"/>
        <v>6160</v>
      </c>
      <c r="G52" s="74">
        <f>F52*1.1*1.1+0.4</f>
        <v>7454.0000000000009</v>
      </c>
      <c r="H52" s="74">
        <v>9212.35</v>
      </c>
      <c r="I52" s="74">
        <f t="shared" si="28"/>
        <v>10133.585000000001</v>
      </c>
      <c r="J52" s="74">
        <v>10741.600100000001</v>
      </c>
      <c r="K52" s="74">
        <f>ROUND('ПРОЕКТ с 01.02.2023'!K52*1.09,2)</f>
        <v>19506.919999999998</v>
      </c>
      <c r="L52" s="128" t="s">
        <v>72</v>
      </c>
      <c r="M52" s="76">
        <v>30</v>
      </c>
      <c r="N52" s="76"/>
      <c r="O52" s="78">
        <f t="shared" si="29"/>
        <v>5852.08</v>
      </c>
      <c r="P52" s="78">
        <f t="shared" si="34"/>
        <v>22237.89</v>
      </c>
      <c r="Q52" s="78">
        <f t="shared" si="30"/>
        <v>30040.656799999997</v>
      </c>
      <c r="R52" s="79">
        <f t="shared" si="31"/>
        <v>77637.546799999996</v>
      </c>
      <c r="S52" s="78">
        <f t="shared" si="32"/>
        <v>4876.7299999999996</v>
      </c>
      <c r="T52" s="78">
        <v>1.54</v>
      </c>
      <c r="U52" s="78">
        <f t="shared" si="33"/>
        <v>82514.276799999992</v>
      </c>
      <c r="V52" s="79">
        <f t="shared" si="15"/>
        <v>67544.665716000003</v>
      </c>
      <c r="W52" s="78">
        <f t="shared" si="0"/>
        <v>71787.420815999998</v>
      </c>
      <c r="X52" s="80">
        <v>3</v>
      </c>
      <c r="Y52" s="78">
        <v>3</v>
      </c>
      <c r="Z52" s="80">
        <f t="shared" si="1"/>
        <v>0</v>
      </c>
      <c r="AA52" s="80">
        <f t="shared" si="2"/>
        <v>0</v>
      </c>
      <c r="AB52" s="80">
        <f t="shared" si="3"/>
        <v>58520.759999999995</v>
      </c>
      <c r="AC52" s="80"/>
      <c r="AD52">
        <v>0.1</v>
      </c>
      <c r="AE52" s="78">
        <f t="shared" si="4"/>
        <v>1950.692</v>
      </c>
      <c r="AF52">
        <v>0.2</v>
      </c>
      <c r="AG52" s="78">
        <f t="shared" si="5"/>
        <v>3901.384</v>
      </c>
    </row>
    <row r="53" spans="1:33" x14ac:dyDescent="0.2">
      <c r="A53" s="102"/>
      <c r="B53" s="107"/>
      <c r="C53" s="107" t="s">
        <v>45</v>
      </c>
      <c r="D53" s="109">
        <v>1</v>
      </c>
      <c r="E53" s="73">
        <v>5600</v>
      </c>
      <c r="F53" s="74">
        <f t="shared" si="19"/>
        <v>6160</v>
      </c>
      <c r="G53" s="74">
        <f>F53*1.1*1.1+0.4</f>
        <v>7454.0000000000009</v>
      </c>
      <c r="H53" s="74">
        <v>9213.35</v>
      </c>
      <c r="I53" s="74">
        <f t="shared" si="28"/>
        <v>10134.685000000001</v>
      </c>
      <c r="J53" s="74">
        <v>10741.600100000001</v>
      </c>
      <c r="K53" s="74">
        <f>ROUND('ПРОЕКТ с 01.02.2023'!K53*1.09,2)</f>
        <v>19506.919999999998</v>
      </c>
      <c r="L53" s="128" t="s">
        <v>68</v>
      </c>
      <c r="M53" s="76">
        <v>30</v>
      </c>
      <c r="N53" s="76"/>
      <c r="O53" s="78">
        <f t="shared" si="29"/>
        <v>5852.08</v>
      </c>
      <c r="P53" s="78">
        <f t="shared" si="34"/>
        <v>22237.89</v>
      </c>
      <c r="Q53" s="78">
        <f t="shared" si="30"/>
        <v>30040.656799999997</v>
      </c>
      <c r="R53" s="79">
        <f t="shared" si="31"/>
        <v>77637.546799999996</v>
      </c>
      <c r="S53" s="78">
        <f t="shared" si="32"/>
        <v>4876.7299999999996</v>
      </c>
      <c r="T53" s="78">
        <v>1.54</v>
      </c>
      <c r="U53" s="78">
        <f t="shared" si="33"/>
        <v>82514.276799999992</v>
      </c>
      <c r="V53" s="79">
        <f t="shared" si="15"/>
        <v>67544.665716000003</v>
      </c>
      <c r="W53" s="78">
        <f t="shared" si="0"/>
        <v>71787.420815999998</v>
      </c>
      <c r="X53" s="80">
        <v>3</v>
      </c>
      <c r="Y53" s="78">
        <v>3</v>
      </c>
      <c r="Z53" s="80">
        <f t="shared" si="1"/>
        <v>0</v>
      </c>
      <c r="AA53" s="80">
        <f t="shared" si="2"/>
        <v>0</v>
      </c>
      <c r="AB53" s="80">
        <f t="shared" si="3"/>
        <v>58520.759999999995</v>
      </c>
      <c r="AC53" s="80"/>
      <c r="AD53">
        <v>1.1000000000000001</v>
      </c>
      <c r="AE53" s="78">
        <f t="shared" si="4"/>
        <v>21457.612000000001</v>
      </c>
      <c r="AF53">
        <v>1.2</v>
      </c>
      <c r="AG53" s="78">
        <f t="shared" si="5"/>
        <v>23408.303999999996</v>
      </c>
    </row>
    <row r="54" spans="1:33" x14ac:dyDescent="0.2">
      <c r="A54" s="86"/>
      <c r="B54" s="87"/>
      <c r="C54" s="87" t="s">
        <v>51</v>
      </c>
      <c r="D54" s="88">
        <f>SUM(D47:D52)+D53</f>
        <v>7</v>
      </c>
      <c r="E54" s="89">
        <f>SUM(E29:E52)</f>
        <v>99900</v>
      </c>
      <c r="F54" s="89">
        <f>SUM(F29:F52)</f>
        <v>110880</v>
      </c>
      <c r="G54" s="89">
        <f>SUM(G47:G52)</f>
        <v>49649</v>
      </c>
      <c r="H54" s="89">
        <f>SUM(H47:H52)</f>
        <v>61360.85</v>
      </c>
      <c r="I54" s="89">
        <f>SUM(I47:I52)</f>
        <v>67496.934999999998</v>
      </c>
      <c r="J54" s="89">
        <v>71546.751099999994</v>
      </c>
      <c r="K54" s="90">
        <f>SUM(K47:K53)</f>
        <v>143450.84999999998</v>
      </c>
      <c r="L54" s="90"/>
      <c r="M54" s="90"/>
      <c r="N54" s="90">
        <f t="shared" ref="N54" si="35">SUM(N47:N52)</f>
        <v>0</v>
      </c>
      <c r="O54" s="90">
        <f>SUM(O47:O53)</f>
        <v>39569.050000000003</v>
      </c>
      <c r="P54" s="90">
        <f t="shared" ref="P54:AG54" si="36">SUM(P47:P53)</f>
        <v>166084.87</v>
      </c>
      <c r="Q54" s="90">
        <f t="shared" si="36"/>
        <v>219233.71100000001</v>
      </c>
      <c r="R54" s="90">
        <f t="shared" si="36"/>
        <v>568338.48100000003</v>
      </c>
      <c r="S54" s="90">
        <f t="shared" si="36"/>
        <v>35862.720000000001</v>
      </c>
      <c r="T54" s="90">
        <f t="shared" si="36"/>
        <v>10.68</v>
      </c>
      <c r="U54" s="90">
        <f t="shared" si="36"/>
        <v>604201.201</v>
      </c>
      <c r="V54" s="90">
        <f t="shared" si="36"/>
        <v>494454.47847000009</v>
      </c>
      <c r="W54" s="90">
        <f t="shared" si="36"/>
        <v>525655.04486999987</v>
      </c>
      <c r="X54" s="90">
        <f t="shared" si="36"/>
        <v>18</v>
      </c>
      <c r="Y54" s="90">
        <f t="shared" si="36"/>
        <v>18</v>
      </c>
      <c r="Z54" s="90">
        <f t="shared" si="36"/>
        <v>0</v>
      </c>
      <c r="AA54" s="90">
        <f t="shared" si="36"/>
        <v>0</v>
      </c>
      <c r="AB54" s="90">
        <f t="shared" si="36"/>
        <v>361028.04000000004</v>
      </c>
      <c r="AC54" s="90">
        <f t="shared" si="36"/>
        <v>0</v>
      </c>
      <c r="AD54" s="90">
        <f t="shared" si="36"/>
        <v>1.6</v>
      </c>
      <c r="AE54" s="90">
        <f t="shared" si="36"/>
        <v>31541.188000000002</v>
      </c>
      <c r="AF54" s="90">
        <f t="shared" si="36"/>
        <v>2.2000000000000002</v>
      </c>
      <c r="AG54" s="90">
        <f t="shared" si="36"/>
        <v>43575.455999999998</v>
      </c>
    </row>
    <row r="55" spans="1:33" ht="26.25" customHeight="1" x14ac:dyDescent="0.2">
      <c r="A55" s="86"/>
      <c r="B55" s="87"/>
      <c r="C55" s="70" t="s">
        <v>73</v>
      </c>
      <c r="D55" s="88">
        <f>D26+D27+D45+D54</f>
        <v>25</v>
      </c>
      <c r="E55" s="89"/>
      <c r="F55" s="89"/>
      <c r="G55" s="89">
        <f>G26+G27+G45+G54</f>
        <v>133506</v>
      </c>
      <c r="H55" s="89">
        <f>H26+H27+H45+H54</f>
        <v>164999.82</v>
      </c>
      <c r="I55" s="89">
        <f>I26+I27+I45+I54</f>
        <v>181499.80200000003</v>
      </c>
      <c r="J55" s="89">
        <v>194116.12308000002</v>
      </c>
      <c r="K55" s="90">
        <f>K26+K27+K45+K54</f>
        <v>499377.06999999983</v>
      </c>
      <c r="L55" s="90"/>
      <c r="M55" s="90"/>
      <c r="N55" s="90">
        <f t="shared" ref="N55:W55" si="37">N26+N27+N45+N54</f>
        <v>0</v>
      </c>
      <c r="O55" s="90">
        <f t="shared" si="37"/>
        <v>130171.2</v>
      </c>
      <c r="P55" s="90">
        <f t="shared" si="37"/>
        <v>532871.94000000006</v>
      </c>
      <c r="Q55" s="90">
        <f t="shared" si="37"/>
        <v>703917.58019999997</v>
      </c>
      <c r="R55" s="90">
        <f t="shared" si="37"/>
        <v>1827323.9501999998</v>
      </c>
      <c r="S55" s="90">
        <f t="shared" si="37"/>
        <v>115090.82999999999</v>
      </c>
      <c r="T55" s="90">
        <f t="shared" si="37"/>
        <v>33.58</v>
      </c>
      <c r="U55" s="90">
        <f t="shared" si="37"/>
        <v>1942414.7801999999</v>
      </c>
      <c r="V55" s="90">
        <f t="shared" si="37"/>
        <v>1589771.8366740001</v>
      </c>
      <c r="W55" s="90">
        <f t="shared" si="37"/>
        <v>1689900.8587739998</v>
      </c>
      <c r="X55" s="80"/>
      <c r="Y55" s="90"/>
      <c r="Z55" s="80"/>
      <c r="AA55" s="80">
        <f t="shared" si="2"/>
        <v>0</v>
      </c>
      <c r="AB55" s="80">
        <f t="shared" si="3"/>
        <v>0</v>
      </c>
      <c r="AC55" s="91"/>
      <c r="AD55">
        <v>0.1</v>
      </c>
      <c r="AE55" s="89">
        <f>K55*AD55</f>
        <v>49937.706999999988</v>
      </c>
      <c r="AF55">
        <v>0.2</v>
      </c>
      <c r="AG55" s="89">
        <f>AF55*K55</f>
        <v>99875.413999999975</v>
      </c>
    </row>
    <row r="56" spans="1:33" ht="26.25" customHeight="1" x14ac:dyDescent="0.2">
      <c r="A56" s="59" t="s">
        <v>74</v>
      </c>
      <c r="B56" s="93"/>
      <c r="C56" s="93"/>
      <c r="D56" s="94"/>
      <c r="E56" s="95"/>
      <c r="F56" s="95"/>
      <c r="G56" s="95"/>
      <c r="H56" s="95"/>
      <c r="I56" s="95"/>
      <c r="J56" s="95"/>
      <c r="K56" s="90"/>
      <c r="L56" s="90"/>
      <c r="M56" s="87"/>
      <c r="N56" s="97"/>
      <c r="O56" s="98"/>
      <c r="P56" s="99" t="s">
        <v>40</v>
      </c>
      <c r="Q56" s="66">
        <v>1.42</v>
      </c>
      <c r="R56" s="79"/>
      <c r="S56" s="98"/>
      <c r="T56" s="99"/>
      <c r="U56" s="98"/>
      <c r="V56" s="100"/>
      <c r="W56" s="98"/>
      <c r="X56" s="80"/>
      <c r="Y56" s="98"/>
      <c r="Z56" s="80"/>
      <c r="AA56" s="80">
        <f t="shared" si="2"/>
        <v>0</v>
      </c>
      <c r="AB56" s="80">
        <f t="shared" si="3"/>
        <v>0</v>
      </c>
      <c r="AC56" s="101"/>
      <c r="AD56">
        <v>0.1</v>
      </c>
      <c r="AE56" s="98"/>
      <c r="AG56" s="98"/>
    </row>
    <row r="57" spans="1:33" x14ac:dyDescent="0.2">
      <c r="A57" s="102"/>
      <c r="B57" s="87"/>
      <c r="C57" s="87" t="s">
        <v>58</v>
      </c>
      <c r="D57" s="72">
        <v>1</v>
      </c>
      <c r="E57" s="73">
        <v>8500</v>
      </c>
      <c r="F57" s="74">
        <f>ROUND(E57*F$12,2)</f>
        <v>9350</v>
      </c>
      <c r="G57" s="74">
        <f>F57*1.1*1.1+0.5</f>
        <v>11314.000000000002</v>
      </c>
      <c r="H57" s="74">
        <v>13983.03</v>
      </c>
      <c r="I57" s="74">
        <f>H57*$I$12</f>
        <v>15381.333000000002</v>
      </c>
      <c r="J57" s="74">
        <v>16304.212980000004</v>
      </c>
      <c r="K57" s="74">
        <f>ROUND('ПРОЕКТ с 01.02.2023'!K57*1.09,2)</f>
        <v>25509.02</v>
      </c>
      <c r="L57" s="75" t="s">
        <v>76</v>
      </c>
      <c r="M57" s="83">
        <v>30</v>
      </c>
      <c r="N57" s="76"/>
      <c r="O57" s="78">
        <f>ROUND((K57*M57/100),2)</f>
        <v>7652.71</v>
      </c>
      <c r="P57" s="78">
        <f>ROUND(K57*1.24,2)</f>
        <v>31631.18</v>
      </c>
      <c r="Q57" s="78">
        <f>K57*T57</f>
        <v>39283.890800000001</v>
      </c>
      <c r="R57" s="79">
        <f>K57+O57+P57+Q57</f>
        <v>104076.8008</v>
      </c>
      <c r="S57" s="78">
        <f>ROUND(K57*S$12,2)</f>
        <v>6377.26</v>
      </c>
      <c r="T57" s="78">
        <v>1.54</v>
      </c>
      <c r="U57" s="78">
        <f>K57+O57+P57+Q57+S57</f>
        <v>110454.06079999999</v>
      </c>
      <c r="V57" s="79">
        <f t="shared" si="15"/>
        <v>90546.816695999994</v>
      </c>
      <c r="W57" s="78">
        <f t="shared" si="0"/>
        <v>96095.03289599999</v>
      </c>
      <c r="X57" s="80">
        <v>3</v>
      </c>
      <c r="Y57" s="78">
        <v>3</v>
      </c>
      <c r="Z57" s="80">
        <f t="shared" si="1"/>
        <v>0</v>
      </c>
      <c r="AA57" s="80">
        <f t="shared" si="2"/>
        <v>0</v>
      </c>
      <c r="AB57" s="80">
        <f t="shared" si="3"/>
        <v>76527.06</v>
      </c>
      <c r="AC57" s="80"/>
      <c r="AD57">
        <v>0.1</v>
      </c>
      <c r="AE57" s="78">
        <f t="shared" si="4"/>
        <v>2550.902</v>
      </c>
      <c r="AF57">
        <v>0.2</v>
      </c>
      <c r="AG57" s="78">
        <f t="shared" si="5"/>
        <v>5101.8040000000001</v>
      </c>
    </row>
    <row r="58" spans="1:33" ht="12.75" customHeight="1" x14ac:dyDescent="0.2">
      <c r="A58" s="102"/>
      <c r="B58" s="107"/>
      <c r="C58" s="107" t="s">
        <v>75</v>
      </c>
      <c r="D58" s="109">
        <v>1</v>
      </c>
      <c r="E58" s="73">
        <v>6500</v>
      </c>
      <c r="F58" s="74">
        <f>ROUND(E58*F$12,2)</f>
        <v>7150</v>
      </c>
      <c r="G58" s="74">
        <f>F58*1.1*1.1+0.5</f>
        <v>8652.0000000000018</v>
      </c>
      <c r="H58" s="74">
        <v>10692.91</v>
      </c>
      <c r="I58" s="74">
        <f>H58*$I$12</f>
        <v>11762.201000000001</v>
      </c>
      <c r="J58" s="74">
        <v>12467.933060000001</v>
      </c>
      <c r="K58" s="74">
        <f>ROUND('ПРОЕКТ с 01.02.2023'!K58*1.09,2)</f>
        <v>19506.919999999998</v>
      </c>
      <c r="L58" s="75" t="s">
        <v>213</v>
      </c>
      <c r="M58" s="76">
        <v>30</v>
      </c>
      <c r="N58" s="76"/>
      <c r="O58" s="78">
        <f>ROUND((K58*M58/100),2)</f>
        <v>5852.08</v>
      </c>
      <c r="P58" s="78">
        <f>ROUND(K58*1.14,2)</f>
        <v>22237.89</v>
      </c>
      <c r="Q58" s="78">
        <f>K58*T58</f>
        <v>30040.656799999997</v>
      </c>
      <c r="R58" s="79">
        <f>K58+O58+P58+Q58</f>
        <v>77637.546799999996</v>
      </c>
      <c r="S58" s="78">
        <f>ROUND(K58*S$12,2)</f>
        <v>4876.7299999999996</v>
      </c>
      <c r="T58" s="78">
        <v>1.54</v>
      </c>
      <c r="U58" s="78">
        <f>K58+O58+P58+Q58+S58</f>
        <v>82514.276799999992</v>
      </c>
      <c r="V58" s="79">
        <f t="shared" si="15"/>
        <v>67544.665716000003</v>
      </c>
      <c r="W58" s="78">
        <f t="shared" si="0"/>
        <v>71787.420815999998</v>
      </c>
      <c r="X58" s="80">
        <v>3</v>
      </c>
      <c r="Y58" s="78">
        <v>3</v>
      </c>
      <c r="Z58" s="80">
        <f t="shared" si="1"/>
        <v>0</v>
      </c>
      <c r="AA58" s="80">
        <f t="shared" si="2"/>
        <v>0</v>
      </c>
      <c r="AB58" s="80">
        <f t="shared" si="3"/>
        <v>58520.759999999995</v>
      </c>
      <c r="AC58" s="80"/>
      <c r="AD58">
        <v>0.1</v>
      </c>
      <c r="AE58" s="78">
        <f t="shared" si="4"/>
        <v>1950.692</v>
      </c>
      <c r="AF58">
        <v>0.2</v>
      </c>
      <c r="AG58" s="78">
        <f t="shared" si="5"/>
        <v>3901.384</v>
      </c>
    </row>
    <row r="59" spans="1:33" ht="19.5" customHeight="1" x14ac:dyDescent="0.2">
      <c r="A59" s="102"/>
      <c r="B59" s="87"/>
      <c r="C59" s="87" t="s">
        <v>51</v>
      </c>
      <c r="D59" s="88">
        <f t="shared" ref="D59:I59" si="38">SUM(D57:D58)</f>
        <v>2</v>
      </c>
      <c r="E59" s="95">
        <f t="shared" si="38"/>
        <v>15000</v>
      </c>
      <c r="F59" s="95">
        <f t="shared" si="38"/>
        <v>16500</v>
      </c>
      <c r="G59" s="95">
        <f t="shared" si="38"/>
        <v>19966.000000000004</v>
      </c>
      <c r="H59" s="95">
        <f t="shared" si="38"/>
        <v>24675.940000000002</v>
      </c>
      <c r="I59" s="95">
        <f t="shared" si="38"/>
        <v>27143.534000000003</v>
      </c>
      <c r="J59" s="95">
        <v>28772.146040000003</v>
      </c>
      <c r="K59" s="90">
        <f>SUM(K57:K58)</f>
        <v>45015.94</v>
      </c>
      <c r="L59" s="90"/>
      <c r="M59" s="90"/>
      <c r="N59" s="90">
        <f t="shared" ref="N59" si="39">SUM(N57:N58)</f>
        <v>0</v>
      </c>
      <c r="O59" s="90">
        <f>SUM(O57:O58)</f>
        <v>13504.79</v>
      </c>
      <c r="P59" s="90">
        <f t="shared" ref="P59:W59" si="40">SUM(P57:P58)</f>
        <v>53869.07</v>
      </c>
      <c r="Q59" s="90">
        <f t="shared" si="40"/>
        <v>69324.547599999991</v>
      </c>
      <c r="R59" s="90">
        <f t="shared" si="40"/>
        <v>181714.34759999998</v>
      </c>
      <c r="S59" s="90">
        <f t="shared" si="40"/>
        <v>11253.99</v>
      </c>
      <c r="T59" s="90">
        <f t="shared" si="40"/>
        <v>3.08</v>
      </c>
      <c r="U59" s="90">
        <f t="shared" si="40"/>
        <v>192968.33759999997</v>
      </c>
      <c r="V59" s="90">
        <f t="shared" si="40"/>
        <v>158091.48241200001</v>
      </c>
      <c r="W59" s="90">
        <f t="shared" si="40"/>
        <v>167882.45371199999</v>
      </c>
      <c r="X59" s="80"/>
      <c r="Y59" s="90"/>
      <c r="Z59" s="80"/>
      <c r="AA59" s="80">
        <f t="shared" si="2"/>
        <v>0</v>
      </c>
      <c r="AB59" s="80">
        <f t="shared" si="3"/>
        <v>0</v>
      </c>
      <c r="AC59" s="91"/>
      <c r="AD59">
        <v>0.1</v>
      </c>
      <c r="AE59" s="95">
        <f t="shared" si="4"/>
        <v>4501.5940000000001</v>
      </c>
      <c r="AF59">
        <v>0.2</v>
      </c>
      <c r="AG59" s="95">
        <f t="shared" si="5"/>
        <v>9003.1880000000001</v>
      </c>
    </row>
    <row r="60" spans="1:33" ht="44.25" customHeight="1" x14ac:dyDescent="0.2">
      <c r="A60" s="59" t="s">
        <v>77</v>
      </c>
      <c r="B60" s="129"/>
      <c r="C60" s="129"/>
      <c r="D60" s="94"/>
      <c r="E60" s="95"/>
      <c r="F60" s="95"/>
      <c r="G60" s="95"/>
      <c r="H60" s="95"/>
      <c r="I60" s="95"/>
      <c r="J60" s="95"/>
      <c r="K60" s="90"/>
      <c r="L60" s="96"/>
      <c r="M60" s="97"/>
      <c r="N60" s="97"/>
      <c r="O60" s="98"/>
      <c r="P60" s="130">
        <v>1.19</v>
      </c>
      <c r="Q60" s="66" t="s">
        <v>57</v>
      </c>
      <c r="R60" s="79"/>
      <c r="S60" s="98"/>
      <c r="T60" s="130"/>
      <c r="U60" s="98"/>
      <c r="V60" s="100"/>
      <c r="W60" s="98"/>
      <c r="X60" s="80"/>
      <c r="Y60" s="98"/>
      <c r="Z60" s="80"/>
      <c r="AA60" s="80">
        <f t="shared" si="2"/>
        <v>0</v>
      </c>
      <c r="AB60" s="80">
        <f t="shared" si="3"/>
        <v>0</v>
      </c>
      <c r="AC60" s="101"/>
      <c r="AD60">
        <v>0.1</v>
      </c>
      <c r="AE60" s="98"/>
      <c r="AG60" s="98"/>
    </row>
    <row r="61" spans="1:33" ht="25.5" x14ac:dyDescent="0.2">
      <c r="A61" s="102"/>
      <c r="B61" s="87"/>
      <c r="C61" s="70" t="s">
        <v>193</v>
      </c>
      <c r="D61" s="72">
        <v>1</v>
      </c>
      <c r="E61" s="73">
        <v>9600</v>
      </c>
      <c r="F61" s="74">
        <f>ROUND(E61*F$12,2)</f>
        <v>10560</v>
      </c>
      <c r="G61" s="74">
        <f>F61*1.1*1.1+0.4</f>
        <v>12778.000000000002</v>
      </c>
      <c r="H61" s="74">
        <v>15792.6</v>
      </c>
      <c r="I61" s="74">
        <f>H61*$I$12</f>
        <v>17371.86</v>
      </c>
      <c r="J61" s="74">
        <v>18414.171600000001</v>
      </c>
      <c r="K61" s="74">
        <f>ROUND('ПРОЕКТ с 01.02.2023'!K61*1.09,2)</f>
        <v>33011.67</v>
      </c>
      <c r="L61" s="75" t="s">
        <v>78</v>
      </c>
      <c r="M61" s="76">
        <v>30</v>
      </c>
      <c r="N61" s="76"/>
      <c r="O61" s="78">
        <f>ROUND((K61*M61/100),2)</f>
        <v>9903.5</v>
      </c>
      <c r="P61" s="78">
        <f>ROUND(K61*1.19,2)</f>
        <v>39283.89</v>
      </c>
      <c r="Q61" s="78">
        <f>K61*T61</f>
        <v>50837.971799999999</v>
      </c>
      <c r="R61" s="79">
        <f>K61+O61+P61+Q61</f>
        <v>133037.0318</v>
      </c>
      <c r="S61" s="78">
        <f>ROUND(K61*S$12,2)</f>
        <v>8252.92</v>
      </c>
      <c r="T61" s="78">
        <v>1.54</v>
      </c>
      <c r="U61" s="78">
        <f>K61+O61+P61+Q61+S61</f>
        <v>141289.95180000001</v>
      </c>
      <c r="V61" s="79">
        <f t="shared" si="15"/>
        <v>115742.217666</v>
      </c>
      <c r="W61" s="78">
        <f t="shared" si="0"/>
        <v>122922.25806600001</v>
      </c>
      <c r="X61" s="80">
        <v>3</v>
      </c>
      <c r="Y61" s="78"/>
      <c r="Z61" s="80">
        <f t="shared" si="1"/>
        <v>3</v>
      </c>
      <c r="AA61" s="80">
        <f t="shared" si="2"/>
        <v>99035.01</v>
      </c>
      <c r="AB61" s="80">
        <f t="shared" si="3"/>
        <v>0</v>
      </c>
      <c r="AC61" s="80"/>
      <c r="AD61">
        <v>0.1</v>
      </c>
      <c r="AE61" s="78">
        <f t="shared" si="4"/>
        <v>3301.1669999999999</v>
      </c>
      <c r="AF61">
        <v>0.2</v>
      </c>
      <c r="AG61" s="78">
        <f t="shared" si="5"/>
        <v>6602.3339999999998</v>
      </c>
    </row>
    <row r="62" spans="1:33" ht="32.25" customHeight="1" x14ac:dyDescent="0.2">
      <c r="A62" s="102"/>
      <c r="B62" s="82"/>
      <c r="C62" s="82" t="s">
        <v>79</v>
      </c>
      <c r="D62" s="72">
        <v>1</v>
      </c>
      <c r="E62" s="73">
        <v>8700</v>
      </c>
      <c r="F62" s="74">
        <f>ROUND(E62*F$12,2)</f>
        <v>9570</v>
      </c>
      <c r="G62" s="74">
        <f>F62*1.1*1.1+0.3</f>
        <v>11580</v>
      </c>
      <c r="H62" s="74">
        <v>14312.05</v>
      </c>
      <c r="I62" s="74">
        <f>H62*$I$12</f>
        <v>15743.255000000001</v>
      </c>
      <c r="J62" s="74">
        <v>16687.850300000002</v>
      </c>
      <c r="K62" s="74">
        <f>ROUND('ПРОЕКТ с 01.02.2023'!K62*1.09,2)</f>
        <v>26109.279999999999</v>
      </c>
      <c r="L62" s="75" t="s">
        <v>202</v>
      </c>
      <c r="M62" s="83">
        <v>15</v>
      </c>
      <c r="N62" s="76"/>
      <c r="O62" s="78">
        <f>ROUND((K62*M62/100),2)</f>
        <v>3916.39</v>
      </c>
      <c r="P62" s="78">
        <f>ROUND(K62*1.19,2)</f>
        <v>31070.04</v>
      </c>
      <c r="Q62" s="78">
        <f>K62*T62</f>
        <v>40208.2912</v>
      </c>
      <c r="R62" s="79">
        <f>K62+O62+P62+Q62</f>
        <v>101304.0012</v>
      </c>
      <c r="S62" s="78">
        <f>ROUND(K62*S$12,2)</f>
        <v>6527.32</v>
      </c>
      <c r="T62" s="78">
        <v>1.54</v>
      </c>
      <c r="U62" s="78">
        <f>K62+O62+P62+Q62+S62</f>
        <v>107831.32120000001</v>
      </c>
      <c r="V62" s="79">
        <f t="shared" si="15"/>
        <v>88134.481044</v>
      </c>
      <c r="W62" s="78">
        <f t="shared" si="0"/>
        <v>93813.249444000001</v>
      </c>
      <c r="X62" s="80">
        <v>3</v>
      </c>
      <c r="Y62" s="78">
        <v>0</v>
      </c>
      <c r="Z62" s="80">
        <f t="shared" si="1"/>
        <v>3</v>
      </c>
      <c r="AA62" s="80">
        <f t="shared" si="2"/>
        <v>78327.839999999997</v>
      </c>
      <c r="AB62" s="80">
        <f t="shared" si="3"/>
        <v>0</v>
      </c>
      <c r="AC62" s="80"/>
      <c r="AD62">
        <v>0.1</v>
      </c>
      <c r="AE62" s="78">
        <f t="shared" si="4"/>
        <v>2610.9279999999999</v>
      </c>
      <c r="AF62">
        <v>0.2</v>
      </c>
      <c r="AG62" s="78">
        <f t="shared" si="5"/>
        <v>5221.8559999999998</v>
      </c>
    </row>
    <row r="63" spans="1:33" ht="40.5" customHeight="1" x14ac:dyDescent="0.2">
      <c r="A63" s="131" t="s">
        <v>80</v>
      </c>
      <c r="B63" s="131"/>
      <c r="C63" s="131"/>
      <c r="D63" s="132"/>
      <c r="E63" s="95"/>
      <c r="F63" s="95"/>
      <c r="G63" s="95"/>
      <c r="H63" s="95"/>
      <c r="I63" s="95"/>
      <c r="J63" s="95"/>
      <c r="K63" s="90"/>
      <c r="L63" s="90"/>
      <c r="M63" s="113"/>
      <c r="N63" s="113"/>
      <c r="O63" s="90"/>
      <c r="P63" s="99" t="s">
        <v>40</v>
      </c>
      <c r="Q63" s="90"/>
      <c r="R63" s="79"/>
      <c r="S63" s="90"/>
      <c r="T63" s="99"/>
      <c r="U63" s="90"/>
      <c r="V63" s="79"/>
      <c r="W63" s="90"/>
      <c r="X63" s="80"/>
      <c r="Y63" s="90"/>
      <c r="Z63" s="80"/>
      <c r="AA63" s="80">
        <f t="shared" si="2"/>
        <v>0</v>
      </c>
      <c r="AB63" s="80">
        <f t="shared" si="3"/>
        <v>0</v>
      </c>
      <c r="AC63" s="91"/>
      <c r="AD63">
        <v>0.1</v>
      </c>
      <c r="AE63" s="90"/>
      <c r="AG63" s="90"/>
    </row>
    <row r="64" spans="1:33" x14ac:dyDescent="0.2">
      <c r="A64" s="102"/>
      <c r="B64" s="87"/>
      <c r="C64" s="87" t="s">
        <v>58</v>
      </c>
      <c r="D64" s="72">
        <v>1</v>
      </c>
      <c r="E64" s="73">
        <v>8500</v>
      </c>
      <c r="F64" s="74">
        <v>8250</v>
      </c>
      <c r="G64" s="74">
        <f>F64*1.1*1.1+0.5</f>
        <v>9983</v>
      </c>
      <c r="H64" s="74">
        <v>12337.98</v>
      </c>
      <c r="I64" s="74">
        <f t="shared" ref="I64:I69" si="41">H64*$I$12</f>
        <v>13571.778</v>
      </c>
      <c r="J64" s="74">
        <v>14386.084680000002</v>
      </c>
      <c r="K64" s="74">
        <f>ROUND('ПРОЕКТ с 01.02.2023'!K64*1.09,2)</f>
        <v>25509.02</v>
      </c>
      <c r="L64" s="75" t="s">
        <v>81</v>
      </c>
      <c r="M64" s="83">
        <v>30</v>
      </c>
      <c r="N64" s="76"/>
      <c r="O64" s="78">
        <f>ROUND((K64*M64/100),2)</f>
        <v>7652.71</v>
      </c>
      <c r="P64" s="78">
        <f>ROUND(K64*1.24,2)</f>
        <v>31631.18</v>
      </c>
      <c r="Q64" s="78">
        <f>K64*T64</f>
        <v>39283.890800000001</v>
      </c>
      <c r="R64" s="79">
        <f>K64+O64+P64+Q64</f>
        <v>104076.8008</v>
      </c>
      <c r="S64" s="78">
        <f>ROUND(K64*S$12,2)</f>
        <v>6377.26</v>
      </c>
      <c r="T64" s="78">
        <v>1.54</v>
      </c>
      <c r="U64" s="78">
        <f>K64+O64+P64+Q64+S64</f>
        <v>110454.06079999999</v>
      </c>
      <c r="V64" s="79">
        <f t="shared" si="15"/>
        <v>90546.816695999994</v>
      </c>
      <c r="W64" s="78">
        <f t="shared" si="0"/>
        <v>96095.03289599999</v>
      </c>
      <c r="X64" s="80">
        <v>3</v>
      </c>
      <c r="Y64" s="78">
        <v>2</v>
      </c>
      <c r="Z64" s="80">
        <f t="shared" si="1"/>
        <v>1</v>
      </c>
      <c r="AA64" s="80">
        <f t="shared" si="2"/>
        <v>25509.02</v>
      </c>
      <c r="AB64" s="80">
        <f t="shared" si="3"/>
        <v>51018.04</v>
      </c>
      <c r="AC64" s="80"/>
      <c r="AD64">
        <v>0.1</v>
      </c>
      <c r="AE64" s="78">
        <f t="shared" si="4"/>
        <v>2550.902</v>
      </c>
      <c r="AF64">
        <v>0.2</v>
      </c>
      <c r="AG64" s="78">
        <f t="shared" si="5"/>
        <v>5101.8040000000001</v>
      </c>
    </row>
    <row r="65" spans="1:33" ht="15" customHeight="1" x14ac:dyDescent="0.2">
      <c r="A65" s="102"/>
      <c r="B65" s="87"/>
      <c r="C65" s="122" t="s">
        <v>60</v>
      </c>
      <c r="D65" s="72">
        <v>1</v>
      </c>
      <c r="E65" s="73"/>
      <c r="F65" s="74"/>
      <c r="G65" s="74"/>
      <c r="H65" s="74">
        <v>10692.91</v>
      </c>
      <c r="I65" s="74">
        <f>H65*$I$12</f>
        <v>11762.201000000001</v>
      </c>
      <c r="J65" s="74">
        <v>12467.933060000001</v>
      </c>
      <c r="K65" s="74">
        <f>ROUND('ПРОЕКТ с 01.02.2023'!K65*1.09,2)</f>
        <v>23108.17</v>
      </c>
      <c r="L65" s="75" t="s">
        <v>203</v>
      </c>
      <c r="M65" s="83">
        <v>20</v>
      </c>
      <c r="N65" s="76"/>
      <c r="O65" s="78">
        <f>ROUND((K65*M65/100),2)</f>
        <v>4621.63</v>
      </c>
      <c r="P65" s="78">
        <f>ROUND(K65*1.14,2)</f>
        <v>26343.31</v>
      </c>
      <c r="Q65" s="78">
        <f>K65*T65</f>
        <v>35586.5818</v>
      </c>
      <c r="R65" s="79">
        <f>K65+O65+P65+Q65</f>
        <v>89659.691800000001</v>
      </c>
      <c r="S65" s="78">
        <f>ROUND(K65*S$12,2)</f>
        <v>5777.04</v>
      </c>
      <c r="T65" s="78">
        <v>1.54</v>
      </c>
      <c r="U65" s="78">
        <f>K65+O65+P65+Q65+S65</f>
        <v>95436.731799999994</v>
      </c>
      <c r="V65" s="79">
        <f>R65*0.87</f>
        <v>78003.931865999999</v>
      </c>
      <c r="W65" s="78">
        <f>U65*0.87</f>
        <v>83029.956665999998</v>
      </c>
      <c r="X65" s="80">
        <v>3</v>
      </c>
      <c r="Y65" s="78">
        <v>3</v>
      </c>
      <c r="Z65" s="80">
        <f t="shared" si="1"/>
        <v>0</v>
      </c>
      <c r="AA65" s="80">
        <f t="shared" si="2"/>
        <v>0</v>
      </c>
      <c r="AB65" s="80">
        <f t="shared" si="3"/>
        <v>69324.509999999995</v>
      </c>
      <c r="AC65" s="80"/>
      <c r="AD65">
        <v>0.1</v>
      </c>
      <c r="AE65" s="78">
        <f>K65*AD65</f>
        <v>2310.817</v>
      </c>
      <c r="AF65">
        <v>0.2</v>
      </c>
      <c r="AG65" s="78">
        <f>AF65*K65</f>
        <v>4621.634</v>
      </c>
    </row>
    <row r="66" spans="1:33" ht="15" customHeight="1" x14ac:dyDescent="0.2">
      <c r="A66" s="102"/>
      <c r="B66" s="87"/>
      <c r="C66" s="122" t="s">
        <v>82</v>
      </c>
      <c r="D66" s="72">
        <v>1</v>
      </c>
      <c r="E66" s="73">
        <v>6500</v>
      </c>
      <c r="F66" s="74">
        <f>ROUND(E66*F$12,2)</f>
        <v>7150</v>
      </c>
      <c r="G66" s="74">
        <f>F66*1.1*1.1+0.5</f>
        <v>8652.0000000000018</v>
      </c>
      <c r="H66" s="74">
        <v>10692.91</v>
      </c>
      <c r="I66" s="74">
        <f t="shared" si="41"/>
        <v>11762.201000000001</v>
      </c>
      <c r="J66" s="74">
        <v>12467.933060000001</v>
      </c>
      <c r="K66" s="74">
        <f>ROUND('ПРОЕКТ с 01.02.2023'!K66*1.09,2)</f>
        <v>19506.919999999998</v>
      </c>
      <c r="L66" s="75" t="s">
        <v>181</v>
      </c>
      <c r="M66" s="76">
        <v>15</v>
      </c>
      <c r="N66" s="76"/>
      <c r="O66" s="78">
        <f t="shared" ref="O66:O80" si="42">ROUND((K66*M66/100),2)</f>
        <v>2926.04</v>
      </c>
      <c r="P66" s="78">
        <f>ROUND(K66*1.14,2)</f>
        <v>22237.89</v>
      </c>
      <c r="Q66" s="78">
        <f t="shared" ref="Q66:Q78" si="43">K66*T66</f>
        <v>30040.656799999997</v>
      </c>
      <c r="R66" s="79">
        <f t="shared" ref="R66:R80" si="44">K66+O66+P66+Q66</f>
        <v>74711.506800000003</v>
      </c>
      <c r="S66" s="78">
        <f t="shared" ref="S66:S80" si="45">ROUND(K66*S$12,2)</f>
        <v>4876.7299999999996</v>
      </c>
      <c r="T66" s="78">
        <v>1.54</v>
      </c>
      <c r="U66" s="78">
        <f t="shared" ref="U66:U80" si="46">K66+O66+P66+Q66+S66</f>
        <v>79588.236799999999</v>
      </c>
      <c r="V66" s="79">
        <f t="shared" si="15"/>
        <v>64999.010915999999</v>
      </c>
      <c r="W66" s="78">
        <f t="shared" si="0"/>
        <v>69241.766015999994</v>
      </c>
      <c r="X66" s="80">
        <v>3</v>
      </c>
      <c r="Y66" s="78"/>
      <c r="Z66" s="80">
        <f t="shared" si="1"/>
        <v>3</v>
      </c>
      <c r="AA66" s="80">
        <f t="shared" si="2"/>
        <v>58520.759999999995</v>
      </c>
      <c r="AB66" s="80">
        <f t="shared" si="3"/>
        <v>0</v>
      </c>
      <c r="AC66" s="80"/>
      <c r="AD66">
        <v>0.1</v>
      </c>
      <c r="AE66" s="78">
        <f t="shared" si="4"/>
        <v>1950.692</v>
      </c>
      <c r="AF66">
        <v>0.2</v>
      </c>
      <c r="AG66" s="78">
        <f t="shared" si="5"/>
        <v>3901.384</v>
      </c>
    </row>
    <row r="67" spans="1:33" ht="15" customHeight="1" x14ac:dyDescent="0.2">
      <c r="A67" s="102"/>
      <c r="B67" s="87"/>
      <c r="C67" s="122" t="s">
        <v>82</v>
      </c>
      <c r="D67" s="72">
        <v>1</v>
      </c>
      <c r="E67" s="73">
        <v>6500</v>
      </c>
      <c r="F67" s="74">
        <f>ROUND(E67*F$12,2)</f>
        <v>7150</v>
      </c>
      <c r="G67" s="74">
        <f>F67*1.1*1.1+0.5</f>
        <v>8652.0000000000018</v>
      </c>
      <c r="H67" s="74">
        <v>10692.91</v>
      </c>
      <c r="I67" s="74">
        <f t="shared" si="41"/>
        <v>11762.201000000001</v>
      </c>
      <c r="J67" s="74">
        <v>12467.933060000001</v>
      </c>
      <c r="K67" s="74">
        <f>ROUND('ПРОЕКТ с 01.02.2023'!K67*1.09,2)</f>
        <v>19506.919999999998</v>
      </c>
      <c r="L67" s="75" t="s">
        <v>83</v>
      </c>
      <c r="M67" s="83">
        <v>30</v>
      </c>
      <c r="N67" s="76"/>
      <c r="O67" s="78">
        <f t="shared" si="42"/>
        <v>5852.08</v>
      </c>
      <c r="P67" s="78">
        <f t="shared" ref="P67:P75" si="47">ROUND(K67*1.14,2)</f>
        <v>22237.89</v>
      </c>
      <c r="Q67" s="78">
        <f t="shared" si="43"/>
        <v>30040.656799999997</v>
      </c>
      <c r="R67" s="79">
        <f t="shared" si="44"/>
        <v>77637.546799999996</v>
      </c>
      <c r="S67" s="78">
        <f t="shared" si="45"/>
        <v>4876.7299999999996</v>
      </c>
      <c r="T67" s="78">
        <v>1.54</v>
      </c>
      <c r="U67" s="78">
        <f t="shared" si="46"/>
        <v>82514.276799999992</v>
      </c>
      <c r="V67" s="79">
        <f t="shared" si="15"/>
        <v>67544.665716000003</v>
      </c>
      <c r="W67" s="78">
        <f t="shared" si="0"/>
        <v>71787.420815999998</v>
      </c>
      <c r="X67" s="80">
        <v>3</v>
      </c>
      <c r="Y67" s="78">
        <v>3</v>
      </c>
      <c r="Z67" s="80">
        <f t="shared" si="1"/>
        <v>0</v>
      </c>
      <c r="AA67" s="80">
        <f t="shared" si="2"/>
        <v>0</v>
      </c>
      <c r="AB67" s="80">
        <f t="shared" si="3"/>
        <v>58520.759999999995</v>
      </c>
      <c r="AC67" s="80"/>
      <c r="AD67">
        <v>0.1</v>
      </c>
      <c r="AE67" s="78">
        <f t="shared" si="4"/>
        <v>1950.692</v>
      </c>
      <c r="AF67">
        <v>0.2</v>
      </c>
      <c r="AG67" s="78">
        <f t="shared" si="5"/>
        <v>3901.384</v>
      </c>
    </row>
    <row r="68" spans="1:33" ht="15" customHeight="1" x14ac:dyDescent="0.2">
      <c r="A68" s="102"/>
      <c r="B68" s="87"/>
      <c r="C68" s="122" t="s">
        <v>45</v>
      </c>
      <c r="D68" s="72">
        <v>1</v>
      </c>
      <c r="E68" s="73">
        <v>6500</v>
      </c>
      <c r="F68" s="74">
        <f>ROUND(E68*F$12,2)</f>
        <v>7150</v>
      </c>
      <c r="G68" s="74">
        <f>F68*1.1*1.1+0.5</f>
        <v>8652.0000000000018</v>
      </c>
      <c r="H68" s="74">
        <v>10692.91</v>
      </c>
      <c r="I68" s="74">
        <f t="shared" si="41"/>
        <v>11762.201000000001</v>
      </c>
      <c r="J68" s="74">
        <v>12467.933060000001</v>
      </c>
      <c r="K68" s="74">
        <f>ROUND('ПРОЕКТ с 01.02.2023'!K68*1.09,2)</f>
        <v>19506.919999999998</v>
      </c>
      <c r="L68" s="75" t="s">
        <v>212</v>
      </c>
      <c r="M68" s="83">
        <v>30</v>
      </c>
      <c r="N68" s="76"/>
      <c r="O68" s="78">
        <f t="shared" si="42"/>
        <v>5852.08</v>
      </c>
      <c r="P68" s="78">
        <f t="shared" si="47"/>
        <v>22237.89</v>
      </c>
      <c r="Q68" s="78">
        <f t="shared" si="43"/>
        <v>30040.656799999997</v>
      </c>
      <c r="R68" s="79">
        <f t="shared" si="44"/>
        <v>77637.546799999996</v>
      </c>
      <c r="S68" s="78">
        <f t="shared" si="45"/>
        <v>4876.7299999999996</v>
      </c>
      <c r="T68" s="78">
        <v>1.54</v>
      </c>
      <c r="U68" s="78">
        <f t="shared" si="46"/>
        <v>82514.276799999992</v>
      </c>
      <c r="V68" s="79">
        <f t="shared" si="15"/>
        <v>67544.665716000003</v>
      </c>
      <c r="W68" s="78">
        <f t="shared" si="0"/>
        <v>71787.420815999998</v>
      </c>
      <c r="X68" s="80">
        <v>3</v>
      </c>
      <c r="Y68" s="78">
        <v>3</v>
      </c>
      <c r="Z68" s="80">
        <f t="shared" si="1"/>
        <v>0</v>
      </c>
      <c r="AA68" s="80">
        <f t="shared" si="2"/>
        <v>0</v>
      </c>
      <c r="AB68" s="80">
        <f t="shared" si="3"/>
        <v>58520.759999999995</v>
      </c>
      <c r="AC68" s="80"/>
      <c r="AD68">
        <v>0.1</v>
      </c>
      <c r="AE68" s="78">
        <f t="shared" si="4"/>
        <v>1950.692</v>
      </c>
      <c r="AF68">
        <v>0.2</v>
      </c>
      <c r="AG68" s="78">
        <f t="shared" si="5"/>
        <v>3901.384</v>
      </c>
    </row>
    <row r="69" spans="1:33" ht="15" customHeight="1" x14ac:dyDescent="0.2">
      <c r="A69" s="102"/>
      <c r="B69" s="87"/>
      <c r="C69" s="122" t="s">
        <v>45</v>
      </c>
      <c r="D69" s="72">
        <v>1</v>
      </c>
      <c r="E69" s="73"/>
      <c r="F69" s="74"/>
      <c r="G69" s="74"/>
      <c r="H69" s="74">
        <v>10692.91</v>
      </c>
      <c r="I69" s="74">
        <f t="shared" si="41"/>
        <v>11762.201000000001</v>
      </c>
      <c r="J69" s="74">
        <v>12467.933060000001</v>
      </c>
      <c r="K69" s="74">
        <f>ROUND('ПРОЕКТ с 01.02.2023'!K69*1.09,2)</f>
        <v>19506.919999999998</v>
      </c>
      <c r="L69" s="105" t="s">
        <v>204</v>
      </c>
      <c r="M69" s="83">
        <v>15</v>
      </c>
      <c r="N69" s="76"/>
      <c r="O69" s="78">
        <f t="shared" si="42"/>
        <v>2926.04</v>
      </c>
      <c r="P69" s="78">
        <f t="shared" si="47"/>
        <v>22237.89</v>
      </c>
      <c r="Q69" s="78">
        <f t="shared" si="43"/>
        <v>30040.656799999997</v>
      </c>
      <c r="R69" s="79">
        <f t="shared" si="44"/>
        <v>74711.506800000003</v>
      </c>
      <c r="S69" s="78">
        <f t="shared" si="45"/>
        <v>4876.7299999999996</v>
      </c>
      <c r="T69" s="78">
        <v>1.54</v>
      </c>
      <c r="U69" s="78">
        <f t="shared" si="46"/>
        <v>79588.236799999999</v>
      </c>
      <c r="V69" s="79">
        <f t="shared" si="15"/>
        <v>64999.010915999999</v>
      </c>
      <c r="W69" s="78">
        <f t="shared" si="0"/>
        <v>69241.766015999994</v>
      </c>
      <c r="X69" s="80">
        <v>3</v>
      </c>
      <c r="Y69" s="78">
        <v>0</v>
      </c>
      <c r="Z69" s="80">
        <f t="shared" si="1"/>
        <v>3</v>
      </c>
      <c r="AA69" s="80">
        <f t="shared" si="2"/>
        <v>58520.759999999995</v>
      </c>
      <c r="AB69" s="80">
        <f t="shared" si="3"/>
        <v>0</v>
      </c>
      <c r="AC69" s="80"/>
      <c r="AD69">
        <v>0.1</v>
      </c>
      <c r="AE69" s="78">
        <f t="shared" si="4"/>
        <v>1950.692</v>
      </c>
      <c r="AF69">
        <v>0.2</v>
      </c>
      <c r="AG69" s="78">
        <f t="shared" si="5"/>
        <v>3901.384</v>
      </c>
    </row>
    <row r="70" spans="1:33" ht="15" customHeight="1" x14ac:dyDescent="0.2">
      <c r="A70" s="102"/>
      <c r="B70" s="87"/>
      <c r="C70" s="122" t="s">
        <v>82</v>
      </c>
      <c r="D70" s="72">
        <v>1</v>
      </c>
      <c r="E70" s="73"/>
      <c r="F70" s="74"/>
      <c r="G70" s="74"/>
      <c r="H70" s="74"/>
      <c r="I70" s="74"/>
      <c r="J70" s="74">
        <v>12467.933060000001</v>
      </c>
      <c r="K70" s="74">
        <f>ROUND('ПРОЕКТ с 01.02.2023'!K70*1.09,2)</f>
        <v>19506.919999999998</v>
      </c>
      <c r="L70" s="105" t="s">
        <v>84</v>
      </c>
      <c r="M70" s="83">
        <v>30</v>
      </c>
      <c r="N70" s="76"/>
      <c r="O70" s="78">
        <f t="shared" si="42"/>
        <v>5852.08</v>
      </c>
      <c r="P70" s="78">
        <f t="shared" si="47"/>
        <v>22237.89</v>
      </c>
      <c r="Q70" s="78">
        <f t="shared" si="43"/>
        <v>30040.656799999997</v>
      </c>
      <c r="R70" s="79">
        <f t="shared" si="44"/>
        <v>77637.546799999996</v>
      </c>
      <c r="S70" s="78">
        <f t="shared" si="45"/>
        <v>4876.7299999999996</v>
      </c>
      <c r="T70" s="78">
        <v>1.54</v>
      </c>
      <c r="U70" s="78">
        <f t="shared" si="46"/>
        <v>82514.276799999992</v>
      </c>
      <c r="V70" s="79">
        <f t="shared" si="15"/>
        <v>67544.665716000003</v>
      </c>
      <c r="W70" s="78">
        <f t="shared" si="0"/>
        <v>71787.420815999998</v>
      </c>
      <c r="X70" s="80">
        <v>3</v>
      </c>
      <c r="Y70" s="78">
        <v>3</v>
      </c>
      <c r="Z70" s="80">
        <f t="shared" si="1"/>
        <v>0</v>
      </c>
      <c r="AA70" s="80">
        <f t="shared" si="2"/>
        <v>0</v>
      </c>
      <c r="AB70" s="80">
        <f t="shared" si="3"/>
        <v>58520.759999999995</v>
      </c>
      <c r="AC70" s="80"/>
      <c r="AD70">
        <v>0.1</v>
      </c>
      <c r="AE70" s="78">
        <f t="shared" si="4"/>
        <v>1950.692</v>
      </c>
      <c r="AF70">
        <v>0.2</v>
      </c>
      <c r="AG70" s="78">
        <f t="shared" si="5"/>
        <v>3901.384</v>
      </c>
    </row>
    <row r="71" spans="1:33" ht="15" customHeight="1" x14ac:dyDescent="0.2">
      <c r="A71" s="102"/>
      <c r="B71" s="87"/>
      <c r="C71" s="122" t="s">
        <v>82</v>
      </c>
      <c r="D71" s="72">
        <v>1</v>
      </c>
      <c r="E71" s="73"/>
      <c r="F71" s="74"/>
      <c r="G71" s="74"/>
      <c r="H71" s="74"/>
      <c r="I71" s="74"/>
      <c r="J71" s="74">
        <v>12467.933060000001</v>
      </c>
      <c r="K71" s="74">
        <f>ROUND('ПРОЕКТ с 01.02.2023'!K71*1.09,2)</f>
        <v>19506.919999999998</v>
      </c>
      <c r="L71" s="105" t="s">
        <v>230</v>
      </c>
      <c r="M71" s="83">
        <v>30</v>
      </c>
      <c r="N71" s="76"/>
      <c r="O71" s="78">
        <f t="shared" si="42"/>
        <v>5852.08</v>
      </c>
      <c r="P71" s="78">
        <f t="shared" si="47"/>
        <v>22237.89</v>
      </c>
      <c r="Q71" s="78">
        <f t="shared" si="43"/>
        <v>30040.656799999997</v>
      </c>
      <c r="R71" s="79">
        <f t="shared" si="44"/>
        <v>77637.546799999996</v>
      </c>
      <c r="S71" s="78">
        <f t="shared" si="45"/>
        <v>4876.7299999999996</v>
      </c>
      <c r="T71" s="78">
        <v>1.54</v>
      </c>
      <c r="U71" s="78">
        <f t="shared" si="46"/>
        <v>82514.276799999992</v>
      </c>
      <c r="V71" s="79">
        <f t="shared" si="15"/>
        <v>67544.665716000003</v>
      </c>
      <c r="W71" s="78">
        <f t="shared" si="0"/>
        <v>71787.420815999998</v>
      </c>
      <c r="X71" s="80">
        <v>3</v>
      </c>
      <c r="Y71" s="78">
        <v>3</v>
      </c>
      <c r="Z71" s="80">
        <f t="shared" si="1"/>
        <v>0</v>
      </c>
      <c r="AA71" s="80">
        <f t="shared" si="2"/>
        <v>0</v>
      </c>
      <c r="AB71" s="80">
        <f t="shared" si="3"/>
        <v>58520.759999999995</v>
      </c>
      <c r="AC71" s="80"/>
      <c r="AD71">
        <v>0.1</v>
      </c>
      <c r="AE71" s="78">
        <f t="shared" si="4"/>
        <v>1950.692</v>
      </c>
      <c r="AF71">
        <v>0.2</v>
      </c>
      <c r="AG71" s="78">
        <f t="shared" si="5"/>
        <v>3901.384</v>
      </c>
    </row>
    <row r="72" spans="1:33" ht="15" customHeight="1" x14ac:dyDescent="0.2">
      <c r="A72" s="102"/>
      <c r="B72" s="87"/>
      <c r="C72" s="122" t="s">
        <v>82</v>
      </c>
      <c r="D72" s="72">
        <v>1</v>
      </c>
      <c r="E72" s="73"/>
      <c r="F72" s="74"/>
      <c r="G72" s="74"/>
      <c r="H72" s="74"/>
      <c r="I72" s="74"/>
      <c r="J72" s="74"/>
      <c r="K72" s="74">
        <f>ROUND('ПРОЕКТ с 01.02.2023'!K72*1.09,2)</f>
        <v>19506.919999999998</v>
      </c>
      <c r="L72" s="105" t="s">
        <v>85</v>
      </c>
      <c r="M72" s="83">
        <v>30</v>
      </c>
      <c r="N72" s="76"/>
      <c r="O72" s="78">
        <f t="shared" si="42"/>
        <v>5852.08</v>
      </c>
      <c r="P72" s="78">
        <f t="shared" si="47"/>
        <v>22237.89</v>
      </c>
      <c r="Q72" s="78">
        <f t="shared" si="43"/>
        <v>30040.656799999997</v>
      </c>
      <c r="R72" s="79">
        <f t="shared" si="44"/>
        <v>77637.546799999996</v>
      </c>
      <c r="S72" s="78">
        <f t="shared" si="45"/>
        <v>4876.7299999999996</v>
      </c>
      <c r="T72" s="78">
        <v>1.54</v>
      </c>
      <c r="U72" s="78">
        <f t="shared" si="46"/>
        <v>82514.276799999992</v>
      </c>
      <c r="V72" s="79">
        <f t="shared" si="15"/>
        <v>67544.665716000003</v>
      </c>
      <c r="W72" s="78">
        <f t="shared" si="0"/>
        <v>71787.420815999998</v>
      </c>
      <c r="X72" s="80"/>
      <c r="Y72" s="78"/>
      <c r="Z72" s="80"/>
      <c r="AA72" s="80"/>
      <c r="AB72" s="80"/>
      <c r="AC72" s="80"/>
      <c r="AE72" s="78"/>
      <c r="AG72" s="78"/>
    </row>
    <row r="73" spans="1:33" ht="16.5" customHeight="1" x14ac:dyDescent="0.2">
      <c r="A73" s="102"/>
      <c r="B73" s="87"/>
      <c r="C73" s="122" t="s">
        <v>82</v>
      </c>
      <c r="D73" s="109">
        <v>1</v>
      </c>
      <c r="E73" s="73"/>
      <c r="F73" s="74"/>
      <c r="G73" s="74"/>
      <c r="H73" s="74">
        <v>9212.35</v>
      </c>
      <c r="I73" s="74">
        <f>H73*$I$12</f>
        <v>10133.585000000001</v>
      </c>
      <c r="J73" s="74">
        <v>10741.600100000001</v>
      </c>
      <c r="K73" s="74">
        <f>ROUND('ПРОЕКТ с 01.02.2023'!K73*1.09,2)</f>
        <v>19506.919999999998</v>
      </c>
      <c r="L73" s="75" t="s">
        <v>86</v>
      </c>
      <c r="M73" s="83">
        <v>30</v>
      </c>
      <c r="N73" s="76"/>
      <c r="O73" s="78">
        <f t="shared" si="42"/>
        <v>5852.08</v>
      </c>
      <c r="P73" s="78">
        <f t="shared" si="47"/>
        <v>22237.89</v>
      </c>
      <c r="Q73" s="78">
        <f t="shared" si="43"/>
        <v>30040.656799999997</v>
      </c>
      <c r="R73" s="79">
        <f t="shared" si="44"/>
        <v>77637.546799999996</v>
      </c>
      <c r="S73" s="78">
        <f t="shared" si="45"/>
        <v>4876.7299999999996</v>
      </c>
      <c r="T73" s="78">
        <v>1.54</v>
      </c>
      <c r="U73" s="78">
        <f t="shared" si="46"/>
        <v>82514.276799999992</v>
      </c>
      <c r="V73" s="79">
        <f t="shared" si="15"/>
        <v>67544.665716000003</v>
      </c>
      <c r="W73" s="78">
        <f t="shared" si="0"/>
        <v>71787.420815999998</v>
      </c>
      <c r="X73" s="80">
        <v>3</v>
      </c>
      <c r="Y73" s="78">
        <v>3</v>
      </c>
      <c r="Z73" s="80">
        <f t="shared" si="1"/>
        <v>0</v>
      </c>
      <c r="AA73" s="80">
        <f t="shared" si="2"/>
        <v>0</v>
      </c>
      <c r="AB73" s="80">
        <f t="shared" si="3"/>
        <v>58520.759999999995</v>
      </c>
      <c r="AC73" s="80"/>
      <c r="AD73">
        <v>0.1</v>
      </c>
      <c r="AE73" s="78">
        <f t="shared" si="4"/>
        <v>1950.692</v>
      </c>
      <c r="AF73">
        <v>0.2</v>
      </c>
      <c r="AG73" s="78">
        <f t="shared" si="5"/>
        <v>3901.384</v>
      </c>
    </row>
    <row r="74" spans="1:33" ht="16.5" customHeight="1" x14ac:dyDescent="0.2">
      <c r="A74" s="102"/>
      <c r="B74" s="87"/>
      <c r="C74" s="122" t="s">
        <v>82</v>
      </c>
      <c r="D74" s="109">
        <v>1</v>
      </c>
      <c r="E74" s="73"/>
      <c r="F74" s="74"/>
      <c r="G74" s="74"/>
      <c r="H74" s="74">
        <v>9212.35</v>
      </c>
      <c r="I74" s="74">
        <f>H74*$I$12</f>
        <v>10133.585000000001</v>
      </c>
      <c r="J74" s="74">
        <v>10741.600100000001</v>
      </c>
      <c r="K74" s="74">
        <f>ROUND('ПРОЕКТ с 01.02.2023'!K74*1.09,2)</f>
        <v>19506.919999999998</v>
      </c>
      <c r="L74" s="75" t="s">
        <v>87</v>
      </c>
      <c r="M74" s="83">
        <v>30</v>
      </c>
      <c r="N74" s="76"/>
      <c r="O74" s="78">
        <f t="shared" si="42"/>
        <v>5852.08</v>
      </c>
      <c r="P74" s="78">
        <f t="shared" si="47"/>
        <v>22237.89</v>
      </c>
      <c r="Q74" s="78">
        <f t="shared" si="43"/>
        <v>30040.656799999997</v>
      </c>
      <c r="R74" s="79">
        <f t="shared" si="44"/>
        <v>77637.546799999996</v>
      </c>
      <c r="S74" s="78">
        <f t="shared" si="45"/>
        <v>4876.7299999999996</v>
      </c>
      <c r="T74" s="78">
        <v>1.54</v>
      </c>
      <c r="U74" s="78">
        <f t="shared" si="46"/>
        <v>82514.276799999992</v>
      </c>
      <c r="V74" s="79">
        <f t="shared" si="15"/>
        <v>67544.665716000003</v>
      </c>
      <c r="W74" s="78">
        <f t="shared" si="0"/>
        <v>71787.420815999998</v>
      </c>
      <c r="X74" s="80">
        <v>3</v>
      </c>
      <c r="Y74" s="78">
        <v>0</v>
      </c>
      <c r="Z74" s="80">
        <f t="shared" si="1"/>
        <v>3</v>
      </c>
      <c r="AA74" s="80">
        <f t="shared" si="2"/>
        <v>58520.759999999995</v>
      </c>
      <c r="AB74" s="80">
        <f t="shared" si="3"/>
        <v>0</v>
      </c>
      <c r="AC74" s="80"/>
      <c r="AD74">
        <v>0.1</v>
      </c>
      <c r="AE74" s="78">
        <f t="shared" si="4"/>
        <v>1950.692</v>
      </c>
      <c r="AF74">
        <v>0.2</v>
      </c>
      <c r="AG74" s="78">
        <f t="shared" si="5"/>
        <v>3901.384</v>
      </c>
    </row>
    <row r="75" spans="1:33" ht="16.5" customHeight="1" x14ac:dyDescent="0.2">
      <c r="A75" s="102"/>
      <c r="B75" s="87"/>
      <c r="C75" s="120" t="s">
        <v>45</v>
      </c>
      <c r="D75" s="109">
        <v>1</v>
      </c>
      <c r="E75" s="73"/>
      <c r="F75" s="74"/>
      <c r="G75" s="74"/>
      <c r="H75" s="74"/>
      <c r="I75" s="74"/>
      <c r="J75" s="74"/>
      <c r="K75" s="74">
        <f>ROUND('ПРОЕКТ с 01.02.2023'!K75*1.09,2)</f>
        <v>19506.919999999998</v>
      </c>
      <c r="L75" s="75" t="s">
        <v>220</v>
      </c>
      <c r="M75" s="83">
        <v>20</v>
      </c>
      <c r="N75" s="76"/>
      <c r="O75" s="78">
        <f t="shared" si="42"/>
        <v>3901.38</v>
      </c>
      <c r="P75" s="78">
        <f t="shared" si="47"/>
        <v>22237.89</v>
      </c>
      <c r="Q75" s="78">
        <f t="shared" si="43"/>
        <v>30040.656799999997</v>
      </c>
      <c r="R75" s="79">
        <f t="shared" si="44"/>
        <v>75686.846799999999</v>
      </c>
      <c r="S75" s="78">
        <f t="shared" si="45"/>
        <v>4876.7299999999996</v>
      </c>
      <c r="T75" s="78">
        <v>1.54</v>
      </c>
      <c r="U75" s="78">
        <f t="shared" si="46"/>
        <v>80563.576799999995</v>
      </c>
      <c r="V75" s="79">
        <f t="shared" si="15"/>
        <v>65847.556715999992</v>
      </c>
      <c r="W75" s="78">
        <f t="shared" si="0"/>
        <v>70090.311816000001</v>
      </c>
      <c r="X75" s="80">
        <v>3</v>
      </c>
      <c r="Y75" s="78">
        <v>3</v>
      </c>
      <c r="Z75" s="80">
        <f t="shared" si="1"/>
        <v>0</v>
      </c>
      <c r="AA75" s="80">
        <f t="shared" si="2"/>
        <v>0</v>
      </c>
      <c r="AB75" s="80">
        <f t="shared" si="3"/>
        <v>58520.759999999995</v>
      </c>
      <c r="AC75" s="80"/>
      <c r="AD75">
        <v>0.1</v>
      </c>
      <c r="AE75" s="78">
        <f t="shared" si="4"/>
        <v>1950.692</v>
      </c>
      <c r="AF75">
        <v>0.2</v>
      </c>
      <c r="AG75" s="78">
        <f t="shared" si="5"/>
        <v>3901.384</v>
      </c>
    </row>
    <row r="76" spans="1:33" ht="16.5" customHeight="1" x14ac:dyDescent="0.2">
      <c r="A76" s="102"/>
      <c r="B76" s="87"/>
      <c r="C76" s="120" t="s">
        <v>45</v>
      </c>
      <c r="D76" s="109">
        <v>1</v>
      </c>
      <c r="E76" s="73"/>
      <c r="F76" s="74"/>
      <c r="G76" s="74"/>
      <c r="H76" s="74">
        <v>9212.35</v>
      </c>
      <c r="I76" s="74">
        <f>H76*$I$12</f>
        <v>10133.585000000001</v>
      </c>
      <c r="J76" s="74">
        <v>10741.600100000001</v>
      </c>
      <c r="K76" s="74">
        <f>ROUND('ПРОЕКТ с 01.02.2023'!K76*1.09,2)</f>
        <v>19506.919999999998</v>
      </c>
      <c r="L76" s="75" t="s">
        <v>222</v>
      </c>
      <c r="M76" s="83">
        <v>30</v>
      </c>
      <c r="N76" s="76"/>
      <c r="O76" s="78">
        <f t="shared" si="42"/>
        <v>5852.08</v>
      </c>
      <c r="P76" s="78">
        <f>ROUND(K76*1.14,2)</f>
        <v>22237.89</v>
      </c>
      <c r="Q76" s="78">
        <f t="shared" si="43"/>
        <v>30040.656799999997</v>
      </c>
      <c r="R76" s="79">
        <f t="shared" si="44"/>
        <v>77637.546799999996</v>
      </c>
      <c r="S76" s="78">
        <f t="shared" si="45"/>
        <v>4876.7299999999996</v>
      </c>
      <c r="T76" s="78">
        <v>1.54</v>
      </c>
      <c r="U76" s="78">
        <f t="shared" si="46"/>
        <v>82514.276799999992</v>
      </c>
      <c r="V76" s="79">
        <f t="shared" si="15"/>
        <v>67544.665716000003</v>
      </c>
      <c r="W76" s="78">
        <f t="shared" si="0"/>
        <v>71787.420815999998</v>
      </c>
      <c r="X76" s="80">
        <v>3</v>
      </c>
      <c r="Y76" s="78"/>
      <c r="Z76" s="80">
        <f t="shared" si="1"/>
        <v>3</v>
      </c>
      <c r="AA76" s="80">
        <f t="shared" si="2"/>
        <v>58520.759999999995</v>
      </c>
      <c r="AB76" s="80">
        <f t="shared" si="3"/>
        <v>0</v>
      </c>
      <c r="AC76" s="80"/>
      <c r="AD76">
        <v>0.1</v>
      </c>
      <c r="AE76" s="78">
        <f t="shared" si="4"/>
        <v>1950.692</v>
      </c>
      <c r="AF76">
        <v>0.2</v>
      </c>
      <c r="AG76" s="78">
        <f t="shared" si="5"/>
        <v>3901.384</v>
      </c>
    </row>
    <row r="77" spans="1:33" ht="16.5" hidden="1" customHeight="1" x14ac:dyDescent="0.2">
      <c r="A77" s="102"/>
      <c r="B77" s="215"/>
      <c r="C77" s="120" t="s">
        <v>70</v>
      </c>
      <c r="D77" s="109">
        <v>0</v>
      </c>
      <c r="E77" s="73"/>
      <c r="F77" s="74"/>
      <c r="G77" s="74"/>
      <c r="H77" s="74"/>
      <c r="I77" s="74"/>
      <c r="J77" s="74"/>
      <c r="K77" s="74">
        <f>ROUND('ПРОЕКТ с 01.02.2023'!K77*1.09,2)</f>
        <v>0</v>
      </c>
      <c r="L77" s="75"/>
      <c r="M77" s="83">
        <v>10</v>
      </c>
      <c r="N77" s="76"/>
      <c r="O77" s="78">
        <f t="shared" si="42"/>
        <v>0</v>
      </c>
      <c r="P77" s="78">
        <f>ROUND(K77*1.14,2)</f>
        <v>0</v>
      </c>
      <c r="Q77" s="78">
        <f t="shared" si="43"/>
        <v>0</v>
      </c>
      <c r="R77" s="79">
        <f t="shared" si="44"/>
        <v>0</v>
      </c>
      <c r="S77" s="78">
        <f t="shared" si="45"/>
        <v>0</v>
      </c>
      <c r="T77" s="78">
        <v>2.54</v>
      </c>
      <c r="U77" s="78">
        <f t="shared" si="46"/>
        <v>0</v>
      </c>
      <c r="V77" s="79">
        <f t="shared" si="15"/>
        <v>0</v>
      </c>
      <c r="W77" s="78">
        <f t="shared" si="0"/>
        <v>0</v>
      </c>
      <c r="X77" s="80">
        <v>4</v>
      </c>
      <c r="Y77" s="78"/>
      <c r="Z77" s="80"/>
      <c r="AA77" s="80"/>
      <c r="AB77" s="80"/>
      <c r="AC77" s="80"/>
      <c r="AE77" s="78"/>
      <c r="AG77" s="78"/>
    </row>
    <row r="78" spans="1:33" ht="16.5" hidden="1" customHeight="1" x14ac:dyDescent="0.2">
      <c r="A78" s="102"/>
      <c r="B78" s="215"/>
      <c r="C78" s="120" t="s">
        <v>70</v>
      </c>
      <c r="D78" s="109">
        <v>0</v>
      </c>
      <c r="E78" s="73"/>
      <c r="F78" s="74"/>
      <c r="G78" s="74"/>
      <c r="H78" s="74"/>
      <c r="I78" s="74"/>
      <c r="J78" s="74"/>
      <c r="K78" s="74">
        <f>ROUND('ПРОЕКТ с 01.02.2023'!K78*1.09,2)</f>
        <v>0</v>
      </c>
      <c r="L78" s="75"/>
      <c r="M78" s="83">
        <v>15</v>
      </c>
      <c r="N78" s="76"/>
      <c r="O78" s="78">
        <f t="shared" si="42"/>
        <v>0</v>
      </c>
      <c r="P78" s="78">
        <f>ROUND(K78*1.14,2)</f>
        <v>0</v>
      </c>
      <c r="Q78" s="78">
        <f t="shared" si="43"/>
        <v>0</v>
      </c>
      <c r="R78" s="79">
        <f t="shared" si="44"/>
        <v>0</v>
      </c>
      <c r="S78" s="78">
        <f t="shared" si="45"/>
        <v>0</v>
      </c>
      <c r="T78" s="78">
        <v>3.54</v>
      </c>
      <c r="U78" s="78">
        <f t="shared" si="46"/>
        <v>0</v>
      </c>
      <c r="V78" s="79">
        <f t="shared" si="15"/>
        <v>0</v>
      </c>
      <c r="W78" s="78">
        <f t="shared" si="0"/>
        <v>0</v>
      </c>
      <c r="X78" s="80">
        <v>5</v>
      </c>
      <c r="Y78" s="78"/>
      <c r="Z78" s="80"/>
      <c r="AA78" s="80"/>
      <c r="AB78" s="80"/>
      <c r="AC78" s="80"/>
      <c r="AE78" s="78"/>
      <c r="AG78" s="78"/>
    </row>
    <row r="79" spans="1:33" ht="16.5" customHeight="1" x14ac:dyDescent="0.2">
      <c r="A79" s="102"/>
      <c r="B79" s="87"/>
      <c r="C79" s="120" t="s">
        <v>70</v>
      </c>
      <c r="D79" s="109">
        <v>1</v>
      </c>
      <c r="E79" s="73"/>
      <c r="F79" s="74"/>
      <c r="G79" s="74"/>
      <c r="H79" s="74"/>
      <c r="I79" s="74"/>
      <c r="J79" s="74"/>
      <c r="K79" s="74">
        <f>ROUND('ПРОЕКТ с 01.02.2023'!K79*1.09,2)</f>
        <v>16805.98</v>
      </c>
      <c r="L79" s="75" t="s">
        <v>226</v>
      </c>
      <c r="M79" s="83">
        <v>0</v>
      </c>
      <c r="N79" s="76"/>
      <c r="O79" s="78">
        <f t="shared" si="42"/>
        <v>0</v>
      </c>
      <c r="P79" s="78">
        <f>ROUND(K79*1.14,2)</f>
        <v>19158.82</v>
      </c>
      <c r="Q79" s="78">
        <f>K79*T79</f>
        <v>24200.611199999999</v>
      </c>
      <c r="R79" s="79">
        <f t="shared" si="44"/>
        <v>60165.411200000002</v>
      </c>
      <c r="S79" s="78">
        <f t="shared" si="45"/>
        <v>4201.5</v>
      </c>
      <c r="T79" s="78">
        <v>1.44</v>
      </c>
      <c r="U79" s="78">
        <f t="shared" si="46"/>
        <v>64366.911200000002</v>
      </c>
      <c r="V79" s="79">
        <f t="shared" si="15"/>
        <v>52343.907744000004</v>
      </c>
      <c r="W79" s="78">
        <f t="shared" si="0"/>
        <v>55999.212744000004</v>
      </c>
      <c r="X79" s="80">
        <v>6</v>
      </c>
      <c r="Y79" s="78"/>
      <c r="Z79" s="80"/>
      <c r="AA79" s="80"/>
      <c r="AB79" s="80"/>
      <c r="AC79" s="80"/>
      <c r="AE79" s="78"/>
      <c r="AG79" s="78"/>
    </row>
    <row r="80" spans="1:33" ht="16.5" customHeight="1" x14ac:dyDescent="0.2">
      <c r="A80" s="102"/>
      <c r="B80" s="87"/>
      <c r="C80" s="107" t="s">
        <v>150</v>
      </c>
      <c r="D80" s="109">
        <v>1</v>
      </c>
      <c r="E80" s="73"/>
      <c r="F80" s="74"/>
      <c r="G80" s="74"/>
      <c r="H80" s="74"/>
      <c r="I80" s="74"/>
      <c r="J80" s="74"/>
      <c r="K80" s="74">
        <f>ROUND('ПРОЕКТ с 01.02.2023'!K80*1.09,2)</f>
        <v>19506.919999999998</v>
      </c>
      <c r="L80" s="75" t="s">
        <v>233</v>
      </c>
      <c r="M80" s="83">
        <v>30</v>
      </c>
      <c r="N80" s="76"/>
      <c r="O80" s="78">
        <f t="shared" si="42"/>
        <v>5852.08</v>
      </c>
      <c r="P80" s="78">
        <f>ROUND(K80*1.14,2)</f>
        <v>22237.89</v>
      </c>
      <c r="Q80" s="78">
        <f>K80*T80</f>
        <v>30040.656799999997</v>
      </c>
      <c r="R80" s="79">
        <f t="shared" si="44"/>
        <v>77637.546799999996</v>
      </c>
      <c r="S80" s="78">
        <f t="shared" si="45"/>
        <v>4876.7299999999996</v>
      </c>
      <c r="T80" s="78">
        <v>1.54</v>
      </c>
      <c r="U80" s="78">
        <f t="shared" si="46"/>
        <v>82514.276799999992</v>
      </c>
      <c r="V80" s="79">
        <f t="shared" si="15"/>
        <v>67544.665716000003</v>
      </c>
      <c r="W80" s="78">
        <f t="shared" si="0"/>
        <v>71787.420815999998</v>
      </c>
      <c r="X80" s="80"/>
      <c r="Y80" s="78"/>
      <c r="Z80" s="80"/>
      <c r="AA80" s="80"/>
      <c r="AB80" s="80"/>
      <c r="AC80" s="80"/>
      <c r="AE80" s="78"/>
      <c r="AG80" s="78"/>
    </row>
    <row r="81" spans="1:34" ht="15.75" customHeight="1" x14ac:dyDescent="0.2">
      <c r="A81" s="102"/>
      <c r="B81" s="87"/>
      <c r="C81" s="87" t="s">
        <v>51</v>
      </c>
      <c r="D81" s="88">
        <f>SUM(D64:D80)</f>
        <v>15</v>
      </c>
      <c r="E81" s="88">
        <f t="shared" ref="E81:J81" si="48">SUM(E64:E71)</f>
        <v>28000</v>
      </c>
      <c r="F81" s="88">
        <f t="shared" si="48"/>
        <v>29700</v>
      </c>
      <c r="G81" s="88">
        <f t="shared" si="48"/>
        <v>35939</v>
      </c>
      <c r="H81" s="88">
        <f t="shared" si="48"/>
        <v>65802.530000000013</v>
      </c>
      <c r="I81" s="88">
        <f t="shared" si="48"/>
        <v>72382.782999999996</v>
      </c>
      <c r="J81" s="88">
        <f t="shared" si="48"/>
        <v>101661.6161</v>
      </c>
      <c r="K81" s="90">
        <f>SUM(K64:K80)</f>
        <v>299506.20999999985</v>
      </c>
      <c r="L81" s="90"/>
      <c r="M81" s="90"/>
      <c r="N81" s="90">
        <f t="shared" ref="N81" si="49">SUM(N64:N76)</f>
        <v>0</v>
      </c>
      <c r="O81" s="90">
        <f>SUM(O64:O80)</f>
        <v>74696.52</v>
      </c>
      <c r="P81" s="90">
        <f>SUM(P64:P80)</f>
        <v>343987.99000000011</v>
      </c>
      <c r="Q81" s="90">
        <f t="shared" ref="Q81:AH81" si="50">SUM(Q64:Q79)</f>
        <v>429518.30859999993</v>
      </c>
      <c r="R81" s="90">
        <f t="shared" si="50"/>
        <v>1100112.1386000002</v>
      </c>
      <c r="S81" s="90">
        <f>SUM(S64:S80)</f>
        <v>74876.559999999969</v>
      </c>
      <c r="T81" s="90">
        <f t="shared" si="50"/>
        <v>27.539999999999996</v>
      </c>
      <c r="U81" s="90">
        <f t="shared" si="50"/>
        <v>1170111.9685999998</v>
      </c>
      <c r="V81" s="90">
        <f t="shared" si="50"/>
        <v>957097.56058200006</v>
      </c>
      <c r="W81" s="90">
        <f t="shared" si="50"/>
        <v>1017997.4126819998</v>
      </c>
      <c r="X81" s="90">
        <f t="shared" si="50"/>
        <v>51</v>
      </c>
      <c r="Y81" s="90">
        <f t="shared" si="50"/>
        <v>23</v>
      </c>
      <c r="Z81" s="90">
        <f t="shared" si="50"/>
        <v>13</v>
      </c>
      <c r="AA81" s="90">
        <f t="shared" si="50"/>
        <v>259592.06</v>
      </c>
      <c r="AB81" s="90">
        <f t="shared" si="50"/>
        <v>471467.11000000004</v>
      </c>
      <c r="AC81" s="90">
        <f t="shared" si="50"/>
        <v>0</v>
      </c>
      <c r="AD81" s="90">
        <f t="shared" si="50"/>
        <v>1.2</v>
      </c>
      <c r="AE81" s="90">
        <f t="shared" si="50"/>
        <v>24368.638999999992</v>
      </c>
      <c r="AF81" s="90">
        <f t="shared" si="50"/>
        <v>2.4</v>
      </c>
      <c r="AG81" s="90">
        <f t="shared" si="50"/>
        <v>48737.277999999984</v>
      </c>
      <c r="AH81" s="90">
        <f t="shared" si="50"/>
        <v>0</v>
      </c>
    </row>
    <row r="82" spans="1:34" ht="25.5" customHeight="1" x14ac:dyDescent="0.2">
      <c r="A82" s="131" t="s">
        <v>88</v>
      </c>
      <c r="B82" s="87"/>
      <c r="C82" s="131"/>
      <c r="D82" s="132"/>
      <c r="E82" s="95"/>
      <c r="F82" s="95"/>
      <c r="G82" s="95"/>
      <c r="H82" s="95"/>
      <c r="I82" s="95"/>
      <c r="J82" s="95"/>
      <c r="K82" s="90"/>
      <c r="L82" s="90"/>
      <c r="M82" s="113"/>
      <c r="N82" s="113"/>
      <c r="O82" s="90"/>
      <c r="P82" s="132"/>
      <c r="Q82" s="95"/>
      <c r="R82" s="79"/>
      <c r="S82" s="90"/>
      <c r="T82" s="132"/>
      <c r="U82" s="90"/>
      <c r="V82" s="115"/>
      <c r="W82" s="90"/>
      <c r="X82" s="80"/>
      <c r="Y82" s="90"/>
      <c r="Z82" s="80"/>
      <c r="AA82" s="80">
        <f t="shared" si="2"/>
        <v>0</v>
      </c>
      <c r="AB82" s="80">
        <f t="shared" si="3"/>
        <v>0</v>
      </c>
      <c r="AC82" s="91"/>
      <c r="AD82">
        <v>0.1</v>
      </c>
      <c r="AE82" s="90"/>
      <c r="AG82" s="90"/>
    </row>
    <row r="83" spans="1:34" x14ac:dyDescent="0.2">
      <c r="A83" s="133"/>
      <c r="B83" s="87"/>
      <c r="C83" s="87" t="s">
        <v>58</v>
      </c>
      <c r="D83" s="109">
        <v>1</v>
      </c>
      <c r="E83" s="73">
        <v>7500</v>
      </c>
      <c r="F83" s="74">
        <f>ROUND(E83*F$12,2)</f>
        <v>8250</v>
      </c>
      <c r="G83" s="74">
        <f>F83*1.1*1.1+0.5</f>
        <v>9983</v>
      </c>
      <c r="H83" s="74">
        <v>12337.98</v>
      </c>
      <c r="I83" s="74">
        <f t="shared" ref="I83:I91" si="51">H83*$I$12</f>
        <v>13571.778</v>
      </c>
      <c r="J83" s="74">
        <v>14386.084680000002</v>
      </c>
      <c r="K83" s="74">
        <f>ROUND('ПРОЕКТ с 01.02.2023'!K83*1.09,2)</f>
        <v>25509.02</v>
      </c>
      <c r="L83" s="75" t="s">
        <v>89</v>
      </c>
      <c r="M83" s="76">
        <v>30</v>
      </c>
      <c r="N83" s="76"/>
      <c r="O83" s="78">
        <f t="shared" ref="O83:O89" si="52">ROUND((K83*M83/100),2)</f>
        <v>7652.71</v>
      </c>
      <c r="P83" s="78">
        <f>ROUND(K83*1.24,2)</f>
        <v>31631.18</v>
      </c>
      <c r="Q83" s="78">
        <f t="shared" ref="Q83:Q91" si="53">K83*T83</f>
        <v>39283.890800000001</v>
      </c>
      <c r="R83" s="79">
        <f t="shared" ref="R83:R91" si="54">K83+O83+P83+Q83</f>
        <v>104076.8008</v>
      </c>
      <c r="S83" s="78">
        <f t="shared" ref="S83:S91" si="55">ROUND(K83*S$12,2)</f>
        <v>6377.26</v>
      </c>
      <c r="T83" s="78">
        <v>1.54</v>
      </c>
      <c r="U83" s="78">
        <f t="shared" ref="U83:U91" si="56">K83+O83+P83+Q83+S83</f>
        <v>110454.06079999999</v>
      </c>
      <c r="V83" s="79">
        <f t="shared" si="15"/>
        <v>90546.816695999994</v>
      </c>
      <c r="W83" s="78">
        <f t="shared" si="0"/>
        <v>96095.03289599999</v>
      </c>
      <c r="X83" s="80">
        <v>3</v>
      </c>
      <c r="Y83" s="78">
        <v>3</v>
      </c>
      <c r="Z83" s="80">
        <f t="shared" si="1"/>
        <v>0</v>
      </c>
      <c r="AA83" s="80">
        <f t="shared" si="2"/>
        <v>0</v>
      </c>
      <c r="AB83" s="80">
        <f t="shared" si="3"/>
        <v>76527.06</v>
      </c>
      <c r="AC83" s="80"/>
      <c r="AD83">
        <v>0.1</v>
      </c>
      <c r="AE83" s="78">
        <f t="shared" si="4"/>
        <v>2550.902</v>
      </c>
      <c r="AF83">
        <v>0.2</v>
      </c>
      <c r="AG83" s="78">
        <f t="shared" si="5"/>
        <v>5101.8040000000001</v>
      </c>
    </row>
    <row r="84" spans="1:34" x14ac:dyDescent="0.2">
      <c r="A84" s="133"/>
      <c r="B84" s="87"/>
      <c r="C84" s="122" t="s">
        <v>60</v>
      </c>
      <c r="D84" s="72">
        <v>1</v>
      </c>
      <c r="E84" s="73"/>
      <c r="F84" s="74"/>
      <c r="G84" s="74"/>
      <c r="H84" s="74">
        <v>10692.91</v>
      </c>
      <c r="I84" s="74">
        <f>H84*$I$12</f>
        <v>11762.201000000001</v>
      </c>
      <c r="J84" s="74">
        <v>12467.933060000001</v>
      </c>
      <c r="K84" s="74">
        <f>ROUND('ПРОЕКТ с 01.02.2023'!K84*1.09,2)</f>
        <v>23108.17</v>
      </c>
      <c r="L84" s="75" t="s">
        <v>192</v>
      </c>
      <c r="M84" s="83">
        <v>30</v>
      </c>
      <c r="N84" s="76"/>
      <c r="O84" s="78">
        <f>ROUND((K84*M84/100),2)</f>
        <v>6932.45</v>
      </c>
      <c r="P84" s="78">
        <f>ROUND(K84*1.14,2)</f>
        <v>26343.31</v>
      </c>
      <c r="Q84" s="78">
        <f>K84*T84</f>
        <v>35586.5818</v>
      </c>
      <c r="R84" s="79">
        <f>K84+O84+P84+Q84</f>
        <v>91970.511800000007</v>
      </c>
      <c r="S84" s="78">
        <f>ROUND(K84*S$12,2)</f>
        <v>5777.04</v>
      </c>
      <c r="T84" s="78">
        <v>1.54</v>
      </c>
      <c r="U84" s="78">
        <f>K84+O84+P84+Q84+S84</f>
        <v>97747.551800000001</v>
      </c>
      <c r="V84" s="79">
        <f>R84*0.87</f>
        <v>80014.345266000004</v>
      </c>
      <c r="W84" s="78">
        <f>U84*0.87</f>
        <v>85040.370066000003</v>
      </c>
      <c r="X84" s="80"/>
      <c r="Y84" s="78"/>
      <c r="Z84" s="80"/>
      <c r="AA84" s="80"/>
      <c r="AB84" s="80"/>
      <c r="AC84" s="80"/>
      <c r="AE84" s="78"/>
      <c r="AG84" s="78"/>
    </row>
    <row r="85" spans="1:34" ht="15" customHeight="1" x14ac:dyDescent="0.2">
      <c r="A85" s="102"/>
      <c r="B85" s="131"/>
      <c r="C85" s="131" t="s">
        <v>90</v>
      </c>
      <c r="D85" s="109">
        <v>1</v>
      </c>
      <c r="E85" s="73">
        <v>6500</v>
      </c>
      <c r="F85" s="74">
        <f>ROUND(E85*F$12,2)</f>
        <v>7150</v>
      </c>
      <c r="G85" s="74">
        <f>F85*1.1*1.1+0.5</f>
        <v>8652.0000000000018</v>
      </c>
      <c r="H85" s="74">
        <v>10692.91</v>
      </c>
      <c r="I85" s="74">
        <f t="shared" si="51"/>
        <v>11762.201000000001</v>
      </c>
      <c r="J85" s="74">
        <v>12467.933060000001</v>
      </c>
      <c r="K85" s="74">
        <f>ROUND('ПРОЕКТ с 01.02.2023'!K85*1.09,2)</f>
        <v>19506.919999999998</v>
      </c>
      <c r="L85" s="75" t="s">
        <v>194</v>
      </c>
      <c r="M85" s="83">
        <v>30</v>
      </c>
      <c r="N85" s="76"/>
      <c r="O85" s="78">
        <f>ROUND((K85*M85/100),2)</f>
        <v>5852.08</v>
      </c>
      <c r="P85" s="78">
        <f t="shared" ref="P85:P91" si="57">ROUND(K85*1.14,2)</f>
        <v>22237.89</v>
      </c>
      <c r="Q85" s="78">
        <f t="shared" si="53"/>
        <v>30040.656799999997</v>
      </c>
      <c r="R85" s="79">
        <f t="shared" si="54"/>
        <v>77637.546799999996</v>
      </c>
      <c r="S85" s="78">
        <f t="shared" si="55"/>
        <v>4876.7299999999996</v>
      </c>
      <c r="T85" s="78">
        <v>1.54</v>
      </c>
      <c r="U85" s="78">
        <f t="shared" si="56"/>
        <v>82514.276799999992</v>
      </c>
      <c r="V85" s="79">
        <f t="shared" si="15"/>
        <v>67544.665716000003</v>
      </c>
      <c r="W85" s="78">
        <f t="shared" si="0"/>
        <v>71787.420815999998</v>
      </c>
      <c r="X85" s="80">
        <v>3</v>
      </c>
      <c r="Y85" s="78">
        <v>3</v>
      </c>
      <c r="Z85" s="80">
        <f t="shared" si="1"/>
        <v>0</v>
      </c>
      <c r="AA85" s="80">
        <f t="shared" si="2"/>
        <v>0</v>
      </c>
      <c r="AB85" s="80">
        <f t="shared" si="3"/>
        <v>58520.759999999995</v>
      </c>
      <c r="AC85" s="80"/>
      <c r="AD85">
        <v>0.1</v>
      </c>
      <c r="AE85" s="78">
        <f t="shared" si="4"/>
        <v>1950.692</v>
      </c>
      <c r="AF85">
        <v>0.2</v>
      </c>
      <c r="AG85" s="78">
        <f t="shared" si="5"/>
        <v>3901.384</v>
      </c>
    </row>
    <row r="86" spans="1:34" ht="12.75" customHeight="1" x14ac:dyDescent="0.2">
      <c r="A86" s="102"/>
      <c r="B86" s="107"/>
      <c r="C86" s="131" t="s">
        <v>90</v>
      </c>
      <c r="D86" s="109">
        <v>1</v>
      </c>
      <c r="E86" s="73">
        <v>6500</v>
      </c>
      <c r="F86" s="74">
        <f>ROUND(E86*F$12,2)</f>
        <v>7150</v>
      </c>
      <c r="G86" s="74">
        <f>F86*1.1*1.1+0.5</f>
        <v>8652.0000000000018</v>
      </c>
      <c r="H86" s="74">
        <v>10692.91</v>
      </c>
      <c r="I86" s="74">
        <f t="shared" si="51"/>
        <v>11762.201000000001</v>
      </c>
      <c r="J86" s="74">
        <v>12467.933060000001</v>
      </c>
      <c r="K86" s="74">
        <f>ROUND('ПРОЕКТ с 01.02.2023'!K86*1.09,2)</f>
        <v>19506.919999999998</v>
      </c>
      <c r="L86" s="75" t="s">
        <v>92</v>
      </c>
      <c r="M86" s="83">
        <v>30</v>
      </c>
      <c r="N86" s="76"/>
      <c r="O86" s="78">
        <f t="shared" si="52"/>
        <v>5852.08</v>
      </c>
      <c r="P86" s="78">
        <f t="shared" si="57"/>
        <v>22237.89</v>
      </c>
      <c r="Q86" s="78">
        <f t="shared" si="53"/>
        <v>30040.656799999997</v>
      </c>
      <c r="R86" s="79">
        <f t="shared" si="54"/>
        <v>77637.546799999996</v>
      </c>
      <c r="S86" s="78">
        <f t="shared" si="55"/>
        <v>4876.7299999999996</v>
      </c>
      <c r="T86" s="78">
        <v>1.54</v>
      </c>
      <c r="U86" s="78">
        <f t="shared" si="56"/>
        <v>82514.276799999992</v>
      </c>
      <c r="V86" s="79">
        <f t="shared" si="15"/>
        <v>67544.665716000003</v>
      </c>
      <c r="W86" s="78">
        <f t="shared" si="0"/>
        <v>71787.420815999998</v>
      </c>
      <c r="X86" s="80">
        <v>3</v>
      </c>
      <c r="Y86" s="78">
        <v>3</v>
      </c>
      <c r="Z86" s="80">
        <f t="shared" si="1"/>
        <v>0</v>
      </c>
      <c r="AA86" s="80">
        <f t="shared" si="2"/>
        <v>0</v>
      </c>
      <c r="AB86" s="80">
        <f t="shared" si="3"/>
        <v>58520.759999999995</v>
      </c>
      <c r="AC86" s="80"/>
      <c r="AD86">
        <v>0.1</v>
      </c>
      <c r="AE86" s="78">
        <f t="shared" si="4"/>
        <v>1950.692</v>
      </c>
      <c r="AF86">
        <v>0.2</v>
      </c>
      <c r="AG86" s="78">
        <f t="shared" si="5"/>
        <v>3901.384</v>
      </c>
    </row>
    <row r="87" spans="1:34" ht="12.75" customHeight="1" x14ac:dyDescent="0.2">
      <c r="A87" s="102"/>
      <c r="B87" s="107"/>
      <c r="C87" s="131" t="s">
        <v>90</v>
      </c>
      <c r="D87" s="109">
        <v>1</v>
      </c>
      <c r="E87" s="73">
        <v>6500</v>
      </c>
      <c r="F87" s="74">
        <f>ROUND(E87*F$12,2)</f>
        <v>7150</v>
      </c>
      <c r="G87" s="74">
        <f>F87*1.1*1.1+0.5</f>
        <v>8652.0000000000018</v>
      </c>
      <c r="H87" s="74">
        <v>10692.91</v>
      </c>
      <c r="I87" s="74">
        <f t="shared" si="51"/>
        <v>11762.201000000001</v>
      </c>
      <c r="J87" s="74">
        <v>12467.933060000001</v>
      </c>
      <c r="K87" s="74">
        <f>ROUND('ПРОЕКТ с 01.02.2023'!K87*1.09,2)</f>
        <v>19506.919999999998</v>
      </c>
      <c r="L87" s="75" t="s">
        <v>91</v>
      </c>
      <c r="M87" s="83">
        <v>30</v>
      </c>
      <c r="N87" s="76"/>
      <c r="O87" s="78">
        <f t="shared" si="52"/>
        <v>5852.08</v>
      </c>
      <c r="P87" s="78">
        <f t="shared" si="57"/>
        <v>22237.89</v>
      </c>
      <c r="Q87" s="78">
        <f t="shared" si="53"/>
        <v>30040.656799999997</v>
      </c>
      <c r="R87" s="79">
        <f t="shared" si="54"/>
        <v>77637.546799999996</v>
      </c>
      <c r="S87" s="78">
        <f t="shared" si="55"/>
        <v>4876.7299999999996</v>
      </c>
      <c r="T87" s="78">
        <v>1.54</v>
      </c>
      <c r="U87" s="78">
        <f t="shared" si="56"/>
        <v>82514.276799999992</v>
      </c>
      <c r="V87" s="79">
        <f t="shared" si="15"/>
        <v>67544.665716000003</v>
      </c>
      <c r="W87" s="78">
        <f t="shared" si="0"/>
        <v>71787.420815999998</v>
      </c>
      <c r="X87" s="80">
        <v>3</v>
      </c>
      <c r="Y87" s="78"/>
      <c r="Z87" s="80">
        <f t="shared" si="1"/>
        <v>3</v>
      </c>
      <c r="AA87" s="80">
        <f t="shared" si="2"/>
        <v>58520.759999999995</v>
      </c>
      <c r="AB87" s="80">
        <f t="shared" si="3"/>
        <v>0</v>
      </c>
      <c r="AC87" s="80"/>
      <c r="AD87">
        <v>0.1</v>
      </c>
      <c r="AE87" s="78">
        <f t="shared" si="4"/>
        <v>1950.692</v>
      </c>
      <c r="AF87">
        <v>0.2</v>
      </c>
      <c r="AG87" s="78">
        <f t="shared" si="5"/>
        <v>3901.384</v>
      </c>
    </row>
    <row r="88" spans="1:34" ht="12.75" customHeight="1" x14ac:dyDescent="0.2">
      <c r="A88" s="102"/>
      <c r="B88" s="107"/>
      <c r="C88" s="131" t="s">
        <v>90</v>
      </c>
      <c r="D88" s="109">
        <v>1</v>
      </c>
      <c r="E88" s="73"/>
      <c r="F88" s="74"/>
      <c r="G88" s="74"/>
      <c r="H88" s="74"/>
      <c r="I88" s="74"/>
      <c r="J88" s="74"/>
      <c r="K88" s="74">
        <f>ROUND('ПРОЕКТ с 01.02.2023'!K88*1.09,2)</f>
        <v>19506.919999999998</v>
      </c>
      <c r="L88" s="75" t="s">
        <v>199</v>
      </c>
      <c r="M88" s="83">
        <v>30</v>
      </c>
      <c r="N88" s="76"/>
      <c r="O88" s="78">
        <f t="shared" si="52"/>
        <v>5852.08</v>
      </c>
      <c r="P88" s="78">
        <f t="shared" si="57"/>
        <v>22237.89</v>
      </c>
      <c r="Q88" s="78">
        <f t="shared" si="53"/>
        <v>30040.656799999997</v>
      </c>
      <c r="R88" s="79">
        <f t="shared" si="54"/>
        <v>77637.546799999996</v>
      </c>
      <c r="S88" s="78">
        <f t="shared" si="55"/>
        <v>4876.7299999999996</v>
      </c>
      <c r="T88" s="78">
        <v>1.54</v>
      </c>
      <c r="U88" s="78">
        <f t="shared" si="56"/>
        <v>82514.276799999992</v>
      </c>
      <c r="V88" s="79">
        <f t="shared" si="15"/>
        <v>67544.665716000003</v>
      </c>
      <c r="W88" s="78">
        <f t="shared" si="0"/>
        <v>71787.420815999998</v>
      </c>
      <c r="X88" s="80"/>
      <c r="Y88" s="78"/>
      <c r="Z88" s="80"/>
      <c r="AA88" s="80"/>
      <c r="AB88" s="80">
        <f t="shared" si="3"/>
        <v>0</v>
      </c>
      <c r="AC88" s="80"/>
      <c r="AE88" s="78"/>
      <c r="AG88" s="78"/>
    </row>
    <row r="89" spans="1:34" ht="12.75" customHeight="1" x14ac:dyDescent="0.2">
      <c r="A89" s="102"/>
      <c r="B89" s="107"/>
      <c r="C89" s="120" t="s">
        <v>48</v>
      </c>
      <c r="D89" s="109">
        <v>1</v>
      </c>
      <c r="E89" s="73"/>
      <c r="F89" s="74"/>
      <c r="G89" s="74"/>
      <c r="H89" s="74">
        <v>9212.35</v>
      </c>
      <c r="I89" s="74">
        <f t="shared" si="51"/>
        <v>10133.585000000001</v>
      </c>
      <c r="J89" s="74">
        <v>10741.600100000001</v>
      </c>
      <c r="K89" s="74">
        <f>ROUND('ПРОЕКТ с 01.02.2023'!K89*1.09,2)</f>
        <v>16805.98</v>
      </c>
      <c r="L89" s="75" t="s">
        <v>198</v>
      </c>
      <c r="M89" s="83">
        <v>30</v>
      </c>
      <c r="N89" s="76"/>
      <c r="O89" s="78">
        <f t="shared" si="52"/>
        <v>5041.79</v>
      </c>
      <c r="P89" s="78">
        <f t="shared" si="57"/>
        <v>19158.82</v>
      </c>
      <c r="Q89" s="78">
        <f t="shared" si="53"/>
        <v>24200.611199999999</v>
      </c>
      <c r="R89" s="79">
        <f t="shared" si="54"/>
        <v>65207.201199999996</v>
      </c>
      <c r="S89" s="78">
        <f t="shared" si="55"/>
        <v>4201.5</v>
      </c>
      <c r="T89" s="78">
        <v>1.44</v>
      </c>
      <c r="U89" s="78">
        <f t="shared" si="56"/>
        <v>69408.701199999996</v>
      </c>
      <c r="V89" s="79">
        <f t="shared" si="15"/>
        <v>56730.265044</v>
      </c>
      <c r="W89" s="78">
        <f t="shared" si="0"/>
        <v>60385.570043999993</v>
      </c>
      <c r="X89" s="80">
        <v>3</v>
      </c>
      <c r="Y89" s="78">
        <v>3</v>
      </c>
      <c r="Z89" s="80">
        <f t="shared" si="1"/>
        <v>0</v>
      </c>
      <c r="AA89" s="80">
        <f t="shared" si="2"/>
        <v>0</v>
      </c>
      <c r="AB89" s="80">
        <f t="shared" si="3"/>
        <v>50417.94</v>
      </c>
      <c r="AC89" s="80"/>
      <c r="AD89">
        <v>0.1</v>
      </c>
      <c r="AE89" s="78">
        <f t="shared" si="4"/>
        <v>1680.598</v>
      </c>
      <c r="AF89">
        <v>0.2</v>
      </c>
      <c r="AG89" s="78">
        <f t="shared" si="5"/>
        <v>3361.1959999999999</v>
      </c>
    </row>
    <row r="90" spans="1:34" ht="12.75" hidden="1" customHeight="1" x14ac:dyDescent="0.2">
      <c r="A90" s="102"/>
      <c r="B90" s="107"/>
      <c r="C90" s="120" t="s">
        <v>48</v>
      </c>
      <c r="D90" s="109">
        <v>0</v>
      </c>
      <c r="E90" s="73"/>
      <c r="F90" s="74"/>
      <c r="G90" s="74"/>
      <c r="H90" s="74">
        <v>9212.35</v>
      </c>
      <c r="I90" s="74">
        <f t="shared" si="51"/>
        <v>10133.585000000001</v>
      </c>
      <c r="J90" s="74">
        <v>10741.600100000001</v>
      </c>
      <c r="K90" s="74">
        <f>ROUND('ПРОЕКТ с 01.02.2023'!K90*1.09,2)</f>
        <v>0</v>
      </c>
      <c r="M90" s="83">
        <v>0</v>
      </c>
      <c r="N90" s="76"/>
      <c r="O90" s="78">
        <f>ROUND((K90*M90/100),2)</f>
        <v>0</v>
      </c>
      <c r="P90" s="78">
        <f t="shared" si="57"/>
        <v>0</v>
      </c>
      <c r="Q90" s="78">
        <f t="shared" si="53"/>
        <v>0</v>
      </c>
      <c r="R90" s="79">
        <f t="shared" si="54"/>
        <v>0</v>
      </c>
      <c r="S90" s="78">
        <f t="shared" si="55"/>
        <v>0</v>
      </c>
      <c r="T90" s="78">
        <v>1.44</v>
      </c>
      <c r="U90" s="78">
        <f t="shared" si="56"/>
        <v>0</v>
      </c>
      <c r="V90" s="79">
        <f t="shared" si="15"/>
        <v>0</v>
      </c>
      <c r="W90" s="78">
        <f t="shared" si="0"/>
        <v>0</v>
      </c>
      <c r="X90" s="80">
        <v>3</v>
      </c>
      <c r="Y90" s="78"/>
      <c r="Z90" s="80">
        <f t="shared" si="1"/>
        <v>3</v>
      </c>
      <c r="AA90" s="80">
        <f t="shared" si="2"/>
        <v>0</v>
      </c>
      <c r="AB90" s="80">
        <f t="shared" si="3"/>
        <v>0</v>
      </c>
      <c r="AC90" s="80"/>
      <c r="AD90">
        <v>0.1</v>
      </c>
      <c r="AE90" s="78">
        <f t="shared" si="4"/>
        <v>0</v>
      </c>
      <c r="AF90">
        <v>0.2</v>
      </c>
      <c r="AG90" s="78">
        <f t="shared" si="5"/>
        <v>0</v>
      </c>
    </row>
    <row r="91" spans="1:34" ht="12.75" customHeight="1" x14ac:dyDescent="0.2">
      <c r="A91" s="102"/>
      <c r="B91" s="107"/>
      <c r="C91" s="120" t="s">
        <v>48</v>
      </c>
      <c r="D91" s="109">
        <v>1</v>
      </c>
      <c r="E91" s="73"/>
      <c r="F91" s="74"/>
      <c r="G91" s="74"/>
      <c r="H91" s="74">
        <v>9212.35</v>
      </c>
      <c r="I91" s="74">
        <f t="shared" si="51"/>
        <v>10133.585000000001</v>
      </c>
      <c r="J91" s="74">
        <v>10741.600100000001</v>
      </c>
      <c r="K91" s="74">
        <f>ROUND('ПРОЕКТ с 01.02.2023'!K91*1.09,2)</f>
        <v>16805.98</v>
      </c>
      <c r="L91" s="75" t="s">
        <v>200</v>
      </c>
      <c r="M91" s="145">
        <v>30</v>
      </c>
      <c r="N91" s="76"/>
      <c r="O91" s="78">
        <f>ROUND((K91*M91/100),2)</f>
        <v>5041.79</v>
      </c>
      <c r="P91" s="78">
        <f t="shared" si="57"/>
        <v>19158.82</v>
      </c>
      <c r="Q91" s="78">
        <f t="shared" si="53"/>
        <v>24200.611199999999</v>
      </c>
      <c r="R91" s="79">
        <f t="shared" si="54"/>
        <v>65207.201199999996</v>
      </c>
      <c r="S91" s="78">
        <f t="shared" si="55"/>
        <v>4201.5</v>
      </c>
      <c r="T91" s="78">
        <v>1.44</v>
      </c>
      <c r="U91" s="78">
        <f t="shared" si="56"/>
        <v>69408.701199999996</v>
      </c>
      <c r="V91" s="79">
        <f t="shared" ref="V91" si="58">R91*0.87</f>
        <v>56730.265044</v>
      </c>
      <c r="W91" s="78">
        <f t="shared" ref="W91" si="59">U91*0.87</f>
        <v>60385.570043999993</v>
      </c>
      <c r="X91" s="80">
        <v>4</v>
      </c>
      <c r="Y91" s="78"/>
      <c r="Z91" s="80">
        <f t="shared" si="1"/>
        <v>4</v>
      </c>
      <c r="AA91" s="80">
        <f t="shared" si="2"/>
        <v>67223.92</v>
      </c>
      <c r="AB91" s="80">
        <f t="shared" si="3"/>
        <v>0</v>
      </c>
      <c r="AC91" s="80"/>
      <c r="AD91">
        <v>1.1000000000000001</v>
      </c>
      <c r="AE91" s="78">
        <f t="shared" si="4"/>
        <v>18486.578000000001</v>
      </c>
      <c r="AF91">
        <v>1.2</v>
      </c>
      <c r="AG91" s="78">
        <f t="shared" si="5"/>
        <v>20167.175999999999</v>
      </c>
    </row>
    <row r="92" spans="1:34" x14ac:dyDescent="0.2">
      <c r="A92" s="86"/>
      <c r="B92" s="107"/>
      <c r="C92" s="87" t="s">
        <v>51</v>
      </c>
      <c r="D92" s="111">
        <f>SUM(D83:D91)</f>
        <v>8</v>
      </c>
      <c r="E92" s="134">
        <f>SUM(E83:E89)</f>
        <v>27000</v>
      </c>
      <c r="F92" s="134">
        <f>SUM(F83:F89)</f>
        <v>29700</v>
      </c>
      <c r="G92" s="134">
        <f>SUM(G83:G89)</f>
        <v>35939</v>
      </c>
      <c r="H92" s="134">
        <f>SUM(H83:H90)</f>
        <v>73534.320000000007</v>
      </c>
      <c r="I92" s="134">
        <f>SUM(I83:I90)</f>
        <v>80887.752000000008</v>
      </c>
      <c r="J92" s="134">
        <v>73273.084060000008</v>
      </c>
      <c r="K92" s="90">
        <f>SUM(K83:K91)</f>
        <v>160256.83000000002</v>
      </c>
      <c r="L92" s="90"/>
      <c r="M92" s="90"/>
      <c r="N92" s="90">
        <f t="shared" ref="N92" si="60">SUM(N83:N90)</f>
        <v>0</v>
      </c>
      <c r="O92" s="90">
        <f>SUM(O83:O91)</f>
        <v>48077.060000000005</v>
      </c>
      <c r="P92" s="90">
        <f t="shared" ref="P92:W92" si="61">SUM(P83:P91)</f>
        <v>185243.69</v>
      </c>
      <c r="Q92" s="90">
        <f t="shared" si="61"/>
        <v>243434.3222</v>
      </c>
      <c r="R92" s="90">
        <f t="shared" si="61"/>
        <v>637011.90220000001</v>
      </c>
      <c r="S92" s="90">
        <f t="shared" si="61"/>
        <v>40064.22</v>
      </c>
      <c r="T92" s="90">
        <f t="shared" si="61"/>
        <v>13.559999999999999</v>
      </c>
      <c r="U92" s="90">
        <f t="shared" si="61"/>
        <v>677076.12219999998</v>
      </c>
      <c r="V92" s="90">
        <f t="shared" si="61"/>
        <v>554200.35491400003</v>
      </c>
      <c r="W92" s="90">
        <f t="shared" si="61"/>
        <v>589056.22631399985</v>
      </c>
      <c r="X92" s="80"/>
      <c r="Y92" s="90"/>
      <c r="Z92" s="80"/>
      <c r="AA92" s="80">
        <f t="shared" si="2"/>
        <v>0</v>
      </c>
      <c r="AB92" s="80">
        <f t="shared" si="3"/>
        <v>0</v>
      </c>
      <c r="AC92" s="91"/>
      <c r="AD92">
        <v>0.1</v>
      </c>
      <c r="AE92" s="134">
        <f t="shared" si="4"/>
        <v>16025.683000000003</v>
      </c>
      <c r="AF92">
        <v>0.2</v>
      </c>
      <c r="AG92" s="134">
        <f t="shared" si="5"/>
        <v>32051.366000000005</v>
      </c>
    </row>
    <row r="93" spans="1:34" ht="18" customHeight="1" x14ac:dyDescent="0.2">
      <c r="A93" s="86"/>
      <c r="B93" s="87"/>
      <c r="C93" s="70" t="s">
        <v>73</v>
      </c>
      <c r="D93" s="111">
        <f>D81+D92+D61+D62</f>
        <v>25</v>
      </c>
      <c r="E93" s="134">
        <f t="shared" ref="E93:I93" si="62">SUM(E61:E62)+E81+E92</f>
        <v>73300</v>
      </c>
      <c r="F93" s="134">
        <f t="shared" si="62"/>
        <v>79530</v>
      </c>
      <c r="G93" s="134">
        <f t="shared" si="62"/>
        <v>96236</v>
      </c>
      <c r="H93" s="134">
        <f t="shared" si="62"/>
        <v>169441.50000000003</v>
      </c>
      <c r="I93" s="134">
        <f t="shared" si="62"/>
        <v>186385.65000000002</v>
      </c>
      <c r="J93" s="134">
        <v>185100.85594000004</v>
      </c>
      <c r="K93" s="90">
        <f>K92+K81+K61+K62</f>
        <v>518883.98999999987</v>
      </c>
      <c r="L93" s="90"/>
      <c r="M93" s="90"/>
      <c r="N93" s="90">
        <f t="shared" ref="N93" si="63">N92+N81+N61+N62</f>
        <v>0</v>
      </c>
      <c r="O93" s="90">
        <f>O92+O81+O61+O62</f>
        <v>136593.47000000003</v>
      </c>
      <c r="P93" s="90">
        <f t="shared" ref="P93:W93" si="64">P92+P81+P61+P62</f>
        <v>599585.61000000022</v>
      </c>
      <c r="Q93" s="90">
        <f t="shared" si="64"/>
        <v>763998.89379999985</v>
      </c>
      <c r="R93" s="90">
        <f t="shared" si="64"/>
        <v>1971465.0738000001</v>
      </c>
      <c r="S93" s="90">
        <f t="shared" si="64"/>
        <v>129721.01999999996</v>
      </c>
      <c r="T93" s="90">
        <f t="shared" si="64"/>
        <v>44.179999999999993</v>
      </c>
      <c r="U93" s="90">
        <f t="shared" si="64"/>
        <v>2096309.3637999999</v>
      </c>
      <c r="V93" s="90">
        <f t="shared" si="64"/>
        <v>1715174.614206</v>
      </c>
      <c r="W93" s="90">
        <f t="shared" si="64"/>
        <v>1823789.1465059996</v>
      </c>
      <c r="X93" s="80"/>
      <c r="Y93" s="90"/>
      <c r="Z93" s="80"/>
      <c r="AA93" s="80">
        <f t="shared" si="2"/>
        <v>0</v>
      </c>
      <c r="AB93" s="80">
        <f t="shared" si="3"/>
        <v>0</v>
      </c>
      <c r="AC93" s="91"/>
      <c r="AD93">
        <v>0.1</v>
      </c>
      <c r="AE93" s="134">
        <f t="shared" si="4"/>
        <v>51888.39899999999</v>
      </c>
      <c r="AF93">
        <v>0.2</v>
      </c>
      <c r="AG93" s="134">
        <f t="shared" si="5"/>
        <v>103776.79799999998</v>
      </c>
    </row>
    <row r="94" spans="1:34" ht="23.25" customHeight="1" x14ac:dyDescent="0.2">
      <c r="A94" s="59" t="s">
        <v>93</v>
      </c>
      <c r="B94" s="87"/>
      <c r="C94" s="70"/>
      <c r="D94" s="111"/>
      <c r="E94" s="134"/>
      <c r="F94" s="134"/>
      <c r="G94" s="134"/>
      <c r="H94" s="134"/>
      <c r="I94" s="134"/>
      <c r="J94" s="134"/>
      <c r="K94" s="90"/>
      <c r="L94" s="90"/>
      <c r="M94" s="111"/>
      <c r="N94" s="111"/>
      <c r="O94" s="134"/>
      <c r="P94" s="134"/>
      <c r="Q94" s="134"/>
      <c r="R94" s="79"/>
      <c r="S94" s="134"/>
      <c r="T94" s="134"/>
      <c r="U94" s="134"/>
      <c r="V94" s="135"/>
      <c r="W94" s="134"/>
      <c r="X94" s="80"/>
      <c r="Y94" s="134"/>
      <c r="Z94" s="80"/>
      <c r="AA94" s="80">
        <f t="shared" si="2"/>
        <v>0</v>
      </c>
      <c r="AB94" s="80">
        <f t="shared" si="3"/>
        <v>0</v>
      </c>
      <c r="AC94" s="136"/>
      <c r="AD94">
        <v>0.1</v>
      </c>
      <c r="AE94" s="134"/>
      <c r="AG94" s="134"/>
    </row>
    <row r="95" spans="1:34" x14ac:dyDescent="0.2">
      <c r="A95" s="86"/>
      <c r="B95" s="87"/>
      <c r="C95" s="87" t="s">
        <v>58</v>
      </c>
      <c r="D95" s="137">
        <v>1</v>
      </c>
      <c r="E95" s="134"/>
      <c r="F95" s="134"/>
      <c r="G95" s="134"/>
      <c r="H95" s="134"/>
      <c r="I95" s="134"/>
      <c r="J95" s="138">
        <v>16304.212980000004</v>
      </c>
      <c r="K95" s="74">
        <f>ROUND('ПРОЕКТ с 01.02.2023'!K95*1.09,2)</f>
        <v>25509.02</v>
      </c>
      <c r="L95" s="105" t="s">
        <v>94</v>
      </c>
      <c r="M95" s="139">
        <v>20</v>
      </c>
      <c r="N95" s="137"/>
      <c r="O95" s="78">
        <f>ROUND((K95*M95/100),2)</f>
        <v>5101.8</v>
      </c>
      <c r="P95" s="78">
        <f>ROUND(K95*1.24,2)</f>
        <v>31631.18</v>
      </c>
      <c r="Q95" s="78">
        <f>K95*T95</f>
        <v>39283.890800000001</v>
      </c>
      <c r="R95" s="79">
        <f>K95+O95+P95+Q95</f>
        <v>101525.89079999999</v>
      </c>
      <c r="S95" s="78">
        <f>ROUND(K95*S$12,2)</f>
        <v>6377.26</v>
      </c>
      <c r="T95" s="78">
        <v>1.54</v>
      </c>
      <c r="U95" s="78">
        <f>K95+O95+P95+Q95+S95</f>
        <v>107903.15079999999</v>
      </c>
      <c r="V95" s="79">
        <f t="shared" ref="V95:V158" si="65">R95*0.87</f>
        <v>88327.524995999993</v>
      </c>
      <c r="W95" s="78">
        <f t="shared" ref="W95:W158" si="66">U95*0.87</f>
        <v>93875.741195999988</v>
      </c>
      <c r="X95" s="80">
        <v>3</v>
      </c>
      <c r="Y95" s="78">
        <v>3</v>
      </c>
      <c r="Z95" s="80">
        <f t="shared" si="1"/>
        <v>0</v>
      </c>
      <c r="AA95" s="80">
        <f t="shared" si="2"/>
        <v>0</v>
      </c>
      <c r="AB95" s="80">
        <f t="shared" si="3"/>
        <v>76527.06</v>
      </c>
      <c r="AC95" s="80"/>
      <c r="AD95">
        <v>0.1</v>
      </c>
      <c r="AE95" s="78">
        <f t="shared" si="4"/>
        <v>2550.902</v>
      </c>
      <c r="AF95">
        <v>0.2</v>
      </c>
      <c r="AG95" s="78">
        <f t="shared" si="5"/>
        <v>5101.8040000000001</v>
      </c>
    </row>
    <row r="96" spans="1:34" x14ac:dyDescent="0.2">
      <c r="A96" s="86"/>
      <c r="B96" s="87"/>
      <c r="C96" s="107" t="s">
        <v>45</v>
      </c>
      <c r="D96" s="137">
        <v>1</v>
      </c>
      <c r="E96" s="134"/>
      <c r="F96" s="134"/>
      <c r="G96" s="134"/>
      <c r="H96" s="134"/>
      <c r="I96" s="134"/>
      <c r="J96" s="138">
        <v>12467.933060000001</v>
      </c>
      <c r="K96" s="74">
        <f>ROUND('ПРОЕКТ с 01.02.2023'!K96*1.09,2)</f>
        <v>19506.919999999998</v>
      </c>
      <c r="L96" s="75" t="s">
        <v>95</v>
      </c>
      <c r="M96" s="76">
        <v>30</v>
      </c>
      <c r="N96" s="76"/>
      <c r="O96" s="78">
        <f>ROUND((K96*M96/100),2)</f>
        <v>5852.08</v>
      </c>
      <c r="P96" s="78">
        <f>ROUND(K96*1.14,2)</f>
        <v>22237.89</v>
      </c>
      <c r="Q96" s="78">
        <f>K96*T96</f>
        <v>30040.656799999997</v>
      </c>
      <c r="R96" s="79">
        <f>K96+O96+P96+Q96</f>
        <v>77637.546799999996</v>
      </c>
      <c r="S96" s="78">
        <f>ROUND(K96*S$12,2)</f>
        <v>4876.7299999999996</v>
      </c>
      <c r="T96" s="78">
        <v>1.54</v>
      </c>
      <c r="U96" s="78">
        <f>K96+O96+P96+Q96+S96</f>
        <v>82514.276799999992</v>
      </c>
      <c r="V96" s="79">
        <f t="shared" si="65"/>
        <v>67544.665716000003</v>
      </c>
      <c r="W96" s="78">
        <f t="shared" si="66"/>
        <v>71787.420815999998</v>
      </c>
      <c r="X96" s="80">
        <v>3</v>
      </c>
      <c r="Y96" s="78"/>
      <c r="Z96" s="80">
        <f t="shared" ref="Z96:Z159" si="67">X96-Y96</f>
        <v>3</v>
      </c>
      <c r="AA96" s="80">
        <f t="shared" ref="AA96:AA159" si="68">K96*Z96</f>
        <v>58520.759999999995</v>
      </c>
      <c r="AB96" s="80">
        <f t="shared" ref="AB96:AB159" si="69">K96*Y96</f>
        <v>0</v>
      </c>
      <c r="AC96" s="80"/>
      <c r="AD96">
        <v>0.1</v>
      </c>
      <c r="AE96" s="78">
        <f t="shared" ref="AE96:AE159" si="70">K96*AD96</f>
        <v>1950.692</v>
      </c>
      <c r="AF96">
        <v>0.2</v>
      </c>
      <c r="AG96" s="78">
        <f t="shared" ref="AG96:AG135" si="71">AF96*K96</f>
        <v>3901.384</v>
      </c>
    </row>
    <row r="97" spans="1:33" x14ac:dyDescent="0.2">
      <c r="A97" s="86"/>
      <c r="B97" s="87"/>
      <c r="C97" s="87" t="s">
        <v>96</v>
      </c>
      <c r="D97" s="111">
        <f>SUM(D95:D96)</f>
        <v>2</v>
      </c>
      <c r="E97" s="134"/>
      <c r="F97" s="134"/>
      <c r="G97" s="134"/>
      <c r="H97" s="134"/>
      <c r="I97" s="134"/>
      <c r="J97" s="134">
        <v>28772.146040000007</v>
      </c>
      <c r="K97" s="90">
        <f>SUM(K95:K96)</f>
        <v>45015.94</v>
      </c>
      <c r="L97" s="90"/>
      <c r="M97" s="90"/>
      <c r="N97" s="90">
        <f t="shared" ref="N97:W97" si="72">SUM(N95:N96)</f>
        <v>0</v>
      </c>
      <c r="O97" s="90">
        <f t="shared" si="72"/>
        <v>10953.880000000001</v>
      </c>
      <c r="P97" s="90">
        <f t="shared" si="72"/>
        <v>53869.07</v>
      </c>
      <c r="Q97" s="90">
        <f t="shared" si="72"/>
        <v>69324.547599999991</v>
      </c>
      <c r="R97" s="90">
        <f t="shared" si="72"/>
        <v>179163.4376</v>
      </c>
      <c r="S97" s="90">
        <f t="shared" si="72"/>
        <v>11253.99</v>
      </c>
      <c r="T97" s="90"/>
      <c r="U97" s="90">
        <f t="shared" si="72"/>
        <v>190417.4276</v>
      </c>
      <c r="V97" s="90">
        <f t="shared" si="72"/>
        <v>155872.19071200001</v>
      </c>
      <c r="W97" s="90">
        <f t="shared" si="72"/>
        <v>165663.16201199999</v>
      </c>
      <c r="X97" s="80"/>
      <c r="Y97" s="90"/>
      <c r="Z97" s="80"/>
      <c r="AA97" s="80">
        <f t="shared" si="68"/>
        <v>0</v>
      </c>
      <c r="AB97" s="80">
        <f t="shared" si="69"/>
        <v>0</v>
      </c>
      <c r="AC97" s="91"/>
      <c r="AD97">
        <v>0.1</v>
      </c>
      <c r="AE97" s="89">
        <f t="shared" si="70"/>
        <v>4501.5940000000001</v>
      </c>
      <c r="AF97">
        <v>0.2</v>
      </c>
      <c r="AG97" s="89">
        <f t="shared" si="71"/>
        <v>9003.1880000000001</v>
      </c>
    </row>
    <row r="98" spans="1:33" ht="32.25" customHeight="1" x14ac:dyDescent="0.2">
      <c r="A98" s="59" t="s">
        <v>97</v>
      </c>
      <c r="B98" s="93"/>
      <c r="C98" s="93"/>
      <c r="D98" s="111"/>
      <c r="E98" s="95"/>
      <c r="F98" s="95"/>
      <c r="G98" s="95"/>
      <c r="H98" s="95"/>
      <c r="I98" s="95"/>
      <c r="J98" s="95"/>
      <c r="K98" s="90"/>
      <c r="L98" s="90"/>
      <c r="M98" s="97"/>
      <c r="N98" s="97"/>
      <c r="O98" s="98"/>
      <c r="P98" s="99" t="s">
        <v>40</v>
      </c>
      <c r="Q98" s="66" t="s">
        <v>57</v>
      </c>
      <c r="R98" s="79"/>
      <c r="S98" s="98"/>
      <c r="T98" s="99"/>
      <c r="U98" s="98"/>
      <c r="V98" s="100"/>
      <c r="W98" s="98"/>
      <c r="X98" s="80"/>
      <c r="Y98" s="98"/>
      <c r="Z98" s="80"/>
      <c r="AA98" s="80">
        <f t="shared" si="68"/>
        <v>0</v>
      </c>
      <c r="AB98" s="80">
        <f t="shared" si="69"/>
        <v>0</v>
      </c>
      <c r="AC98" s="101"/>
      <c r="AD98">
        <v>0.1</v>
      </c>
      <c r="AE98" s="98"/>
      <c r="AG98" s="98"/>
    </row>
    <row r="99" spans="1:33" x14ac:dyDescent="0.2">
      <c r="A99" s="102"/>
      <c r="B99" s="87"/>
      <c r="C99" s="87" t="s">
        <v>58</v>
      </c>
      <c r="D99" s="108">
        <v>1</v>
      </c>
      <c r="E99" s="118">
        <v>8500</v>
      </c>
      <c r="F99" s="74">
        <f t="shared" ref="F99:F108" si="73">ROUND(E99*F$12,2)</f>
        <v>9350</v>
      </c>
      <c r="G99" s="74">
        <f>F99*1.1*1.1+0.5</f>
        <v>11314.000000000002</v>
      </c>
      <c r="H99" s="74">
        <v>13983.03</v>
      </c>
      <c r="I99" s="74">
        <f t="shared" ref="I99:I108" si="74">H99*$I$12</f>
        <v>15381.333000000002</v>
      </c>
      <c r="J99" s="74">
        <v>16304.212980000004</v>
      </c>
      <c r="K99" s="74">
        <f>ROUND('ПРОЕКТ с 01.02.2023'!K99*1.09,2)</f>
        <v>25509.02</v>
      </c>
      <c r="L99" s="105" t="s">
        <v>98</v>
      </c>
      <c r="M99" s="76">
        <v>30</v>
      </c>
      <c r="N99" s="76"/>
      <c r="O99" s="78">
        <f>ROUND((K99*M99/100),2)</f>
        <v>7652.71</v>
      </c>
      <c r="P99" s="78">
        <f>ROUND(K99*1.24,2)</f>
        <v>31631.18</v>
      </c>
      <c r="Q99" s="78">
        <f>K99*T99</f>
        <v>39283.890800000001</v>
      </c>
      <c r="R99" s="79">
        <f>K99+O99+P99+Q99</f>
        <v>104076.8008</v>
      </c>
      <c r="S99" s="78">
        <f>ROUND(K99*S$12,2)</f>
        <v>6377.26</v>
      </c>
      <c r="T99" s="78">
        <v>1.54</v>
      </c>
      <c r="U99" s="78">
        <f>K99+O99+P99+Q99+S99</f>
        <v>110454.06079999999</v>
      </c>
      <c r="V99" s="79">
        <f t="shared" si="65"/>
        <v>90546.816695999994</v>
      </c>
      <c r="W99" s="78">
        <f t="shared" si="66"/>
        <v>96095.03289599999</v>
      </c>
      <c r="X99" s="80">
        <v>3</v>
      </c>
      <c r="Y99" s="78"/>
      <c r="Z99" s="80">
        <f t="shared" si="67"/>
        <v>3</v>
      </c>
      <c r="AA99" s="80">
        <f t="shared" si="68"/>
        <v>76527.06</v>
      </c>
      <c r="AB99" s="80">
        <f t="shared" si="69"/>
        <v>0</v>
      </c>
      <c r="AC99" s="80"/>
      <c r="AD99">
        <v>0.1</v>
      </c>
      <c r="AE99" s="78">
        <f t="shared" si="70"/>
        <v>2550.902</v>
      </c>
      <c r="AF99">
        <v>0.2</v>
      </c>
      <c r="AG99" s="78">
        <f t="shared" si="71"/>
        <v>5101.8040000000001</v>
      </c>
    </row>
    <row r="100" spans="1:33" ht="21.75" customHeight="1" x14ac:dyDescent="0.2">
      <c r="A100" s="102"/>
      <c r="B100" s="107"/>
      <c r="C100" s="82" t="s">
        <v>99</v>
      </c>
      <c r="D100" s="72">
        <v>1</v>
      </c>
      <c r="E100" s="73">
        <v>7700</v>
      </c>
      <c r="F100" s="74">
        <f t="shared" si="73"/>
        <v>8470</v>
      </c>
      <c r="G100" s="74">
        <f>F100*1.1*1.1+0.3</f>
        <v>10249</v>
      </c>
      <c r="H100" s="74">
        <v>12666.98</v>
      </c>
      <c r="I100" s="74">
        <f t="shared" si="74"/>
        <v>13933.678</v>
      </c>
      <c r="J100" s="74">
        <v>14769.698680000001</v>
      </c>
      <c r="K100" s="74">
        <f>ROUND('ПРОЕКТ с 01.02.2023'!K100*1.09,2)</f>
        <v>23108.17</v>
      </c>
      <c r="L100" s="75" t="s">
        <v>103</v>
      </c>
      <c r="M100" s="83">
        <v>30</v>
      </c>
      <c r="N100" s="76"/>
      <c r="O100" s="78">
        <f t="shared" ref="O100:O108" si="75">ROUND((K100*M100/100),2)</f>
        <v>6932.45</v>
      </c>
      <c r="P100" s="78">
        <f>ROUND(K100*1.14,2)</f>
        <v>26343.31</v>
      </c>
      <c r="Q100" s="78">
        <f t="shared" ref="Q100:Q108" si="76">K100*T100</f>
        <v>35586.5818</v>
      </c>
      <c r="R100" s="79">
        <f t="shared" ref="R100:R134" si="77">K100+O100+P100+Q100</f>
        <v>91970.511800000007</v>
      </c>
      <c r="S100" s="78">
        <f t="shared" ref="S100:S134" si="78">ROUND(K100*S$12,2)</f>
        <v>5777.04</v>
      </c>
      <c r="T100" s="78">
        <v>1.54</v>
      </c>
      <c r="U100" s="78">
        <f t="shared" ref="U100:U134" si="79">K100+O100+P100+Q100+S100</f>
        <v>97747.551800000001</v>
      </c>
      <c r="V100" s="79">
        <f t="shared" si="65"/>
        <v>80014.345266000004</v>
      </c>
      <c r="W100" s="78">
        <f t="shared" si="66"/>
        <v>85040.370066000003</v>
      </c>
      <c r="X100" s="80">
        <v>3</v>
      </c>
      <c r="Y100" s="78"/>
      <c r="Z100" s="80">
        <f t="shared" si="67"/>
        <v>3</v>
      </c>
      <c r="AA100" s="80">
        <f t="shared" si="68"/>
        <v>69324.509999999995</v>
      </c>
      <c r="AB100" s="80">
        <f t="shared" si="69"/>
        <v>0</v>
      </c>
      <c r="AC100" s="80"/>
      <c r="AD100">
        <v>0.1</v>
      </c>
      <c r="AE100" s="78">
        <f t="shared" si="70"/>
        <v>2310.817</v>
      </c>
      <c r="AF100">
        <v>0.2</v>
      </c>
      <c r="AG100" s="78">
        <f t="shared" si="71"/>
        <v>4621.634</v>
      </c>
    </row>
    <row r="101" spans="1:33" x14ac:dyDescent="0.2">
      <c r="A101" s="102">
        <f>K102/2</f>
        <v>9753.4599999999991</v>
      </c>
      <c r="B101" s="107"/>
      <c r="C101" s="107" t="s">
        <v>45</v>
      </c>
      <c r="D101" s="109">
        <v>1</v>
      </c>
      <c r="E101" s="73">
        <v>6500</v>
      </c>
      <c r="F101" s="74">
        <f t="shared" si="73"/>
        <v>7150</v>
      </c>
      <c r="G101" s="74">
        <f>F101*1.1*1.1+0.5</f>
        <v>8652.0000000000018</v>
      </c>
      <c r="H101" s="74">
        <v>10692.91</v>
      </c>
      <c r="I101" s="74">
        <f t="shared" si="74"/>
        <v>11762.201000000001</v>
      </c>
      <c r="J101" s="74">
        <v>12467.933060000001</v>
      </c>
      <c r="K101" s="74">
        <f>ROUND('ПРОЕКТ с 01.02.2023'!K101*1.09,2)</f>
        <v>19506.919999999998</v>
      </c>
      <c r="L101" s="75" t="s">
        <v>100</v>
      </c>
      <c r="M101" s="76">
        <v>30</v>
      </c>
      <c r="N101" s="76"/>
      <c r="O101" s="78">
        <f t="shared" si="75"/>
        <v>5852.08</v>
      </c>
      <c r="P101" s="78">
        <f t="shared" ref="P101:P108" si="80">ROUND(K101*1.14,2)</f>
        <v>22237.89</v>
      </c>
      <c r="Q101" s="78">
        <f>K101*T101</f>
        <v>30040.656799999997</v>
      </c>
      <c r="R101" s="79">
        <f t="shared" si="77"/>
        <v>77637.546799999996</v>
      </c>
      <c r="S101" s="78">
        <f t="shared" si="78"/>
        <v>4876.7299999999996</v>
      </c>
      <c r="T101" s="78">
        <v>1.54</v>
      </c>
      <c r="U101" s="78">
        <f t="shared" si="79"/>
        <v>82514.276799999992</v>
      </c>
      <c r="V101" s="79">
        <f t="shared" si="65"/>
        <v>67544.665716000003</v>
      </c>
      <c r="W101" s="78">
        <f t="shared" si="66"/>
        <v>71787.420815999998</v>
      </c>
      <c r="X101" s="80">
        <v>3</v>
      </c>
      <c r="Y101" s="78">
        <v>2</v>
      </c>
      <c r="Z101" s="80">
        <f t="shared" si="67"/>
        <v>1</v>
      </c>
      <c r="AA101" s="80">
        <f t="shared" si="68"/>
        <v>19506.919999999998</v>
      </c>
      <c r="AB101" s="80">
        <f t="shared" si="69"/>
        <v>39013.839999999997</v>
      </c>
      <c r="AC101" s="80"/>
      <c r="AD101">
        <v>0.1</v>
      </c>
      <c r="AE101" s="78">
        <f t="shared" si="70"/>
        <v>1950.692</v>
      </c>
      <c r="AF101">
        <v>0.2</v>
      </c>
      <c r="AG101" s="78">
        <f t="shared" si="71"/>
        <v>3901.384</v>
      </c>
    </row>
    <row r="102" spans="1:33" x14ac:dyDescent="0.2">
      <c r="A102" s="102"/>
      <c r="B102" s="107"/>
      <c r="C102" s="107" t="s">
        <v>45</v>
      </c>
      <c r="D102" s="109">
        <v>1</v>
      </c>
      <c r="E102" s="73"/>
      <c r="F102" s="74"/>
      <c r="G102" s="74"/>
      <c r="H102" s="74"/>
      <c r="I102" s="74"/>
      <c r="J102" s="74"/>
      <c r="K102" s="74">
        <f>ROUND('ПРОЕКТ с 01.02.2023'!K102*1.09,2)</f>
        <v>19506.919999999998</v>
      </c>
      <c r="L102" s="75" t="s">
        <v>101</v>
      </c>
      <c r="M102" s="76">
        <v>10</v>
      </c>
      <c r="N102" s="76"/>
      <c r="O102" s="78">
        <f t="shared" si="75"/>
        <v>1950.69</v>
      </c>
      <c r="P102" s="78">
        <f t="shared" si="80"/>
        <v>22237.89</v>
      </c>
      <c r="Q102" s="78">
        <f t="shared" si="76"/>
        <v>30040.656799999997</v>
      </c>
      <c r="R102" s="79">
        <f t="shared" si="77"/>
        <v>73736.156799999997</v>
      </c>
      <c r="S102" s="78">
        <f t="shared" si="78"/>
        <v>4876.7299999999996</v>
      </c>
      <c r="T102" s="78">
        <v>1.54</v>
      </c>
      <c r="U102" s="78">
        <f t="shared" si="79"/>
        <v>78612.886799999993</v>
      </c>
      <c r="V102" s="79">
        <f t="shared" si="65"/>
        <v>64150.456415999994</v>
      </c>
      <c r="W102" s="78">
        <f t="shared" si="66"/>
        <v>68393.211515999996</v>
      </c>
      <c r="X102" s="80"/>
      <c r="Y102" s="78"/>
      <c r="Z102" s="80"/>
      <c r="AA102" s="80"/>
      <c r="AB102" s="80"/>
      <c r="AC102" s="80"/>
      <c r="AE102" s="78"/>
      <c r="AG102" s="78"/>
    </row>
    <row r="103" spans="1:33" x14ac:dyDescent="0.2">
      <c r="A103" s="102"/>
      <c r="B103" s="107"/>
      <c r="C103" s="107" t="s">
        <v>45</v>
      </c>
      <c r="D103" s="109">
        <v>1</v>
      </c>
      <c r="E103" s="73">
        <v>6500</v>
      </c>
      <c r="F103" s="74">
        <f>ROUND(E103*F$12,2)</f>
        <v>7150</v>
      </c>
      <c r="G103" s="74">
        <f>F103*1.1*1.1+0.5</f>
        <v>8652.0000000000018</v>
      </c>
      <c r="H103" s="74">
        <v>10692.91</v>
      </c>
      <c r="I103" s="74">
        <f>H103*$I$12</f>
        <v>11762.201000000001</v>
      </c>
      <c r="J103" s="74">
        <v>12467.933060000001</v>
      </c>
      <c r="K103" s="74">
        <f>ROUND('ПРОЕКТ с 01.02.2023'!K103*1.09,2)</f>
        <v>19506.919999999998</v>
      </c>
      <c r="L103" s="75" t="s">
        <v>102</v>
      </c>
      <c r="M103" s="83">
        <v>20</v>
      </c>
      <c r="N103" s="76"/>
      <c r="O103" s="78">
        <f>ROUND((K103*M103/100),2)</f>
        <v>3901.38</v>
      </c>
      <c r="P103" s="78">
        <f>ROUND(K103*1.14,2)</f>
        <v>22237.89</v>
      </c>
      <c r="Q103" s="78">
        <f>K103*T103</f>
        <v>30040.656799999997</v>
      </c>
      <c r="R103" s="79">
        <f>K103+O103+P103+Q103</f>
        <v>75686.846799999999</v>
      </c>
      <c r="S103" s="78">
        <f>ROUND(K103*S$12,2)</f>
        <v>4876.7299999999996</v>
      </c>
      <c r="T103" s="78">
        <v>1.54</v>
      </c>
      <c r="U103" s="78">
        <f>K103+O103+P103+Q103+S103</f>
        <v>80563.576799999995</v>
      </c>
      <c r="V103" s="79">
        <f>R103*0.87</f>
        <v>65847.556715999992</v>
      </c>
      <c r="W103" s="78">
        <f>U103*0.87</f>
        <v>70090.311816000001</v>
      </c>
      <c r="X103" s="80">
        <v>3</v>
      </c>
      <c r="Y103" s="78">
        <v>3</v>
      </c>
      <c r="Z103" s="80">
        <f>X103-Y103</f>
        <v>0</v>
      </c>
      <c r="AA103" s="80">
        <f>K103*Z103</f>
        <v>0</v>
      </c>
      <c r="AB103" s="80">
        <f>K103*Y103</f>
        <v>58520.759999999995</v>
      </c>
      <c r="AC103" s="80"/>
      <c r="AD103">
        <v>0.1</v>
      </c>
      <c r="AE103" s="78">
        <f>K103*AD103</f>
        <v>1950.692</v>
      </c>
      <c r="AF103">
        <v>0.2</v>
      </c>
      <c r="AG103" s="78">
        <f>AF103*K103</f>
        <v>3901.384</v>
      </c>
    </row>
    <row r="104" spans="1:33" x14ac:dyDescent="0.2">
      <c r="A104" s="102"/>
      <c r="B104" s="107"/>
      <c r="C104" s="107" t="s">
        <v>45</v>
      </c>
      <c r="D104" s="109">
        <v>1</v>
      </c>
      <c r="E104" s="73">
        <v>6500</v>
      </c>
      <c r="F104" s="74">
        <f>ROUND(E104*F$12,2)</f>
        <v>7150</v>
      </c>
      <c r="G104" s="74">
        <f>F104*1.1*1.1+0.5</f>
        <v>8652.0000000000018</v>
      </c>
      <c r="H104" s="74">
        <v>10692.91</v>
      </c>
      <c r="I104" s="74">
        <f>H104*$I$12</f>
        <v>11762.201000000001</v>
      </c>
      <c r="J104" s="74">
        <v>12467.933060000001</v>
      </c>
      <c r="K104" s="74">
        <f>ROUND('ПРОЕКТ с 01.02.2023'!K104*1.09,2)</f>
        <v>19506.919999999998</v>
      </c>
      <c r="L104" s="105" t="s">
        <v>208</v>
      </c>
      <c r="M104" s="83">
        <v>30</v>
      </c>
      <c r="N104" s="83"/>
      <c r="O104" s="74">
        <f>ROUND((K104*M104/100),2)</f>
        <v>5852.08</v>
      </c>
      <c r="P104" s="74">
        <f>ROUND(K104*1.14,2)</f>
        <v>22237.89</v>
      </c>
      <c r="Q104" s="74">
        <f>K104*T104</f>
        <v>30040.656799999997</v>
      </c>
      <c r="R104" s="79">
        <f>K104+O104+P104+Q104</f>
        <v>77637.546799999996</v>
      </c>
      <c r="S104" s="78">
        <f>ROUND(K104*S$12,2)</f>
        <v>4876.7299999999996</v>
      </c>
      <c r="T104" s="78">
        <v>1.54</v>
      </c>
      <c r="U104" s="78">
        <f>K104+O104+P104+Q104+S104</f>
        <v>82514.276799999992</v>
      </c>
      <c r="V104" s="79">
        <f>R104*0.87</f>
        <v>67544.665716000003</v>
      </c>
      <c r="W104" s="78">
        <f>U104*0.87</f>
        <v>71787.420815999998</v>
      </c>
      <c r="X104" s="80">
        <v>3</v>
      </c>
      <c r="Y104" s="78"/>
      <c r="Z104" s="80">
        <f>X104-Y104</f>
        <v>3</v>
      </c>
      <c r="AA104" s="80">
        <f>K104*Z104</f>
        <v>58520.759999999995</v>
      </c>
      <c r="AB104" s="80">
        <f>K104*Y104</f>
        <v>0</v>
      </c>
      <c r="AC104" s="80"/>
      <c r="AD104">
        <v>0.1</v>
      </c>
      <c r="AE104" s="78">
        <f>K104*AD104</f>
        <v>1950.692</v>
      </c>
      <c r="AF104">
        <v>0.2</v>
      </c>
      <c r="AG104" s="78">
        <f>AF104*K104</f>
        <v>3901.384</v>
      </c>
    </row>
    <row r="105" spans="1:33" x14ac:dyDescent="0.2">
      <c r="A105" s="102"/>
      <c r="B105" s="107"/>
      <c r="C105" s="107" t="s">
        <v>45</v>
      </c>
      <c r="D105" s="109">
        <v>1</v>
      </c>
      <c r="E105" s="73">
        <v>6500</v>
      </c>
      <c r="F105" s="74">
        <f>ROUND(E105*F$12,2)</f>
        <v>7150</v>
      </c>
      <c r="G105" s="74">
        <f>F105*1.1*1.1+0.5</f>
        <v>8652.0000000000018</v>
      </c>
      <c r="H105" s="74">
        <v>10692.91</v>
      </c>
      <c r="I105" s="74">
        <f>H105*$I$12</f>
        <v>11762.201000000001</v>
      </c>
      <c r="J105" s="74">
        <v>12467.933060000001</v>
      </c>
      <c r="K105" s="74">
        <f>ROUND('ПРОЕКТ с 01.02.2023'!K105*1.09,2)</f>
        <v>19506.919999999998</v>
      </c>
      <c r="L105" s="105" t="s">
        <v>104</v>
      </c>
      <c r="M105" s="83">
        <v>20</v>
      </c>
      <c r="N105" s="76"/>
      <c r="O105" s="78">
        <f>ROUND((K105*M105/100),2)</f>
        <v>3901.38</v>
      </c>
      <c r="P105" s="78">
        <f>ROUND(K105*1.14,2)</f>
        <v>22237.89</v>
      </c>
      <c r="Q105" s="78">
        <f>K105*T105</f>
        <v>30040.656799999997</v>
      </c>
      <c r="R105" s="79">
        <f>K105+O105+P105+Q105</f>
        <v>75686.846799999999</v>
      </c>
      <c r="S105" s="78">
        <f>ROUND(K105*S$12,2)</f>
        <v>4876.7299999999996</v>
      </c>
      <c r="T105" s="78">
        <v>1.54</v>
      </c>
      <c r="U105" s="78">
        <f>K105+O105+P105+Q105+S105</f>
        <v>80563.576799999995</v>
      </c>
      <c r="V105" s="79">
        <f>R105*0.87</f>
        <v>65847.556715999992</v>
      </c>
      <c r="W105" s="78">
        <f>U105*0.87</f>
        <v>70090.311816000001</v>
      </c>
      <c r="X105" s="80">
        <v>3</v>
      </c>
      <c r="Y105" s="78"/>
      <c r="Z105" s="80">
        <f>X105-Y105</f>
        <v>3</v>
      </c>
      <c r="AA105" s="80">
        <f>K105*Z105</f>
        <v>58520.759999999995</v>
      </c>
      <c r="AB105" s="80">
        <f>K105*Y105</f>
        <v>0</v>
      </c>
      <c r="AC105" s="80"/>
      <c r="AD105">
        <v>0.1</v>
      </c>
      <c r="AE105" s="78">
        <f>K105*AD105</f>
        <v>1950.692</v>
      </c>
      <c r="AF105">
        <v>0.2</v>
      </c>
      <c r="AG105" s="78">
        <f>AF105*K105</f>
        <v>3901.384</v>
      </c>
    </row>
    <row r="106" spans="1:33" x14ac:dyDescent="0.2">
      <c r="A106" s="86" t="s">
        <v>0</v>
      </c>
      <c r="B106" s="107"/>
      <c r="C106" s="107" t="s">
        <v>48</v>
      </c>
      <c r="D106" s="109">
        <v>1</v>
      </c>
      <c r="E106" s="73">
        <v>5600</v>
      </c>
      <c r="F106" s="74">
        <f t="shared" si="73"/>
        <v>6160</v>
      </c>
      <c r="G106" s="74">
        <f>F106*1.1*1.1+0.4</f>
        <v>7454.0000000000009</v>
      </c>
      <c r="H106" s="74">
        <v>9212.35</v>
      </c>
      <c r="I106" s="74">
        <f t="shared" si="74"/>
        <v>10133.585000000001</v>
      </c>
      <c r="J106" s="74">
        <v>10741.600100000001</v>
      </c>
      <c r="K106" s="74">
        <f>ROUND('ПРОЕКТ с 01.02.2023'!K106*1.09,2)</f>
        <v>16805.98</v>
      </c>
      <c r="L106" s="105" t="s">
        <v>197</v>
      </c>
      <c r="M106" s="83">
        <v>30</v>
      </c>
      <c r="N106" s="83"/>
      <c r="O106" s="78">
        <f t="shared" si="75"/>
        <v>5041.79</v>
      </c>
      <c r="P106" s="78">
        <f t="shared" si="80"/>
        <v>19158.82</v>
      </c>
      <c r="Q106" s="78">
        <f t="shared" si="76"/>
        <v>24200.611199999999</v>
      </c>
      <c r="R106" s="79">
        <f t="shared" si="77"/>
        <v>65207.201199999996</v>
      </c>
      <c r="S106" s="78">
        <f t="shared" si="78"/>
        <v>4201.5</v>
      </c>
      <c r="T106" s="78">
        <v>1.44</v>
      </c>
      <c r="U106" s="78">
        <f t="shared" si="79"/>
        <v>69408.701199999996</v>
      </c>
      <c r="V106" s="79">
        <f t="shared" si="65"/>
        <v>56730.265044</v>
      </c>
      <c r="W106" s="78">
        <f t="shared" si="66"/>
        <v>60385.570043999993</v>
      </c>
      <c r="X106" s="80">
        <v>3</v>
      </c>
      <c r="Y106" s="78"/>
      <c r="Z106" s="80">
        <f t="shared" si="67"/>
        <v>3</v>
      </c>
      <c r="AA106" s="80">
        <f t="shared" si="68"/>
        <v>50417.94</v>
      </c>
      <c r="AB106" s="80">
        <f t="shared" si="69"/>
        <v>0</v>
      </c>
      <c r="AC106" s="80"/>
      <c r="AD106">
        <v>0.1</v>
      </c>
      <c r="AE106" s="78">
        <f t="shared" si="70"/>
        <v>1680.598</v>
      </c>
      <c r="AF106">
        <v>0.2</v>
      </c>
      <c r="AG106" s="78">
        <f t="shared" si="71"/>
        <v>3361.1959999999999</v>
      </c>
    </row>
    <row r="107" spans="1:33" ht="12" customHeight="1" x14ac:dyDescent="0.2">
      <c r="A107" s="102"/>
      <c r="B107" s="107"/>
      <c r="C107" s="107" t="s">
        <v>48</v>
      </c>
      <c r="D107" s="109">
        <v>1</v>
      </c>
      <c r="E107" s="73">
        <v>5600</v>
      </c>
      <c r="F107" s="74">
        <f t="shared" si="73"/>
        <v>6160</v>
      </c>
      <c r="G107" s="74">
        <f>F107*1.1*1.1+0.4</f>
        <v>7454.0000000000009</v>
      </c>
      <c r="H107" s="74">
        <v>9212.35</v>
      </c>
      <c r="I107" s="74">
        <f t="shared" si="74"/>
        <v>10133.585000000001</v>
      </c>
      <c r="J107" s="74">
        <v>10741.600100000001</v>
      </c>
      <c r="K107" s="74">
        <f>ROUND('ПРОЕКТ с 01.02.2023'!K107*1.09,2)</f>
        <v>16805.98</v>
      </c>
      <c r="L107" s="75" t="s">
        <v>105</v>
      </c>
      <c r="M107" s="76">
        <v>30</v>
      </c>
      <c r="N107" s="76"/>
      <c r="O107" s="78">
        <f t="shared" si="75"/>
        <v>5041.79</v>
      </c>
      <c r="P107" s="78">
        <f t="shared" si="80"/>
        <v>19158.82</v>
      </c>
      <c r="Q107" s="78">
        <f t="shared" si="76"/>
        <v>24200.611199999999</v>
      </c>
      <c r="R107" s="79">
        <f t="shared" si="77"/>
        <v>65207.201199999996</v>
      </c>
      <c r="S107" s="78">
        <f t="shared" si="78"/>
        <v>4201.5</v>
      </c>
      <c r="T107" s="78">
        <v>1.44</v>
      </c>
      <c r="U107" s="78">
        <f t="shared" si="79"/>
        <v>69408.701199999996</v>
      </c>
      <c r="V107" s="79">
        <f t="shared" si="65"/>
        <v>56730.265044</v>
      </c>
      <c r="W107" s="78">
        <f t="shared" si="66"/>
        <v>60385.570043999993</v>
      </c>
      <c r="X107" s="80">
        <v>3</v>
      </c>
      <c r="Y107" s="78">
        <v>3</v>
      </c>
      <c r="Z107" s="80">
        <f t="shared" si="67"/>
        <v>0</v>
      </c>
      <c r="AA107" s="80">
        <f t="shared" si="68"/>
        <v>0</v>
      </c>
      <c r="AB107" s="80">
        <f t="shared" si="69"/>
        <v>50417.94</v>
      </c>
      <c r="AC107" s="80"/>
      <c r="AD107">
        <v>0.1</v>
      </c>
      <c r="AE107" s="78">
        <f t="shared" si="70"/>
        <v>1680.598</v>
      </c>
      <c r="AF107">
        <v>0.2</v>
      </c>
      <c r="AG107" s="78">
        <f t="shared" si="71"/>
        <v>3361.1959999999999</v>
      </c>
    </row>
    <row r="108" spans="1:33" x14ac:dyDescent="0.2">
      <c r="A108" s="102"/>
      <c r="B108" s="107"/>
      <c r="C108" s="107" t="s">
        <v>45</v>
      </c>
      <c r="D108" s="109">
        <v>1</v>
      </c>
      <c r="E108" s="73">
        <v>5600</v>
      </c>
      <c r="F108" s="74">
        <f t="shared" si="73"/>
        <v>6160</v>
      </c>
      <c r="G108" s="74">
        <f>F108*1.1*1.1+0.4</f>
        <v>7454.0000000000009</v>
      </c>
      <c r="H108" s="74">
        <v>9212.35</v>
      </c>
      <c r="I108" s="74">
        <f t="shared" si="74"/>
        <v>10133.585000000001</v>
      </c>
      <c r="J108" s="74">
        <v>10741.600100000001</v>
      </c>
      <c r="K108" s="74">
        <f>ROUND('ПРОЕКТ с 01.02.2023'!K108*1.09,2)</f>
        <v>19506.919999999998</v>
      </c>
      <c r="L108" s="75" t="s">
        <v>106</v>
      </c>
      <c r="M108" s="83">
        <v>30</v>
      </c>
      <c r="N108" s="76"/>
      <c r="O108" s="78">
        <f t="shared" si="75"/>
        <v>5852.08</v>
      </c>
      <c r="P108" s="78">
        <f t="shared" si="80"/>
        <v>22237.89</v>
      </c>
      <c r="Q108" s="78">
        <f t="shared" si="76"/>
        <v>30040.656799999997</v>
      </c>
      <c r="R108" s="79">
        <f t="shared" si="77"/>
        <v>77637.546799999996</v>
      </c>
      <c r="S108" s="78">
        <f t="shared" si="78"/>
        <v>4876.7299999999996</v>
      </c>
      <c r="T108" s="78">
        <v>1.54</v>
      </c>
      <c r="U108" s="78">
        <f t="shared" si="79"/>
        <v>82514.276799999992</v>
      </c>
      <c r="V108" s="79">
        <f t="shared" si="65"/>
        <v>67544.665716000003</v>
      </c>
      <c r="W108" s="78">
        <f t="shared" si="66"/>
        <v>71787.420815999998</v>
      </c>
      <c r="X108" s="80">
        <v>3</v>
      </c>
      <c r="Y108" s="78">
        <v>3</v>
      </c>
      <c r="Z108" s="80">
        <f t="shared" si="67"/>
        <v>0</v>
      </c>
      <c r="AA108" s="80">
        <f t="shared" si="68"/>
        <v>0</v>
      </c>
      <c r="AB108" s="80">
        <f t="shared" si="69"/>
        <v>58520.759999999995</v>
      </c>
      <c r="AC108" s="80"/>
      <c r="AD108">
        <v>0.1</v>
      </c>
      <c r="AE108" s="78">
        <f t="shared" si="70"/>
        <v>1950.692</v>
      </c>
      <c r="AF108">
        <v>0.2</v>
      </c>
      <c r="AG108" s="78">
        <f t="shared" si="71"/>
        <v>3901.384</v>
      </c>
    </row>
    <row r="109" spans="1:33" x14ac:dyDescent="0.2">
      <c r="A109" s="102"/>
      <c r="B109" s="87"/>
      <c r="C109" s="87" t="s">
        <v>96</v>
      </c>
      <c r="D109" s="111">
        <f>SUM(D99:D108)</f>
        <v>10</v>
      </c>
      <c r="E109" s="95">
        <f t="shared" ref="E109:I109" si="81">SUM(E99:E108)</f>
        <v>59000</v>
      </c>
      <c r="F109" s="95">
        <f t="shared" si="81"/>
        <v>64900</v>
      </c>
      <c r="G109" s="95">
        <f t="shared" si="81"/>
        <v>78533</v>
      </c>
      <c r="H109" s="95">
        <f t="shared" si="81"/>
        <v>97058.700000000026</v>
      </c>
      <c r="I109" s="95">
        <f t="shared" si="81"/>
        <v>106764.57000000002</v>
      </c>
      <c r="J109" s="95">
        <v>113170.44420000001</v>
      </c>
      <c r="K109" s="90">
        <f>SUM(K99:K108)</f>
        <v>199270.66999999998</v>
      </c>
      <c r="L109" s="90"/>
      <c r="M109" s="90"/>
      <c r="N109" s="90">
        <f t="shared" ref="N109" si="82">SUM(N99:N108)</f>
        <v>0</v>
      </c>
      <c r="O109" s="90">
        <f>SUM(O99:O108)</f>
        <v>51978.43</v>
      </c>
      <c r="P109" s="90">
        <f t="shared" ref="P109:W109" si="83">SUM(P99:P108)</f>
        <v>229719.47000000003</v>
      </c>
      <c r="Q109" s="90">
        <f t="shared" si="83"/>
        <v>303515.63579999999</v>
      </c>
      <c r="R109" s="90">
        <f t="shared" si="83"/>
        <v>784484.2058</v>
      </c>
      <c r="S109" s="90">
        <f t="shared" si="83"/>
        <v>49817.679999999993</v>
      </c>
      <c r="T109" s="90">
        <f t="shared" si="83"/>
        <v>15.2</v>
      </c>
      <c r="U109" s="90">
        <f t="shared" si="83"/>
        <v>834301.88580000005</v>
      </c>
      <c r="V109" s="90">
        <f t="shared" si="83"/>
        <v>682501.25904599996</v>
      </c>
      <c r="W109" s="90">
        <f t="shared" si="83"/>
        <v>725842.64064599981</v>
      </c>
      <c r="X109" s="80"/>
      <c r="Y109" s="90"/>
      <c r="Z109" s="80"/>
      <c r="AA109" s="80">
        <f t="shared" si="68"/>
        <v>0</v>
      </c>
      <c r="AB109" s="80">
        <f t="shared" si="69"/>
        <v>0</v>
      </c>
      <c r="AC109" s="91"/>
      <c r="AD109">
        <v>0.1</v>
      </c>
      <c r="AE109" s="95">
        <f t="shared" si="70"/>
        <v>19927.066999999999</v>
      </c>
      <c r="AF109">
        <v>0.2</v>
      </c>
      <c r="AG109" s="95">
        <f t="shared" si="71"/>
        <v>39854.133999999998</v>
      </c>
    </row>
    <row r="110" spans="1:33" ht="19.5" customHeight="1" x14ac:dyDescent="0.2">
      <c r="A110" s="59" t="s">
        <v>107</v>
      </c>
      <c r="B110" s="93"/>
      <c r="C110" s="93"/>
      <c r="D110" s="94"/>
      <c r="E110" s="95"/>
      <c r="F110" s="95"/>
      <c r="G110" s="95"/>
      <c r="H110" s="95"/>
      <c r="I110" s="95"/>
      <c r="J110" s="95"/>
      <c r="K110" s="90"/>
      <c r="L110" s="96"/>
      <c r="M110" s="97"/>
      <c r="N110" s="97"/>
      <c r="O110" s="98"/>
      <c r="P110" s="99" t="s">
        <v>108</v>
      </c>
      <c r="Q110" s="66" t="s">
        <v>109</v>
      </c>
      <c r="R110" s="79"/>
      <c r="S110" s="98"/>
      <c r="T110" s="99"/>
      <c r="U110" s="98"/>
      <c r="V110" s="100"/>
      <c r="W110" s="98"/>
      <c r="X110" s="80"/>
      <c r="Y110" s="98"/>
      <c r="Z110" s="80"/>
      <c r="AA110" s="80">
        <f t="shared" si="68"/>
        <v>0</v>
      </c>
      <c r="AB110" s="80">
        <f t="shared" si="69"/>
        <v>0</v>
      </c>
      <c r="AC110" s="101"/>
      <c r="AD110">
        <v>0.1</v>
      </c>
      <c r="AE110" s="98"/>
      <c r="AG110" s="98"/>
    </row>
    <row r="111" spans="1:33" x14ac:dyDescent="0.2">
      <c r="A111" s="102"/>
      <c r="B111" s="87"/>
      <c r="C111" s="87" t="s">
        <v>58</v>
      </c>
      <c r="D111" s="72">
        <v>1</v>
      </c>
      <c r="E111" s="73">
        <v>8500</v>
      </c>
      <c r="F111" s="74">
        <f t="shared" ref="F111:F120" si="84">ROUND(E111*F$12,2)</f>
        <v>9350</v>
      </c>
      <c r="G111" s="74">
        <f>F111*1.1*1.1+0.5</f>
        <v>11314.000000000002</v>
      </c>
      <c r="H111" s="74">
        <v>13983.03</v>
      </c>
      <c r="I111" s="74">
        <f t="shared" ref="I111:I120" si="85">H111*$I$12</f>
        <v>15381.333000000002</v>
      </c>
      <c r="J111" s="74">
        <v>16304.212980000004</v>
      </c>
      <c r="K111" s="74">
        <f>ROUND('ПРОЕКТ с 01.02.2023'!K111*1.09,2)</f>
        <v>25509.02</v>
      </c>
      <c r="L111" s="105" t="s">
        <v>110</v>
      </c>
      <c r="M111" s="76">
        <v>30</v>
      </c>
      <c r="N111" s="76"/>
      <c r="O111" s="78">
        <f>ROUND((K111*M111/100),2)</f>
        <v>7652.71</v>
      </c>
      <c r="P111" s="78">
        <f>ROUND(K111*1.24,2)</f>
        <v>31631.18</v>
      </c>
      <c r="Q111" s="78">
        <f>K111*T111</f>
        <v>39283.890800000001</v>
      </c>
      <c r="R111" s="79">
        <f t="shared" si="77"/>
        <v>104076.8008</v>
      </c>
      <c r="S111" s="78">
        <f t="shared" si="78"/>
        <v>6377.26</v>
      </c>
      <c r="T111" s="78">
        <v>1.54</v>
      </c>
      <c r="U111" s="78">
        <f t="shared" si="79"/>
        <v>110454.06079999999</v>
      </c>
      <c r="V111" s="79">
        <f t="shared" si="65"/>
        <v>90546.816695999994</v>
      </c>
      <c r="W111" s="78">
        <f t="shared" si="66"/>
        <v>96095.03289599999</v>
      </c>
      <c r="X111" s="80">
        <v>3</v>
      </c>
      <c r="Y111" s="78">
        <v>3</v>
      </c>
      <c r="Z111" s="80">
        <f t="shared" si="67"/>
        <v>0</v>
      </c>
      <c r="AA111" s="80">
        <f t="shared" si="68"/>
        <v>0</v>
      </c>
      <c r="AB111" s="80">
        <f t="shared" si="69"/>
        <v>76527.06</v>
      </c>
      <c r="AC111" s="80"/>
      <c r="AD111">
        <v>0.1</v>
      </c>
      <c r="AE111" s="78">
        <f t="shared" si="70"/>
        <v>2550.902</v>
      </c>
      <c r="AF111">
        <v>0.2</v>
      </c>
      <c r="AG111" s="78">
        <f t="shared" si="71"/>
        <v>5101.8040000000001</v>
      </c>
    </row>
    <row r="112" spans="1:33" ht="16.5" customHeight="1" x14ac:dyDescent="0.2">
      <c r="A112" s="102"/>
      <c r="B112" s="87"/>
      <c r="C112" s="82" t="s">
        <v>99</v>
      </c>
      <c r="D112" s="72">
        <v>1</v>
      </c>
      <c r="E112" s="73">
        <v>7700</v>
      </c>
      <c r="F112" s="74">
        <f t="shared" si="84"/>
        <v>8470</v>
      </c>
      <c r="G112" s="74">
        <f>F112*1.1*1.1+0.3</f>
        <v>10249</v>
      </c>
      <c r="H112" s="74">
        <v>12666.98</v>
      </c>
      <c r="I112" s="74">
        <f t="shared" si="85"/>
        <v>13933.678</v>
      </c>
      <c r="J112" s="74">
        <v>14769.698680000001</v>
      </c>
      <c r="K112" s="74">
        <f>ROUND('ПРОЕКТ с 01.02.2023'!K112*1.09,2)</f>
        <v>23108.17</v>
      </c>
      <c r="L112" s="75" t="s">
        <v>111</v>
      </c>
      <c r="M112" s="76">
        <v>30</v>
      </c>
      <c r="N112" s="76"/>
      <c r="O112" s="78">
        <f t="shared" ref="O112:O134" si="86">ROUND((K112*M112/100),2)</f>
        <v>6932.45</v>
      </c>
      <c r="P112" s="78">
        <f>ROUND(K112*1.14,2)</f>
        <v>26343.31</v>
      </c>
      <c r="Q112" s="78">
        <f t="shared" ref="Q112:Q134" si="87">K112*T112</f>
        <v>35586.5818</v>
      </c>
      <c r="R112" s="79">
        <f t="shared" si="77"/>
        <v>91970.511800000007</v>
      </c>
      <c r="S112" s="78">
        <f t="shared" si="78"/>
        <v>5777.04</v>
      </c>
      <c r="T112" s="78">
        <v>1.54</v>
      </c>
      <c r="U112" s="78">
        <f t="shared" si="79"/>
        <v>97747.551800000001</v>
      </c>
      <c r="V112" s="79">
        <f t="shared" si="65"/>
        <v>80014.345266000004</v>
      </c>
      <c r="W112" s="78">
        <f t="shared" si="66"/>
        <v>85040.370066000003</v>
      </c>
      <c r="X112" s="80">
        <v>3</v>
      </c>
      <c r="Y112" s="78">
        <v>3</v>
      </c>
      <c r="Z112" s="80">
        <f t="shared" si="67"/>
        <v>0</v>
      </c>
      <c r="AA112" s="80">
        <f t="shared" si="68"/>
        <v>0</v>
      </c>
      <c r="AB112" s="80">
        <f t="shared" si="69"/>
        <v>69324.509999999995</v>
      </c>
      <c r="AC112" s="80"/>
      <c r="AD112">
        <v>0.1</v>
      </c>
      <c r="AE112" s="78">
        <f t="shared" si="70"/>
        <v>2310.817</v>
      </c>
      <c r="AF112">
        <v>0.2</v>
      </c>
      <c r="AG112" s="78">
        <f t="shared" si="71"/>
        <v>4621.634</v>
      </c>
    </row>
    <row r="113" spans="1:33" x14ac:dyDescent="0.2">
      <c r="A113" s="102"/>
      <c r="B113" s="107"/>
      <c r="C113" s="107" t="s">
        <v>48</v>
      </c>
      <c r="D113" s="109">
        <v>1</v>
      </c>
      <c r="E113" s="73">
        <v>5600</v>
      </c>
      <c r="F113" s="74">
        <f t="shared" si="84"/>
        <v>6160</v>
      </c>
      <c r="G113" s="74">
        <f>F113*1.1*1.1+0.4</f>
        <v>7454.0000000000009</v>
      </c>
      <c r="H113" s="74">
        <v>9212.35</v>
      </c>
      <c r="I113" s="74">
        <f t="shared" si="85"/>
        <v>10133.585000000001</v>
      </c>
      <c r="J113" s="74">
        <v>10741.600100000001</v>
      </c>
      <c r="K113" s="74">
        <f>ROUND('ПРОЕКТ с 01.02.2023'!K113*1.09,2)</f>
        <v>16805.98</v>
      </c>
      <c r="L113" s="105" t="s">
        <v>196</v>
      </c>
      <c r="M113" s="76">
        <v>10</v>
      </c>
      <c r="N113" s="76"/>
      <c r="O113" s="78">
        <f t="shared" si="86"/>
        <v>1680.6</v>
      </c>
      <c r="P113" s="78">
        <f>ROUND(K113*1.14,2)</f>
        <v>19158.82</v>
      </c>
      <c r="Q113" s="78">
        <f t="shared" si="87"/>
        <v>24200.611199999999</v>
      </c>
      <c r="R113" s="79">
        <f t="shared" si="77"/>
        <v>61846.011199999994</v>
      </c>
      <c r="S113" s="78">
        <f t="shared" si="78"/>
        <v>4201.5</v>
      </c>
      <c r="T113" s="78">
        <v>1.44</v>
      </c>
      <c r="U113" s="78">
        <f t="shared" si="79"/>
        <v>66047.511199999994</v>
      </c>
      <c r="V113" s="79">
        <f t="shared" si="65"/>
        <v>53806.029743999992</v>
      </c>
      <c r="W113" s="78">
        <f t="shared" si="66"/>
        <v>57461.334743999992</v>
      </c>
      <c r="X113" s="80">
        <v>3</v>
      </c>
      <c r="Y113" s="78">
        <v>3</v>
      </c>
      <c r="Z113" s="80">
        <f t="shared" si="67"/>
        <v>0</v>
      </c>
      <c r="AA113" s="80">
        <f t="shared" si="68"/>
        <v>0</v>
      </c>
      <c r="AB113" s="80">
        <f t="shared" si="69"/>
        <v>50417.94</v>
      </c>
      <c r="AC113" s="80"/>
      <c r="AD113">
        <v>0.1</v>
      </c>
      <c r="AE113" s="78">
        <f t="shared" si="70"/>
        <v>1680.598</v>
      </c>
      <c r="AF113">
        <v>0.2</v>
      </c>
      <c r="AG113" s="78">
        <f t="shared" si="71"/>
        <v>3361.1959999999999</v>
      </c>
    </row>
    <row r="114" spans="1:33" x14ac:dyDescent="0.2">
      <c r="A114" s="140"/>
      <c r="B114" s="107"/>
      <c r="C114" s="107" t="s">
        <v>48</v>
      </c>
      <c r="D114" s="109">
        <v>1</v>
      </c>
      <c r="E114" s="73">
        <v>5600</v>
      </c>
      <c r="F114" s="74">
        <f t="shared" si="84"/>
        <v>6160</v>
      </c>
      <c r="G114" s="74">
        <f>F114*1.1*1.1+0.4</f>
        <v>7454.0000000000009</v>
      </c>
      <c r="H114" s="74">
        <v>9212.35</v>
      </c>
      <c r="I114" s="74">
        <f t="shared" si="85"/>
        <v>10133.585000000001</v>
      </c>
      <c r="J114" s="74">
        <v>10741.600100000001</v>
      </c>
      <c r="K114" s="74">
        <f>ROUND('ПРОЕКТ с 01.02.2023'!K114*1.09,2)</f>
        <v>16805.98</v>
      </c>
      <c r="L114" s="141" t="s">
        <v>112</v>
      </c>
      <c r="M114" s="83">
        <v>20</v>
      </c>
      <c r="N114" s="142"/>
      <c r="O114" s="78">
        <f t="shared" si="86"/>
        <v>3361.2</v>
      </c>
      <c r="P114" s="78">
        <f>ROUND(K114*1.14,2)</f>
        <v>19158.82</v>
      </c>
      <c r="Q114" s="78">
        <f t="shared" si="87"/>
        <v>24200.611199999999</v>
      </c>
      <c r="R114" s="79">
        <f t="shared" si="77"/>
        <v>63526.611199999999</v>
      </c>
      <c r="S114" s="78">
        <f t="shared" si="78"/>
        <v>4201.5</v>
      </c>
      <c r="T114" s="78">
        <v>1.44</v>
      </c>
      <c r="U114" s="78">
        <f t="shared" si="79"/>
        <v>67728.111199999999</v>
      </c>
      <c r="V114" s="79">
        <f t="shared" si="65"/>
        <v>55268.151744000003</v>
      </c>
      <c r="W114" s="78">
        <f t="shared" si="66"/>
        <v>58923.456743999996</v>
      </c>
      <c r="X114" s="80">
        <v>3</v>
      </c>
      <c r="Y114" s="78">
        <v>3</v>
      </c>
      <c r="Z114" s="80">
        <f t="shared" si="67"/>
        <v>0</v>
      </c>
      <c r="AA114" s="80">
        <f t="shared" si="68"/>
        <v>0</v>
      </c>
      <c r="AB114" s="80">
        <f t="shared" si="69"/>
        <v>50417.94</v>
      </c>
      <c r="AC114" s="80"/>
      <c r="AD114">
        <v>0.1</v>
      </c>
      <c r="AE114" s="78">
        <f t="shared" si="70"/>
        <v>1680.598</v>
      </c>
      <c r="AF114">
        <v>0.2</v>
      </c>
      <c r="AG114" s="78">
        <f t="shared" si="71"/>
        <v>3361.1959999999999</v>
      </c>
    </row>
    <row r="115" spans="1:33" x14ac:dyDescent="0.2">
      <c r="A115" s="102"/>
      <c r="B115" s="107"/>
      <c r="C115" s="107" t="s">
        <v>48</v>
      </c>
      <c r="D115" s="109">
        <v>1</v>
      </c>
      <c r="E115" s="73">
        <v>5600</v>
      </c>
      <c r="F115" s="74">
        <f t="shared" si="84"/>
        <v>6160</v>
      </c>
      <c r="G115" s="74">
        <f>F115*1.1*1.1+0.4</f>
        <v>7454.0000000000009</v>
      </c>
      <c r="H115" s="74">
        <v>9212.35</v>
      </c>
      <c r="I115" s="74">
        <f t="shared" si="85"/>
        <v>10133.585000000001</v>
      </c>
      <c r="J115" s="74">
        <v>10741.600100000001</v>
      </c>
      <c r="K115" s="74">
        <f>ROUND('ПРОЕКТ с 01.02.2023'!K115*1.09,2)</f>
        <v>16805.98</v>
      </c>
      <c r="L115" s="105" t="s">
        <v>113</v>
      </c>
      <c r="M115" s="76">
        <v>20</v>
      </c>
      <c r="N115" s="76"/>
      <c r="O115" s="78">
        <f t="shared" si="86"/>
        <v>3361.2</v>
      </c>
      <c r="P115" s="78">
        <f>ROUND(K115*1.14,2)</f>
        <v>19158.82</v>
      </c>
      <c r="Q115" s="78">
        <f t="shared" si="87"/>
        <v>24200.611199999999</v>
      </c>
      <c r="R115" s="79">
        <f t="shared" si="77"/>
        <v>63526.611199999999</v>
      </c>
      <c r="S115" s="78">
        <f t="shared" si="78"/>
        <v>4201.5</v>
      </c>
      <c r="T115" s="78">
        <v>1.44</v>
      </c>
      <c r="U115" s="78">
        <f t="shared" si="79"/>
        <v>67728.111199999999</v>
      </c>
      <c r="V115" s="79">
        <f t="shared" si="65"/>
        <v>55268.151744000003</v>
      </c>
      <c r="W115" s="78">
        <f t="shared" si="66"/>
        <v>58923.456743999996</v>
      </c>
      <c r="X115" s="80">
        <v>3</v>
      </c>
      <c r="Y115" s="78">
        <v>1</v>
      </c>
      <c r="Z115" s="80">
        <f t="shared" si="67"/>
        <v>2</v>
      </c>
      <c r="AA115" s="80">
        <f t="shared" si="68"/>
        <v>33611.96</v>
      </c>
      <c r="AB115" s="80">
        <f t="shared" si="69"/>
        <v>16805.98</v>
      </c>
      <c r="AC115" s="80"/>
      <c r="AD115">
        <v>0.1</v>
      </c>
      <c r="AE115" s="78">
        <f t="shared" si="70"/>
        <v>1680.598</v>
      </c>
      <c r="AF115">
        <v>0.2</v>
      </c>
      <c r="AG115" s="78">
        <f t="shared" si="71"/>
        <v>3361.1959999999999</v>
      </c>
    </row>
    <row r="116" spans="1:33" x14ac:dyDescent="0.2">
      <c r="A116" s="102"/>
      <c r="B116" s="107"/>
      <c r="C116" s="107" t="s">
        <v>45</v>
      </c>
      <c r="D116" s="109">
        <v>1</v>
      </c>
      <c r="E116" s="73">
        <v>5600</v>
      </c>
      <c r="F116" s="74">
        <v>7150</v>
      </c>
      <c r="G116" s="74">
        <f>F116*1.1*1.1+0.5</f>
        <v>8652.0000000000018</v>
      </c>
      <c r="H116" s="74">
        <v>10692.91</v>
      </c>
      <c r="I116" s="74">
        <f t="shared" si="85"/>
        <v>11762.201000000001</v>
      </c>
      <c r="J116" s="74">
        <v>12467.933060000001</v>
      </c>
      <c r="K116" s="74">
        <f>ROUND('ПРОЕКТ с 01.02.2023'!K116*1.09,2)</f>
        <v>19506.919999999998</v>
      </c>
      <c r="L116" s="105" t="s">
        <v>114</v>
      </c>
      <c r="M116" s="83">
        <v>20</v>
      </c>
      <c r="N116" s="76"/>
      <c r="O116" s="78">
        <f t="shared" si="86"/>
        <v>3901.38</v>
      </c>
      <c r="P116" s="78">
        <f>ROUND(K116*1.14,2)</f>
        <v>22237.89</v>
      </c>
      <c r="Q116" s="78">
        <f t="shared" si="87"/>
        <v>30040.656799999997</v>
      </c>
      <c r="R116" s="79">
        <f t="shared" si="77"/>
        <v>75686.846799999999</v>
      </c>
      <c r="S116" s="78">
        <f t="shared" si="78"/>
        <v>4876.7299999999996</v>
      </c>
      <c r="T116" s="78">
        <v>1.54</v>
      </c>
      <c r="U116" s="78">
        <f t="shared" si="79"/>
        <v>80563.576799999995</v>
      </c>
      <c r="V116" s="79">
        <f t="shared" si="65"/>
        <v>65847.556715999992</v>
      </c>
      <c r="W116" s="78">
        <f t="shared" si="66"/>
        <v>70090.311816000001</v>
      </c>
      <c r="X116" s="80">
        <v>3</v>
      </c>
      <c r="Y116" s="78">
        <v>3</v>
      </c>
      <c r="Z116" s="80">
        <f t="shared" si="67"/>
        <v>0</v>
      </c>
      <c r="AA116" s="80">
        <f t="shared" si="68"/>
        <v>0</v>
      </c>
      <c r="AB116" s="80">
        <f t="shared" si="69"/>
        <v>58520.759999999995</v>
      </c>
      <c r="AC116" s="80"/>
      <c r="AD116">
        <v>0.1</v>
      </c>
      <c r="AE116" s="78">
        <f t="shared" si="70"/>
        <v>1950.692</v>
      </c>
      <c r="AF116">
        <v>0.2</v>
      </c>
      <c r="AG116" s="78">
        <f t="shared" si="71"/>
        <v>3901.384</v>
      </c>
    </row>
    <row r="117" spans="1:33" x14ac:dyDescent="0.2">
      <c r="A117" s="86"/>
      <c r="B117" s="107"/>
      <c r="C117" s="107" t="s">
        <v>115</v>
      </c>
      <c r="D117" s="143">
        <v>1</v>
      </c>
      <c r="E117" s="118">
        <v>4500</v>
      </c>
      <c r="F117" s="74">
        <f t="shared" si="84"/>
        <v>4950</v>
      </c>
      <c r="G117" s="74">
        <f>F117*1.1*1.1+0.5</f>
        <v>5990.0000000000009</v>
      </c>
      <c r="H117" s="74">
        <v>7402.79</v>
      </c>
      <c r="I117" s="74">
        <f t="shared" si="85"/>
        <v>8143.0690000000004</v>
      </c>
      <c r="J117" s="74">
        <v>8631.6531400000003</v>
      </c>
      <c r="K117" s="74">
        <f>ROUND('ПРОЕКТ с 01.02.2023'!K117*1.09,2)</f>
        <v>13504.81</v>
      </c>
      <c r="L117" s="105" t="s">
        <v>221</v>
      </c>
      <c r="M117" s="83">
        <v>0</v>
      </c>
      <c r="N117" s="83"/>
      <c r="O117" s="78">
        <f t="shared" si="86"/>
        <v>0</v>
      </c>
      <c r="P117" s="78">
        <f>ROUND(K117*1.54,2)</f>
        <v>20797.41</v>
      </c>
      <c r="Q117" s="78">
        <f t="shared" si="87"/>
        <v>19446.9264</v>
      </c>
      <c r="R117" s="79">
        <f t="shared" si="77"/>
        <v>53749.146399999998</v>
      </c>
      <c r="S117" s="78">
        <f t="shared" si="78"/>
        <v>3376.2</v>
      </c>
      <c r="T117" s="78">
        <v>1.44</v>
      </c>
      <c r="U117" s="78">
        <f t="shared" si="79"/>
        <v>57125.346399999995</v>
      </c>
      <c r="V117" s="79">
        <f t="shared" si="65"/>
        <v>46761.757367999999</v>
      </c>
      <c r="W117" s="78">
        <f t="shared" si="66"/>
        <v>49699.051367999993</v>
      </c>
      <c r="X117" s="80">
        <v>3</v>
      </c>
      <c r="Y117" s="78"/>
      <c r="Z117" s="80">
        <f t="shared" si="67"/>
        <v>3</v>
      </c>
      <c r="AA117" s="80">
        <f t="shared" si="68"/>
        <v>40514.43</v>
      </c>
      <c r="AB117" s="80">
        <f t="shared" si="69"/>
        <v>0</v>
      </c>
      <c r="AC117" s="80"/>
      <c r="AD117">
        <v>0.1</v>
      </c>
      <c r="AE117" s="78">
        <f t="shared" si="70"/>
        <v>1350.481</v>
      </c>
      <c r="AF117">
        <v>0.2</v>
      </c>
      <c r="AG117" s="78">
        <f t="shared" si="71"/>
        <v>2700.962</v>
      </c>
    </row>
    <row r="118" spans="1:33" x14ac:dyDescent="0.2">
      <c r="A118" s="86"/>
      <c r="B118" s="107"/>
      <c r="C118" s="107" t="s">
        <v>117</v>
      </c>
      <c r="D118" s="143">
        <v>1</v>
      </c>
      <c r="E118" s="118">
        <v>4500</v>
      </c>
      <c r="F118" s="74">
        <f t="shared" si="84"/>
        <v>4950</v>
      </c>
      <c r="G118" s="74">
        <f>F118*1.1*1.1+0.5</f>
        <v>5990.0000000000009</v>
      </c>
      <c r="H118" s="74">
        <v>7402.79</v>
      </c>
      <c r="I118" s="74">
        <f t="shared" si="85"/>
        <v>8143.0690000000004</v>
      </c>
      <c r="J118" s="74">
        <v>8631.6531400000003</v>
      </c>
      <c r="K118" s="74">
        <f>ROUND('ПРОЕКТ с 01.02.2023'!K118*1.09,2)</f>
        <v>13504.81</v>
      </c>
      <c r="L118" s="105" t="s">
        <v>116</v>
      </c>
      <c r="M118" s="83">
        <v>0</v>
      </c>
      <c r="N118" s="83"/>
      <c r="O118" s="78">
        <f t="shared" si="86"/>
        <v>0</v>
      </c>
      <c r="P118" s="78">
        <f>ROUND(K118*1.34,2)</f>
        <v>18096.45</v>
      </c>
      <c r="Q118" s="78">
        <f t="shared" si="87"/>
        <v>19446.9264</v>
      </c>
      <c r="R118" s="79">
        <f t="shared" si="77"/>
        <v>51048.186400000006</v>
      </c>
      <c r="S118" s="78">
        <f t="shared" si="78"/>
        <v>3376.2</v>
      </c>
      <c r="T118" s="78">
        <v>1.44</v>
      </c>
      <c r="U118" s="78">
        <f t="shared" si="79"/>
        <v>54424.386400000003</v>
      </c>
      <c r="V118" s="79">
        <f t="shared" si="65"/>
        <v>44411.922168000005</v>
      </c>
      <c r="W118" s="78">
        <f t="shared" si="66"/>
        <v>47349.216167999999</v>
      </c>
      <c r="X118" s="80">
        <v>3</v>
      </c>
      <c r="Y118" s="78">
        <v>3</v>
      </c>
      <c r="Z118" s="80">
        <f t="shared" si="67"/>
        <v>0</v>
      </c>
      <c r="AA118" s="80">
        <f t="shared" si="68"/>
        <v>0</v>
      </c>
      <c r="AB118" s="80">
        <f t="shared" si="69"/>
        <v>40514.43</v>
      </c>
      <c r="AC118" s="80"/>
      <c r="AD118">
        <v>0.1</v>
      </c>
      <c r="AE118" s="78">
        <f t="shared" si="70"/>
        <v>1350.481</v>
      </c>
      <c r="AF118">
        <v>0.2</v>
      </c>
      <c r="AG118" s="78">
        <f t="shared" si="71"/>
        <v>2700.962</v>
      </c>
    </row>
    <row r="119" spans="1:33" ht="13.5" customHeight="1" x14ac:dyDescent="0.2">
      <c r="A119" s="86"/>
      <c r="B119" s="107"/>
      <c r="C119" s="293" t="s">
        <v>117</v>
      </c>
      <c r="D119" s="234">
        <v>1</v>
      </c>
      <c r="E119" s="115">
        <v>4500</v>
      </c>
      <c r="F119" s="79">
        <f t="shared" si="84"/>
        <v>4950</v>
      </c>
      <c r="G119" s="79">
        <f>F119*1.1*1.1+0.5</f>
        <v>5990.0000000000009</v>
      </c>
      <c r="H119" s="79">
        <v>7402.79</v>
      </c>
      <c r="I119" s="79">
        <f t="shared" si="85"/>
        <v>8143.0690000000004</v>
      </c>
      <c r="J119" s="79">
        <v>8631.6531400000003</v>
      </c>
      <c r="K119" s="79">
        <v>13504.81</v>
      </c>
      <c r="L119" s="105"/>
      <c r="M119" s="83">
        <v>0</v>
      </c>
      <c r="N119" s="83"/>
      <c r="O119" s="78">
        <f t="shared" si="86"/>
        <v>0</v>
      </c>
      <c r="P119" s="78">
        <f>ROUND(K119*1.34,2)</f>
        <v>18096.45</v>
      </c>
      <c r="Q119" s="78">
        <f t="shared" si="87"/>
        <v>19446.9264</v>
      </c>
      <c r="R119" s="79">
        <f t="shared" si="77"/>
        <v>51048.186400000006</v>
      </c>
      <c r="S119" s="78">
        <f t="shared" si="78"/>
        <v>3376.2</v>
      </c>
      <c r="T119" s="78">
        <v>1.44</v>
      </c>
      <c r="U119" s="78">
        <f t="shared" si="79"/>
        <v>54424.386400000003</v>
      </c>
      <c r="V119" s="79">
        <f t="shared" si="65"/>
        <v>44411.922168000005</v>
      </c>
      <c r="W119" s="78">
        <f t="shared" si="66"/>
        <v>47349.216167999999</v>
      </c>
      <c r="X119" s="80">
        <v>3</v>
      </c>
      <c r="Y119" s="78">
        <v>3</v>
      </c>
      <c r="Z119" s="80">
        <f t="shared" si="67"/>
        <v>0</v>
      </c>
      <c r="AA119" s="80">
        <f t="shared" si="68"/>
        <v>0</v>
      </c>
      <c r="AB119" s="80">
        <f t="shared" si="69"/>
        <v>40514.43</v>
      </c>
      <c r="AC119" s="80"/>
      <c r="AD119">
        <v>0.1</v>
      </c>
      <c r="AE119" s="78">
        <f t="shared" si="70"/>
        <v>1350.481</v>
      </c>
      <c r="AF119">
        <v>0.2</v>
      </c>
      <c r="AG119" s="78">
        <f t="shared" si="71"/>
        <v>2700.962</v>
      </c>
    </row>
    <row r="120" spans="1:33" x14ac:dyDescent="0.2">
      <c r="A120" s="86"/>
      <c r="B120" s="107"/>
      <c r="C120" s="107" t="s">
        <v>117</v>
      </c>
      <c r="D120" s="143">
        <v>1</v>
      </c>
      <c r="E120" s="118">
        <v>4500</v>
      </c>
      <c r="F120" s="74">
        <f t="shared" si="84"/>
        <v>4950</v>
      </c>
      <c r="G120" s="74">
        <f>F120*1.1*1.1+0.5</f>
        <v>5990.0000000000009</v>
      </c>
      <c r="H120" s="74">
        <v>7402.79</v>
      </c>
      <c r="I120" s="74">
        <f t="shared" si="85"/>
        <v>8143.0690000000004</v>
      </c>
      <c r="J120" s="74">
        <v>8631.6531400000003</v>
      </c>
      <c r="K120" s="74">
        <f>ROUND('ПРОЕКТ с 01.02.2023'!K120*1.09,2)</f>
        <v>13504.81</v>
      </c>
      <c r="L120" s="105" t="s">
        <v>118</v>
      </c>
      <c r="M120" s="83">
        <v>0</v>
      </c>
      <c r="N120" s="83"/>
      <c r="O120" s="78">
        <f t="shared" si="86"/>
        <v>0</v>
      </c>
      <c r="P120" s="78">
        <f>ROUND(K120*1.34,2)</f>
        <v>18096.45</v>
      </c>
      <c r="Q120" s="78">
        <f t="shared" si="87"/>
        <v>19446.9264</v>
      </c>
      <c r="R120" s="79">
        <f t="shared" si="77"/>
        <v>51048.186400000006</v>
      </c>
      <c r="S120" s="78">
        <f t="shared" si="78"/>
        <v>3376.2</v>
      </c>
      <c r="T120" s="78">
        <v>1.44</v>
      </c>
      <c r="U120" s="78">
        <f t="shared" si="79"/>
        <v>54424.386400000003</v>
      </c>
      <c r="V120" s="79">
        <f t="shared" si="65"/>
        <v>44411.922168000005</v>
      </c>
      <c r="W120" s="78">
        <f t="shared" si="66"/>
        <v>47349.216167999999</v>
      </c>
      <c r="X120" s="80">
        <v>3</v>
      </c>
      <c r="Y120" s="78">
        <v>3</v>
      </c>
      <c r="Z120" s="80">
        <f t="shared" si="67"/>
        <v>0</v>
      </c>
      <c r="AA120" s="80">
        <f t="shared" si="68"/>
        <v>0</v>
      </c>
      <c r="AB120" s="80">
        <f t="shared" si="69"/>
        <v>40514.43</v>
      </c>
      <c r="AC120" s="80"/>
      <c r="AD120">
        <v>0.1</v>
      </c>
      <c r="AE120" s="78">
        <f t="shared" si="70"/>
        <v>1350.481</v>
      </c>
      <c r="AF120">
        <v>0.2</v>
      </c>
      <c r="AG120" s="78">
        <f t="shared" si="71"/>
        <v>2700.962</v>
      </c>
    </row>
    <row r="121" spans="1:33" x14ac:dyDescent="0.2">
      <c r="A121" s="86"/>
      <c r="B121" s="87"/>
      <c r="C121" s="87" t="s">
        <v>51</v>
      </c>
      <c r="D121" s="111">
        <f t="shared" ref="D121:I121" si="88">SUM(D111:D120)</f>
        <v>10</v>
      </c>
      <c r="E121" s="95">
        <f t="shared" si="88"/>
        <v>56600</v>
      </c>
      <c r="F121" s="95">
        <f t="shared" si="88"/>
        <v>63250</v>
      </c>
      <c r="G121" s="95">
        <f t="shared" si="88"/>
        <v>76537</v>
      </c>
      <c r="H121" s="95">
        <f t="shared" si="88"/>
        <v>94591.129999999976</v>
      </c>
      <c r="I121" s="95">
        <f t="shared" si="88"/>
        <v>104050.24300000002</v>
      </c>
      <c r="J121" s="95">
        <v>121034.85768000003</v>
      </c>
      <c r="K121" s="90">
        <f>SUM(K111:K120)</f>
        <v>172561.28999999998</v>
      </c>
      <c r="L121" s="90"/>
      <c r="M121" s="90"/>
      <c r="N121" s="90">
        <f t="shared" ref="N121:W121" si="89">SUM(N111:N120)</f>
        <v>0</v>
      </c>
      <c r="O121" s="90">
        <f t="shared" si="89"/>
        <v>26889.54</v>
      </c>
      <c r="P121" s="90">
        <f t="shared" si="89"/>
        <v>212775.60000000006</v>
      </c>
      <c r="Q121" s="90">
        <f t="shared" si="89"/>
        <v>255300.66859999998</v>
      </c>
      <c r="R121" s="90">
        <f t="shared" si="89"/>
        <v>667527.09860000003</v>
      </c>
      <c r="S121" s="90">
        <f t="shared" si="89"/>
        <v>43140.329999999987</v>
      </c>
      <c r="T121" s="90">
        <f t="shared" si="89"/>
        <v>14.699999999999996</v>
      </c>
      <c r="U121" s="90">
        <f t="shared" si="89"/>
        <v>710667.42859999987</v>
      </c>
      <c r="V121" s="90">
        <f t="shared" si="89"/>
        <v>580748.57578200009</v>
      </c>
      <c r="W121" s="90">
        <f t="shared" si="89"/>
        <v>618280.66288199998</v>
      </c>
      <c r="X121" s="80"/>
      <c r="Y121" s="90"/>
      <c r="Z121" s="80"/>
      <c r="AA121" s="80">
        <f t="shared" si="68"/>
        <v>0</v>
      </c>
      <c r="AB121" s="80">
        <f t="shared" si="69"/>
        <v>0</v>
      </c>
      <c r="AC121" s="91"/>
      <c r="AD121">
        <v>0.1</v>
      </c>
      <c r="AE121" s="112">
        <f t="shared" si="70"/>
        <v>17256.128999999997</v>
      </c>
      <c r="AF121">
        <v>0.2</v>
      </c>
      <c r="AG121" s="112">
        <f t="shared" si="71"/>
        <v>34512.257999999994</v>
      </c>
    </row>
    <row r="122" spans="1:33" ht="19.5" customHeight="1" x14ac:dyDescent="0.2">
      <c r="A122" s="71" t="s">
        <v>119</v>
      </c>
      <c r="B122" s="93"/>
      <c r="C122" s="93"/>
      <c r="D122" s="94"/>
      <c r="E122" s="95"/>
      <c r="F122" s="95"/>
      <c r="G122" s="95"/>
      <c r="H122" s="95"/>
      <c r="I122" s="95"/>
      <c r="J122" s="95"/>
      <c r="K122" s="90"/>
      <c r="L122" s="96"/>
      <c r="M122" s="96"/>
      <c r="N122" s="96"/>
      <c r="O122" s="96"/>
      <c r="P122" s="99" t="s">
        <v>108</v>
      </c>
      <c r="Q122" s="96"/>
      <c r="R122" s="79"/>
      <c r="S122" s="96"/>
      <c r="T122" s="99"/>
      <c r="U122" s="96"/>
      <c r="V122" s="100"/>
      <c r="W122" s="96"/>
      <c r="X122" s="80"/>
      <c r="Y122" s="96"/>
      <c r="Z122" s="80"/>
      <c r="AA122" s="80">
        <f t="shared" si="68"/>
        <v>0</v>
      </c>
      <c r="AB122" s="80">
        <f t="shared" si="69"/>
        <v>0</v>
      </c>
      <c r="AC122" s="144"/>
      <c r="AD122">
        <v>0.1</v>
      </c>
      <c r="AE122" s="96"/>
      <c r="AG122" s="96"/>
    </row>
    <row r="123" spans="1:33" x14ac:dyDescent="0.2">
      <c r="A123" s="133"/>
      <c r="B123" s="87"/>
      <c r="C123" s="87" t="s">
        <v>120</v>
      </c>
      <c r="D123" s="109">
        <v>1</v>
      </c>
      <c r="E123" s="73">
        <v>7500</v>
      </c>
      <c r="F123" s="74">
        <f>ROUND(E123*F$12,2)</f>
        <v>8250</v>
      </c>
      <c r="G123" s="74">
        <f>F123*1.1*1.1+0.5</f>
        <v>9983</v>
      </c>
      <c r="H123" s="74">
        <v>12337.98</v>
      </c>
      <c r="I123" s="74">
        <f>H123*$I$12</f>
        <v>13571.778</v>
      </c>
      <c r="J123" s="74">
        <v>14386.084680000002</v>
      </c>
      <c r="K123" s="74">
        <f>ROUND('ПРОЕКТ с 01.02.2023'!K123*1.09,2)</f>
        <v>22508</v>
      </c>
      <c r="L123" s="105" t="s">
        <v>121</v>
      </c>
      <c r="M123" s="83">
        <v>15</v>
      </c>
      <c r="N123" s="76"/>
      <c r="O123" s="78">
        <f t="shared" si="86"/>
        <v>3376.2</v>
      </c>
      <c r="P123" s="78">
        <f>ROUND(K123*1.14,2)</f>
        <v>25659.119999999999</v>
      </c>
      <c r="Q123" s="78">
        <f t="shared" si="87"/>
        <v>34662.32</v>
      </c>
      <c r="R123" s="79">
        <f t="shared" si="77"/>
        <v>86205.64</v>
      </c>
      <c r="S123" s="78">
        <f t="shared" si="78"/>
        <v>5627</v>
      </c>
      <c r="T123" s="78">
        <v>1.54</v>
      </c>
      <c r="U123" s="78">
        <f t="shared" si="79"/>
        <v>91832.639999999999</v>
      </c>
      <c r="V123" s="79">
        <f t="shared" si="65"/>
        <v>74998.906799999997</v>
      </c>
      <c r="W123" s="78">
        <f t="shared" si="66"/>
        <v>79894.396800000002</v>
      </c>
      <c r="X123" s="80">
        <v>3</v>
      </c>
      <c r="Y123" s="78">
        <v>3</v>
      </c>
      <c r="Z123" s="80">
        <f t="shared" si="67"/>
        <v>0</v>
      </c>
      <c r="AA123" s="80">
        <f t="shared" si="68"/>
        <v>0</v>
      </c>
      <c r="AB123" s="80">
        <f t="shared" si="69"/>
        <v>67524</v>
      </c>
      <c r="AC123" s="80"/>
      <c r="AD123">
        <v>0.1</v>
      </c>
      <c r="AE123" s="78">
        <f t="shared" si="70"/>
        <v>2250.8000000000002</v>
      </c>
      <c r="AF123">
        <v>0.2</v>
      </c>
      <c r="AG123" s="78">
        <f t="shared" si="71"/>
        <v>4501.6000000000004</v>
      </c>
    </row>
    <row r="124" spans="1:33" x14ac:dyDescent="0.2">
      <c r="A124" s="102"/>
      <c r="B124" s="107"/>
      <c r="C124" s="107" t="s">
        <v>184</v>
      </c>
      <c r="D124" s="109">
        <v>1</v>
      </c>
      <c r="E124" s="73">
        <v>5600</v>
      </c>
      <c r="F124" s="74">
        <v>7150</v>
      </c>
      <c r="G124" s="74">
        <f>F124*1.1*1.1+0.5</f>
        <v>8652.0000000000018</v>
      </c>
      <c r="H124" s="74">
        <v>10692.91</v>
      </c>
      <c r="I124" s="74">
        <f>H124*$I$12</f>
        <v>11762.201000000001</v>
      </c>
      <c r="J124" s="74">
        <v>12467.933060000001</v>
      </c>
      <c r="K124" s="74">
        <f>ROUND('ПРОЕКТ с 01.02.2023'!K124*1.09,2)</f>
        <v>19506.919999999998</v>
      </c>
      <c r="L124" s="75" t="s">
        <v>186</v>
      </c>
      <c r="M124" s="83">
        <v>10</v>
      </c>
      <c r="N124" s="76"/>
      <c r="O124" s="78">
        <f t="shared" si="86"/>
        <v>1950.69</v>
      </c>
      <c r="P124" s="78">
        <f>ROUND(K124*1.14,2)</f>
        <v>22237.89</v>
      </c>
      <c r="Q124" s="78">
        <f t="shared" si="87"/>
        <v>30040.656799999997</v>
      </c>
      <c r="R124" s="79">
        <f t="shared" si="77"/>
        <v>73736.156799999997</v>
      </c>
      <c r="S124" s="78">
        <f t="shared" si="78"/>
        <v>4876.7299999999996</v>
      </c>
      <c r="T124" s="78">
        <v>1.54</v>
      </c>
      <c r="U124" s="78">
        <f t="shared" si="79"/>
        <v>78612.886799999993</v>
      </c>
      <c r="V124" s="79">
        <f t="shared" si="65"/>
        <v>64150.456415999994</v>
      </c>
      <c r="W124" s="78">
        <f t="shared" si="66"/>
        <v>68393.211515999996</v>
      </c>
      <c r="X124" s="80">
        <v>3</v>
      </c>
      <c r="Y124" s="78"/>
      <c r="Z124" s="80">
        <f t="shared" si="67"/>
        <v>3</v>
      </c>
      <c r="AA124" s="80">
        <f t="shared" si="68"/>
        <v>58520.759999999995</v>
      </c>
      <c r="AB124" s="80">
        <f t="shared" si="69"/>
        <v>0</v>
      </c>
      <c r="AC124" s="80"/>
      <c r="AD124">
        <v>0.1</v>
      </c>
      <c r="AE124" s="78">
        <f t="shared" si="70"/>
        <v>1950.692</v>
      </c>
      <c r="AF124">
        <v>0.2</v>
      </c>
      <c r="AG124" s="78">
        <f t="shared" si="71"/>
        <v>3901.384</v>
      </c>
    </row>
    <row r="125" spans="1:33" x14ac:dyDescent="0.2">
      <c r="A125" s="86"/>
      <c r="B125" s="87"/>
      <c r="C125" s="87" t="s">
        <v>51</v>
      </c>
      <c r="D125" s="111">
        <f>SUM(D123:D124)</f>
        <v>2</v>
      </c>
      <c r="E125" s="111">
        <f t="shared" ref="E125:N125" si="90">SUM(E123:E124)</f>
        <v>13100</v>
      </c>
      <c r="F125" s="111">
        <f t="shared" si="90"/>
        <v>15400</v>
      </c>
      <c r="G125" s="111">
        <f t="shared" si="90"/>
        <v>18635</v>
      </c>
      <c r="H125" s="111">
        <f t="shared" si="90"/>
        <v>23030.89</v>
      </c>
      <c r="I125" s="111">
        <f t="shared" si="90"/>
        <v>25333.978999999999</v>
      </c>
      <c r="J125" s="111">
        <f t="shared" si="90"/>
        <v>26854.017740000003</v>
      </c>
      <c r="K125" s="90">
        <f>SUM(K123:K124)</f>
        <v>42014.92</v>
      </c>
      <c r="L125" s="90"/>
      <c r="M125" s="90"/>
      <c r="N125" s="90">
        <f t="shared" si="90"/>
        <v>0</v>
      </c>
      <c r="O125" s="90">
        <f>SUM(O123:O124)</f>
        <v>5326.8899999999994</v>
      </c>
      <c r="P125" s="90">
        <f t="shared" ref="P125:W125" si="91">SUM(P123:P124)</f>
        <v>47897.009999999995</v>
      </c>
      <c r="Q125" s="90">
        <f t="shared" si="91"/>
        <v>64702.976799999997</v>
      </c>
      <c r="R125" s="90">
        <f t="shared" si="91"/>
        <v>159941.79680000001</v>
      </c>
      <c r="S125" s="90">
        <f t="shared" si="91"/>
        <v>10503.73</v>
      </c>
      <c r="T125" s="90">
        <f t="shared" si="91"/>
        <v>3.08</v>
      </c>
      <c r="U125" s="90">
        <f t="shared" si="91"/>
        <v>170445.52679999999</v>
      </c>
      <c r="V125" s="90">
        <f t="shared" si="91"/>
        <v>139149.363216</v>
      </c>
      <c r="W125" s="90">
        <f t="shared" si="91"/>
        <v>148287.608316</v>
      </c>
      <c r="X125" s="80"/>
      <c r="Y125" s="90"/>
      <c r="Z125" s="80"/>
      <c r="AA125" s="80">
        <f t="shared" si="68"/>
        <v>0</v>
      </c>
      <c r="AB125" s="80">
        <f t="shared" si="69"/>
        <v>0</v>
      </c>
      <c r="AC125" s="91"/>
      <c r="AD125">
        <v>0.1</v>
      </c>
      <c r="AE125" s="112">
        <f t="shared" si="70"/>
        <v>4201.4920000000002</v>
      </c>
      <c r="AF125">
        <v>0.2</v>
      </c>
      <c r="AG125" s="112">
        <f t="shared" si="71"/>
        <v>8402.9840000000004</v>
      </c>
    </row>
    <row r="126" spans="1:33" ht="28.5" customHeight="1" x14ac:dyDescent="0.2">
      <c r="A126" s="71" t="s">
        <v>122</v>
      </c>
      <c r="B126" s="93"/>
      <c r="C126" s="93"/>
      <c r="D126" s="94"/>
      <c r="E126" s="95"/>
      <c r="F126" s="95"/>
      <c r="G126" s="95"/>
      <c r="H126" s="95"/>
      <c r="I126" s="95"/>
      <c r="J126" s="95"/>
      <c r="K126" s="90"/>
      <c r="L126" s="90"/>
      <c r="M126" s="90"/>
      <c r="N126" s="90"/>
      <c r="O126" s="90"/>
      <c r="P126" s="99" t="s">
        <v>40</v>
      </c>
      <c r="Q126" s="78">
        <f t="shared" si="87"/>
        <v>0</v>
      </c>
      <c r="R126" s="79"/>
      <c r="S126" s="90"/>
      <c r="T126" s="99"/>
      <c r="U126" s="90"/>
      <c r="V126" s="100"/>
      <c r="W126" s="90"/>
      <c r="X126" s="80"/>
      <c r="Y126" s="90"/>
      <c r="Z126" s="80"/>
      <c r="AA126" s="80">
        <f t="shared" si="68"/>
        <v>0</v>
      </c>
      <c r="AB126" s="80">
        <f t="shared" si="69"/>
        <v>0</v>
      </c>
      <c r="AC126" s="91"/>
      <c r="AD126">
        <v>0.1</v>
      </c>
      <c r="AE126" s="90"/>
      <c r="AG126" s="90"/>
    </row>
    <row r="127" spans="1:33" x14ac:dyDescent="0.2">
      <c r="A127" s="102"/>
      <c r="B127" s="87"/>
      <c r="C127" s="87" t="s">
        <v>58</v>
      </c>
      <c r="D127" s="72">
        <v>1</v>
      </c>
      <c r="E127" s="73">
        <v>8500</v>
      </c>
      <c r="F127" s="74">
        <f t="shared" ref="F127:F132" si="92">ROUND(E127*F$12,2)</f>
        <v>9350</v>
      </c>
      <c r="G127" s="74">
        <f>F127*1.1*1.1+0.5</f>
        <v>11314.000000000002</v>
      </c>
      <c r="H127" s="74">
        <v>13983.03</v>
      </c>
      <c r="I127" s="74">
        <f t="shared" ref="I127:I134" si="93">H127*$I$12</f>
        <v>15381.333000000002</v>
      </c>
      <c r="J127" s="74">
        <v>16304.212980000004</v>
      </c>
      <c r="K127" s="74">
        <f>ROUND('ПРОЕКТ с 01.02.2023'!K127*1.09,2)</f>
        <v>25509.02</v>
      </c>
      <c r="L127" s="75" t="s">
        <v>218</v>
      </c>
      <c r="M127" s="76">
        <v>30</v>
      </c>
      <c r="N127" s="76"/>
      <c r="O127" s="78">
        <f t="shared" si="86"/>
        <v>7652.71</v>
      </c>
      <c r="P127" s="78">
        <f>ROUND(K127*1.24,2)</f>
        <v>31631.18</v>
      </c>
      <c r="Q127" s="78">
        <f t="shared" si="87"/>
        <v>39283.890800000001</v>
      </c>
      <c r="R127" s="79">
        <f t="shared" si="77"/>
        <v>104076.8008</v>
      </c>
      <c r="S127" s="78">
        <f t="shared" si="78"/>
        <v>6377.26</v>
      </c>
      <c r="T127" s="78">
        <v>1.54</v>
      </c>
      <c r="U127" s="78">
        <f t="shared" si="79"/>
        <v>110454.06079999999</v>
      </c>
      <c r="V127" s="79">
        <f t="shared" si="65"/>
        <v>90546.816695999994</v>
      </c>
      <c r="W127" s="78">
        <f t="shared" si="66"/>
        <v>96095.03289599999</v>
      </c>
      <c r="X127" s="80">
        <v>3</v>
      </c>
      <c r="Y127" s="78">
        <v>3</v>
      </c>
      <c r="Z127" s="80">
        <f t="shared" si="67"/>
        <v>0</v>
      </c>
      <c r="AA127" s="80">
        <f t="shared" si="68"/>
        <v>0</v>
      </c>
      <c r="AB127" s="80">
        <f t="shared" si="69"/>
        <v>76527.06</v>
      </c>
      <c r="AC127" s="80"/>
      <c r="AD127">
        <v>0.1</v>
      </c>
      <c r="AE127" s="78">
        <f t="shared" si="70"/>
        <v>2550.902</v>
      </c>
      <c r="AF127">
        <v>0.2</v>
      </c>
      <c r="AG127" s="78">
        <f t="shared" si="71"/>
        <v>5101.8040000000001</v>
      </c>
    </row>
    <row r="128" spans="1:33" ht="17.25" customHeight="1" x14ac:dyDescent="0.2">
      <c r="A128" s="102"/>
      <c r="B128" s="107"/>
      <c r="C128" s="82" t="s">
        <v>123</v>
      </c>
      <c r="D128" s="72">
        <v>1</v>
      </c>
      <c r="E128" s="73">
        <v>7700</v>
      </c>
      <c r="F128" s="74">
        <f t="shared" si="92"/>
        <v>8470</v>
      </c>
      <c r="G128" s="74">
        <f>F128*1.1*1.1+0.3</f>
        <v>10249</v>
      </c>
      <c r="H128" s="74">
        <v>12666.98</v>
      </c>
      <c r="I128" s="74">
        <f t="shared" si="93"/>
        <v>13933.678</v>
      </c>
      <c r="J128" s="74">
        <v>14769.698680000001</v>
      </c>
      <c r="K128" s="74">
        <f>ROUND('ПРОЕКТ с 01.02.2023'!K128*1.09,2)</f>
        <v>23108.17</v>
      </c>
      <c r="L128" s="75" t="s">
        <v>124</v>
      </c>
      <c r="M128" s="69">
        <v>30</v>
      </c>
      <c r="N128" s="76"/>
      <c r="O128" s="78">
        <f>ROUND((K128*M128/100),2)</f>
        <v>6932.45</v>
      </c>
      <c r="P128" s="78">
        <f>ROUND(K128*1.14,2)</f>
        <v>26343.31</v>
      </c>
      <c r="Q128" s="78">
        <f t="shared" si="87"/>
        <v>35586.5818</v>
      </c>
      <c r="R128" s="79">
        <f t="shared" si="77"/>
        <v>91970.511800000007</v>
      </c>
      <c r="S128" s="78">
        <f t="shared" si="78"/>
        <v>5777.04</v>
      </c>
      <c r="T128" s="78">
        <v>1.54</v>
      </c>
      <c r="U128" s="78">
        <f t="shared" si="79"/>
        <v>97747.551800000001</v>
      </c>
      <c r="V128" s="79">
        <f t="shared" si="65"/>
        <v>80014.345266000004</v>
      </c>
      <c r="W128" s="78">
        <f t="shared" si="66"/>
        <v>85040.370066000003</v>
      </c>
      <c r="X128" s="80">
        <v>3</v>
      </c>
      <c r="Y128" s="78">
        <v>3</v>
      </c>
      <c r="Z128" s="80">
        <f t="shared" si="67"/>
        <v>0</v>
      </c>
      <c r="AA128" s="80">
        <f t="shared" si="68"/>
        <v>0</v>
      </c>
      <c r="AB128" s="80">
        <f t="shared" si="69"/>
        <v>69324.509999999995</v>
      </c>
      <c r="AC128" s="80"/>
      <c r="AD128">
        <v>0.1</v>
      </c>
      <c r="AE128" s="78">
        <f t="shared" si="70"/>
        <v>2310.817</v>
      </c>
      <c r="AF128">
        <v>0.2</v>
      </c>
      <c r="AG128" s="78">
        <f t="shared" si="71"/>
        <v>4621.634</v>
      </c>
    </row>
    <row r="129" spans="1:33" x14ac:dyDescent="0.2">
      <c r="A129" s="102"/>
      <c r="B129" s="107"/>
      <c r="C129" s="107" t="s">
        <v>45</v>
      </c>
      <c r="D129" s="109">
        <v>1</v>
      </c>
      <c r="E129" s="73">
        <v>6500</v>
      </c>
      <c r="F129" s="74">
        <f t="shared" si="92"/>
        <v>7150</v>
      </c>
      <c r="G129" s="74">
        <f>F129*1.1*1.1+0.5</f>
        <v>8652.0000000000018</v>
      </c>
      <c r="H129" s="74">
        <v>10692.91</v>
      </c>
      <c r="I129" s="74">
        <f t="shared" si="93"/>
        <v>11762.201000000001</v>
      </c>
      <c r="J129" s="74">
        <v>12467.933060000001</v>
      </c>
      <c r="K129" s="74">
        <f>ROUND('ПРОЕКТ с 01.02.2023'!K129*1.09,2)</f>
        <v>19506.919999999998</v>
      </c>
      <c r="L129" s="75" t="s">
        <v>180</v>
      </c>
      <c r="M129" s="83">
        <v>20</v>
      </c>
      <c r="N129" s="76"/>
      <c r="O129" s="78">
        <f t="shared" si="86"/>
        <v>3901.38</v>
      </c>
      <c r="P129" s="78">
        <f t="shared" ref="P129:P134" si="94">ROUND(K129*1.14,2)</f>
        <v>22237.89</v>
      </c>
      <c r="Q129" s="78">
        <f t="shared" si="87"/>
        <v>30040.656799999997</v>
      </c>
      <c r="R129" s="79">
        <f t="shared" si="77"/>
        <v>75686.846799999999</v>
      </c>
      <c r="S129" s="78">
        <f t="shared" si="78"/>
        <v>4876.7299999999996</v>
      </c>
      <c r="T129" s="78">
        <v>1.54</v>
      </c>
      <c r="U129" s="78">
        <f t="shared" si="79"/>
        <v>80563.576799999995</v>
      </c>
      <c r="V129" s="79">
        <f t="shared" si="65"/>
        <v>65847.556715999992</v>
      </c>
      <c r="W129" s="78">
        <f t="shared" si="66"/>
        <v>70090.311816000001</v>
      </c>
      <c r="X129" s="80">
        <v>3</v>
      </c>
      <c r="Y129" s="78">
        <v>3</v>
      </c>
      <c r="Z129" s="80">
        <f t="shared" si="67"/>
        <v>0</v>
      </c>
      <c r="AA129" s="80">
        <f t="shared" si="68"/>
        <v>0</v>
      </c>
      <c r="AB129" s="80">
        <f t="shared" si="69"/>
        <v>58520.759999999995</v>
      </c>
      <c r="AC129" s="80"/>
      <c r="AD129">
        <v>0.1</v>
      </c>
      <c r="AE129" s="78">
        <f t="shared" si="70"/>
        <v>1950.692</v>
      </c>
      <c r="AF129">
        <v>0.2</v>
      </c>
      <c r="AG129" s="78">
        <f t="shared" si="71"/>
        <v>3901.384</v>
      </c>
    </row>
    <row r="130" spans="1:33" x14ac:dyDescent="0.2">
      <c r="A130" s="102"/>
      <c r="B130" s="107"/>
      <c r="C130" s="107" t="s">
        <v>45</v>
      </c>
      <c r="D130" s="109">
        <v>1</v>
      </c>
      <c r="E130" s="73">
        <v>6500</v>
      </c>
      <c r="F130" s="74">
        <f t="shared" si="92"/>
        <v>7150</v>
      </c>
      <c r="G130" s="74">
        <f>F130*1.1*1.1+0.5</f>
        <v>8652.0000000000018</v>
      </c>
      <c r="H130" s="74">
        <v>10692.91</v>
      </c>
      <c r="I130" s="74">
        <f t="shared" si="93"/>
        <v>11762.201000000001</v>
      </c>
      <c r="J130" s="74">
        <v>12467.933060000001</v>
      </c>
      <c r="K130" s="74">
        <f>ROUND('ПРОЕКТ с 01.02.2023'!K130*1.09,2)</f>
        <v>19506.919999999998</v>
      </c>
      <c r="L130" s="75" t="s">
        <v>125</v>
      </c>
      <c r="M130" s="76">
        <v>30</v>
      </c>
      <c r="N130" s="76"/>
      <c r="O130" s="78">
        <f t="shared" si="86"/>
        <v>5852.08</v>
      </c>
      <c r="P130" s="78">
        <f t="shared" si="94"/>
        <v>22237.89</v>
      </c>
      <c r="Q130" s="78">
        <f t="shared" si="87"/>
        <v>30040.656799999997</v>
      </c>
      <c r="R130" s="79">
        <f t="shared" si="77"/>
        <v>77637.546799999996</v>
      </c>
      <c r="S130" s="78">
        <f t="shared" si="78"/>
        <v>4876.7299999999996</v>
      </c>
      <c r="T130" s="78">
        <v>1.54</v>
      </c>
      <c r="U130" s="78">
        <f t="shared" si="79"/>
        <v>82514.276799999992</v>
      </c>
      <c r="V130" s="79">
        <f t="shared" si="65"/>
        <v>67544.665716000003</v>
      </c>
      <c r="W130" s="78">
        <f t="shared" si="66"/>
        <v>71787.420815999998</v>
      </c>
      <c r="X130" s="80">
        <v>3</v>
      </c>
      <c r="Y130" s="78">
        <v>3</v>
      </c>
      <c r="Z130" s="80">
        <f t="shared" si="67"/>
        <v>0</v>
      </c>
      <c r="AA130" s="80">
        <f t="shared" si="68"/>
        <v>0</v>
      </c>
      <c r="AB130" s="80">
        <f t="shared" si="69"/>
        <v>58520.759999999995</v>
      </c>
      <c r="AC130" s="80"/>
      <c r="AD130">
        <v>0.1</v>
      </c>
      <c r="AE130" s="78">
        <f t="shared" si="70"/>
        <v>1950.692</v>
      </c>
      <c r="AF130">
        <v>0.2</v>
      </c>
      <c r="AG130" s="78">
        <f t="shared" si="71"/>
        <v>3901.384</v>
      </c>
    </row>
    <row r="131" spans="1:33" x14ac:dyDescent="0.2">
      <c r="A131" s="102"/>
      <c r="B131" s="107"/>
      <c r="C131" s="107" t="s">
        <v>45</v>
      </c>
      <c r="D131" s="109">
        <v>1</v>
      </c>
      <c r="E131" s="73">
        <v>6500</v>
      </c>
      <c r="F131" s="74">
        <f t="shared" si="92"/>
        <v>7150</v>
      </c>
      <c r="G131" s="74">
        <f>F131*1.1*1.1+0.5</f>
        <v>8652.0000000000018</v>
      </c>
      <c r="H131" s="74">
        <v>10692.91</v>
      </c>
      <c r="I131" s="74">
        <f t="shared" si="93"/>
        <v>11762.201000000001</v>
      </c>
      <c r="J131" s="74">
        <v>12467.933060000001</v>
      </c>
      <c r="K131" s="74">
        <f>ROUND('ПРОЕКТ с 01.02.2023'!K131*1.09,2)</f>
        <v>19506.919999999998</v>
      </c>
      <c r="L131" s="105" t="s">
        <v>126</v>
      </c>
      <c r="M131" s="145">
        <v>30</v>
      </c>
      <c r="N131" s="76"/>
      <c r="O131" s="78">
        <f t="shared" si="86"/>
        <v>5852.08</v>
      </c>
      <c r="P131" s="78">
        <f t="shared" si="94"/>
        <v>22237.89</v>
      </c>
      <c r="Q131" s="78">
        <f t="shared" si="87"/>
        <v>30040.656799999997</v>
      </c>
      <c r="R131" s="79">
        <f t="shared" si="77"/>
        <v>77637.546799999996</v>
      </c>
      <c r="S131" s="78">
        <f t="shared" si="78"/>
        <v>4876.7299999999996</v>
      </c>
      <c r="T131" s="78">
        <v>1.54</v>
      </c>
      <c r="U131" s="78">
        <f t="shared" si="79"/>
        <v>82514.276799999992</v>
      </c>
      <c r="V131" s="79">
        <f t="shared" si="65"/>
        <v>67544.665716000003</v>
      </c>
      <c r="W131" s="78">
        <f t="shared" si="66"/>
        <v>71787.420815999998</v>
      </c>
      <c r="X131" s="80">
        <v>3</v>
      </c>
      <c r="Y131" s="78">
        <v>3</v>
      </c>
      <c r="Z131" s="80">
        <f t="shared" si="67"/>
        <v>0</v>
      </c>
      <c r="AA131" s="80">
        <f t="shared" si="68"/>
        <v>0</v>
      </c>
      <c r="AB131" s="80">
        <f t="shared" si="69"/>
        <v>58520.759999999995</v>
      </c>
      <c r="AC131" s="80"/>
      <c r="AD131">
        <v>0.1</v>
      </c>
      <c r="AE131" s="78">
        <f t="shared" si="70"/>
        <v>1950.692</v>
      </c>
      <c r="AF131">
        <v>0.2</v>
      </c>
      <c r="AG131" s="78">
        <f t="shared" si="71"/>
        <v>3901.384</v>
      </c>
    </row>
    <row r="132" spans="1:33" x14ac:dyDescent="0.2">
      <c r="A132" s="102" t="s">
        <v>127</v>
      </c>
      <c r="B132" s="107"/>
      <c r="C132" s="107" t="s">
        <v>48</v>
      </c>
      <c r="D132" s="109">
        <v>1</v>
      </c>
      <c r="E132" s="73">
        <v>5600</v>
      </c>
      <c r="F132" s="74">
        <f t="shared" si="92"/>
        <v>6160</v>
      </c>
      <c r="G132" s="74">
        <f>F132*1.1*1.1+0.4</f>
        <v>7454.0000000000009</v>
      </c>
      <c r="H132" s="74">
        <v>9212.35</v>
      </c>
      <c r="I132" s="74">
        <f t="shared" si="93"/>
        <v>10133.585000000001</v>
      </c>
      <c r="J132" s="74">
        <v>10741.600100000001</v>
      </c>
      <c r="K132" s="74">
        <f>ROUND('ПРОЕКТ с 01.02.2023'!K132*1.09,2)</f>
        <v>16805.98</v>
      </c>
      <c r="L132" s="75" t="s">
        <v>227</v>
      </c>
      <c r="M132" s="145">
        <v>30</v>
      </c>
      <c r="N132" s="76"/>
      <c r="O132" s="78">
        <f>ROUND((K132*M132/100),2)</f>
        <v>5041.79</v>
      </c>
      <c r="P132" s="78">
        <f t="shared" si="94"/>
        <v>19158.82</v>
      </c>
      <c r="Q132" s="78">
        <f t="shared" si="87"/>
        <v>24200.611199999999</v>
      </c>
      <c r="R132" s="79">
        <f t="shared" si="77"/>
        <v>65207.201199999996</v>
      </c>
      <c r="S132" s="78">
        <f t="shared" si="78"/>
        <v>4201.5</v>
      </c>
      <c r="T132" s="78">
        <v>1.44</v>
      </c>
      <c r="U132" s="78">
        <f t="shared" si="79"/>
        <v>69408.701199999996</v>
      </c>
      <c r="V132" s="79">
        <f t="shared" si="65"/>
        <v>56730.265044</v>
      </c>
      <c r="W132" s="78">
        <f t="shared" si="66"/>
        <v>60385.570043999993</v>
      </c>
      <c r="X132" s="80">
        <v>3</v>
      </c>
      <c r="Y132" s="78"/>
      <c r="Z132" s="80">
        <v>1</v>
      </c>
      <c r="AA132" s="80">
        <f t="shared" si="68"/>
        <v>16805.98</v>
      </c>
      <c r="AB132" s="80">
        <f t="shared" si="69"/>
        <v>0</v>
      </c>
      <c r="AC132" s="80"/>
      <c r="AD132">
        <v>0.1</v>
      </c>
      <c r="AE132" s="78">
        <f t="shared" si="70"/>
        <v>1680.598</v>
      </c>
      <c r="AF132">
        <v>0.2</v>
      </c>
      <c r="AG132" s="78">
        <f t="shared" si="71"/>
        <v>3361.1959999999999</v>
      </c>
    </row>
    <row r="133" spans="1:33" x14ac:dyDescent="0.2">
      <c r="A133" s="102"/>
      <c r="B133" s="107"/>
      <c r="C133" s="107" t="s">
        <v>45</v>
      </c>
      <c r="D133" s="109">
        <v>1</v>
      </c>
      <c r="E133" s="73"/>
      <c r="F133" s="74"/>
      <c r="G133" s="74"/>
      <c r="H133" s="74">
        <v>9212.35</v>
      </c>
      <c r="I133" s="74">
        <f t="shared" si="93"/>
        <v>10133.585000000001</v>
      </c>
      <c r="J133" s="74">
        <v>10741.600100000001</v>
      </c>
      <c r="K133" s="74">
        <f>ROUND('ПРОЕКТ с 01.02.2023'!K133*1.09,2)</f>
        <v>19506.919999999998</v>
      </c>
      <c r="L133" s="180" t="s">
        <v>191</v>
      </c>
      <c r="M133" s="146">
        <v>30</v>
      </c>
      <c r="N133" s="76"/>
      <c r="O133" s="78">
        <f>ROUND((K133*M133/100),2)</f>
        <v>5852.08</v>
      </c>
      <c r="P133" s="78">
        <f t="shared" si="94"/>
        <v>22237.89</v>
      </c>
      <c r="Q133" s="78">
        <f t="shared" si="87"/>
        <v>30040.656799999997</v>
      </c>
      <c r="R133" s="79">
        <f t="shared" si="77"/>
        <v>77637.546799999996</v>
      </c>
      <c r="S133" s="78">
        <f t="shared" si="78"/>
        <v>4876.7299999999996</v>
      </c>
      <c r="T133" s="78">
        <v>1.54</v>
      </c>
      <c r="U133" s="78">
        <f t="shared" si="79"/>
        <v>82514.276799999992</v>
      </c>
      <c r="V133" s="79">
        <f t="shared" si="65"/>
        <v>67544.665716000003</v>
      </c>
      <c r="W133" s="78">
        <f t="shared" si="66"/>
        <v>71787.420815999998</v>
      </c>
      <c r="X133" s="80">
        <v>3</v>
      </c>
      <c r="Y133" s="124"/>
      <c r="Z133" s="80">
        <v>1</v>
      </c>
      <c r="AA133" s="80">
        <f t="shared" si="68"/>
        <v>19506.919999999998</v>
      </c>
      <c r="AB133" s="80">
        <f t="shared" si="69"/>
        <v>0</v>
      </c>
      <c r="AC133" s="80"/>
      <c r="AD133">
        <v>0.1</v>
      </c>
      <c r="AE133" s="78">
        <f t="shared" si="70"/>
        <v>1950.692</v>
      </c>
      <c r="AF133">
        <v>0.2</v>
      </c>
      <c r="AG133" s="78">
        <f t="shared" si="71"/>
        <v>3901.384</v>
      </c>
    </row>
    <row r="134" spans="1:33" x14ac:dyDescent="0.2">
      <c r="A134" s="102"/>
      <c r="B134" s="107"/>
      <c r="C134" s="107" t="s">
        <v>48</v>
      </c>
      <c r="D134" s="143">
        <v>1</v>
      </c>
      <c r="E134" s="118"/>
      <c r="F134" s="74"/>
      <c r="G134" s="74"/>
      <c r="H134" s="74">
        <v>9212.35</v>
      </c>
      <c r="I134" s="74">
        <f t="shared" si="93"/>
        <v>10133.585000000001</v>
      </c>
      <c r="J134" s="74">
        <v>10741.600100000001</v>
      </c>
      <c r="K134" s="74">
        <f>ROUND('ПРОЕКТ с 01.02.2023'!K134*1.09,2)</f>
        <v>16805.98</v>
      </c>
      <c r="L134" s="180" t="s">
        <v>219</v>
      </c>
      <c r="M134" s="145">
        <v>20</v>
      </c>
      <c r="N134" s="83"/>
      <c r="O134" s="78">
        <f t="shared" si="86"/>
        <v>3361.2</v>
      </c>
      <c r="P134" s="78">
        <f t="shared" si="94"/>
        <v>19158.82</v>
      </c>
      <c r="Q134" s="78">
        <f t="shared" si="87"/>
        <v>24200.611199999999</v>
      </c>
      <c r="R134" s="79">
        <f t="shared" si="77"/>
        <v>63526.611199999999</v>
      </c>
      <c r="S134" s="78">
        <f t="shared" si="78"/>
        <v>4201.5</v>
      </c>
      <c r="T134" s="78">
        <v>1.44</v>
      </c>
      <c r="U134" s="78">
        <f t="shared" si="79"/>
        <v>67728.111199999999</v>
      </c>
      <c r="V134" s="79">
        <f t="shared" si="65"/>
        <v>55268.151744000003</v>
      </c>
      <c r="W134" s="78">
        <f t="shared" si="66"/>
        <v>58923.456743999996</v>
      </c>
      <c r="X134" s="80">
        <v>3</v>
      </c>
      <c r="Y134" s="124"/>
      <c r="Z134" s="80">
        <v>1</v>
      </c>
      <c r="AA134" s="80">
        <f t="shared" si="68"/>
        <v>16805.98</v>
      </c>
      <c r="AB134" s="80">
        <f t="shared" si="69"/>
        <v>0</v>
      </c>
      <c r="AC134" s="80"/>
      <c r="AD134">
        <v>0.1</v>
      </c>
      <c r="AE134" s="78">
        <f t="shared" si="70"/>
        <v>1680.598</v>
      </c>
      <c r="AF134">
        <v>0.2</v>
      </c>
      <c r="AG134" s="78">
        <f t="shared" si="71"/>
        <v>3361.1959999999999</v>
      </c>
    </row>
    <row r="135" spans="1:33" x14ac:dyDescent="0.2">
      <c r="A135" s="102"/>
      <c r="B135" s="87"/>
      <c r="C135" s="87" t="s">
        <v>51</v>
      </c>
      <c r="D135" s="111">
        <f>SUM(D127:D134)</f>
        <v>8</v>
      </c>
      <c r="E135" s="95">
        <f>SUM(E127:E132)</f>
        <v>41300</v>
      </c>
      <c r="F135" s="95">
        <f>SUM(F127:F132)</f>
        <v>45430</v>
      </c>
      <c r="G135" s="95">
        <f>SUM(G127:G132)</f>
        <v>54973</v>
      </c>
      <c r="H135" s="95">
        <f>SUM(H127:H134)</f>
        <v>86365.790000000023</v>
      </c>
      <c r="I135" s="95">
        <f>SUM(I127:I134)</f>
        <v>95002.369000000021</v>
      </c>
      <c r="J135" s="95">
        <v>100702.51114</v>
      </c>
      <c r="K135" s="231">
        <f>SUM(K127:K134)</f>
        <v>160256.82999999999</v>
      </c>
      <c r="L135" s="148"/>
      <c r="M135" s="148"/>
      <c r="N135" s="148">
        <f t="shared" ref="N135" si="95">SUM(N127:N134)</f>
        <v>0</v>
      </c>
      <c r="O135" s="148">
        <f>SUM(O127:O134)</f>
        <v>44445.770000000004</v>
      </c>
      <c r="P135" s="148">
        <f t="shared" ref="P135:W135" si="96">SUM(P127:P134)</f>
        <v>185243.69</v>
      </c>
      <c r="Q135" s="148">
        <f t="shared" si="96"/>
        <v>243434.3222</v>
      </c>
      <c r="R135" s="148">
        <f t="shared" si="96"/>
        <v>633380.61220000009</v>
      </c>
      <c r="S135" s="148">
        <f t="shared" si="96"/>
        <v>40064.22</v>
      </c>
      <c r="T135" s="148">
        <f t="shared" si="96"/>
        <v>12.12</v>
      </c>
      <c r="U135" s="148">
        <f t="shared" si="96"/>
        <v>673444.83219999995</v>
      </c>
      <c r="V135" s="148">
        <f t="shared" si="96"/>
        <v>551041.132614</v>
      </c>
      <c r="W135" s="148">
        <f t="shared" si="96"/>
        <v>585897.00401399995</v>
      </c>
      <c r="X135" s="80"/>
      <c r="Y135" s="148"/>
      <c r="Z135" s="80"/>
      <c r="AA135" s="80">
        <f t="shared" si="68"/>
        <v>0</v>
      </c>
      <c r="AB135" s="80">
        <f t="shared" si="69"/>
        <v>0</v>
      </c>
      <c r="AC135" s="149"/>
      <c r="AD135">
        <v>0.1</v>
      </c>
      <c r="AE135" s="150">
        <f t="shared" si="70"/>
        <v>16025.682999999999</v>
      </c>
      <c r="AF135">
        <v>0.2</v>
      </c>
      <c r="AG135" s="150">
        <f t="shared" si="71"/>
        <v>32051.365999999998</v>
      </c>
    </row>
    <row r="136" spans="1:33" ht="33.75" customHeight="1" x14ac:dyDescent="0.2">
      <c r="A136" s="102"/>
      <c r="B136" s="151"/>
      <c r="C136" s="151" t="s">
        <v>128</v>
      </c>
      <c r="D136" s="152">
        <f t="shared" ref="D136:K136" si="97">D16+D24+D55+D59+D93+D109+D121+D135+D97+D125</f>
        <v>92</v>
      </c>
      <c r="E136" s="153">
        <f t="shared" si="97"/>
        <v>322200</v>
      </c>
      <c r="F136" s="153">
        <f t="shared" si="97"/>
        <v>355300</v>
      </c>
      <c r="G136" s="153">
        <f t="shared" si="97"/>
        <v>563440</v>
      </c>
      <c r="H136" s="153">
        <f t="shared" si="97"/>
        <v>765283.27000000014</v>
      </c>
      <c r="I136" s="153">
        <f t="shared" si="97"/>
        <v>841811.59700000018</v>
      </c>
      <c r="J136" s="153">
        <f t="shared" si="97"/>
        <v>921092.43886000011</v>
      </c>
      <c r="K136" s="231">
        <f t="shared" si="97"/>
        <v>1861860.2499999995</v>
      </c>
      <c r="L136" s="154"/>
      <c r="M136" s="154"/>
      <c r="N136" s="154">
        <f t="shared" ref="N136:W136" si="98">N16+N24+N55+N59+N93+N109+N121+N135+N97+N125</f>
        <v>0</v>
      </c>
      <c r="O136" s="154">
        <f t="shared" si="98"/>
        <v>469801.68000000005</v>
      </c>
      <c r="P136" s="154">
        <f t="shared" si="98"/>
        <v>2126572.14</v>
      </c>
      <c r="Q136" s="154">
        <f t="shared" si="98"/>
        <v>2743560.8705999996</v>
      </c>
      <c r="R136" s="154">
        <f t="shared" si="98"/>
        <v>7115184.2105999999</v>
      </c>
      <c r="S136" s="154">
        <f t="shared" si="98"/>
        <v>455711.69999999984</v>
      </c>
      <c r="T136" s="154">
        <f t="shared" si="98"/>
        <v>135.18</v>
      </c>
      <c r="U136" s="154">
        <f t="shared" si="98"/>
        <v>7566019.1806000015</v>
      </c>
      <c r="V136" s="154">
        <f t="shared" si="98"/>
        <v>6190210.2632219996</v>
      </c>
      <c r="W136" s="154">
        <f t="shared" si="98"/>
        <v>6582436.6871219985</v>
      </c>
      <c r="X136" s="80"/>
      <c r="Y136" s="154"/>
      <c r="Z136" s="80"/>
      <c r="AA136" s="80">
        <f t="shared" si="68"/>
        <v>0</v>
      </c>
      <c r="AB136" s="80">
        <f t="shared" si="69"/>
        <v>0</v>
      </c>
      <c r="AC136" s="155"/>
      <c r="AD136">
        <v>0.1</v>
      </c>
      <c r="AE136" s="154">
        <f>AE16+AE24+AE55+AE59+AE93+AE109+AE121+AE135+AE97+AE125</f>
        <v>205692.94499999998</v>
      </c>
      <c r="AF136" s="154"/>
      <c r="AG136" s="154">
        <f>AG16+AG24+AG55+AG59+AG93+AG109+AG121+AG135+AG97+AG125</f>
        <v>391878.96999999991</v>
      </c>
    </row>
    <row r="137" spans="1:33" x14ac:dyDescent="0.2">
      <c r="A137" s="156" t="s">
        <v>129</v>
      </c>
      <c r="B137" s="157"/>
      <c r="C137" s="157"/>
      <c r="D137" s="158"/>
      <c r="E137" s="159"/>
      <c r="F137" s="159"/>
      <c r="G137" s="159"/>
      <c r="H137" s="159"/>
      <c r="I137" s="159"/>
      <c r="J137" s="159"/>
      <c r="K137" s="74"/>
      <c r="L137" s="160"/>
      <c r="M137" s="161"/>
      <c r="N137" s="161"/>
      <c r="O137" s="159"/>
      <c r="P137" s="159"/>
      <c r="Q137" s="162"/>
      <c r="R137" s="79"/>
      <c r="S137" s="159"/>
      <c r="T137" s="159"/>
      <c r="U137" s="159"/>
      <c r="V137" s="163"/>
      <c r="W137" s="159"/>
      <c r="X137" s="80"/>
      <c r="Y137" s="159"/>
      <c r="Z137" s="80"/>
      <c r="AA137" s="80">
        <f t="shared" si="68"/>
        <v>0</v>
      </c>
      <c r="AB137" s="80">
        <f t="shared" si="69"/>
        <v>0</v>
      </c>
      <c r="AC137" s="164"/>
      <c r="AD137">
        <v>0.1</v>
      </c>
      <c r="AE137" s="159"/>
      <c r="AG137" s="159"/>
    </row>
    <row r="138" spans="1:33" x14ac:dyDescent="0.2">
      <c r="A138" s="165"/>
      <c r="B138" s="166"/>
      <c r="C138" s="166"/>
      <c r="D138" s="167"/>
      <c r="E138" s="168"/>
      <c r="F138" s="168"/>
      <c r="G138" s="168"/>
      <c r="H138" s="168"/>
      <c r="I138" s="168"/>
      <c r="J138" s="168"/>
      <c r="K138" s="74"/>
      <c r="L138" s="169"/>
      <c r="M138" s="170"/>
      <c r="N138" s="170"/>
      <c r="O138" s="168"/>
      <c r="P138" s="168"/>
      <c r="Q138" s="168"/>
      <c r="R138" s="79"/>
      <c r="S138" s="168"/>
      <c r="T138" s="168"/>
      <c r="U138" s="168"/>
      <c r="V138" s="171"/>
      <c r="W138" s="168"/>
      <c r="X138" s="80"/>
      <c r="Y138" s="168"/>
      <c r="Z138" s="80"/>
      <c r="AA138" s="80">
        <f t="shared" si="68"/>
        <v>0</v>
      </c>
      <c r="AB138" s="80">
        <f t="shared" si="69"/>
        <v>0</v>
      </c>
      <c r="AC138" s="164"/>
      <c r="AD138">
        <v>0.1</v>
      </c>
      <c r="AE138" s="168"/>
      <c r="AG138" s="168"/>
    </row>
    <row r="139" spans="1:33" ht="27" customHeight="1" x14ac:dyDescent="0.2">
      <c r="A139" s="172" t="s">
        <v>130</v>
      </c>
      <c r="B139" s="173"/>
      <c r="C139" s="173"/>
      <c r="D139" s="174"/>
      <c r="E139" s="175"/>
      <c r="F139" s="175"/>
      <c r="G139" s="175"/>
      <c r="H139" s="175"/>
      <c r="I139" s="175"/>
      <c r="J139" s="175"/>
      <c r="K139" s="90"/>
      <c r="L139" s="176"/>
      <c r="M139" s="173"/>
      <c r="N139" s="173"/>
      <c r="O139" s="173"/>
      <c r="P139" s="177"/>
      <c r="Q139" s="178"/>
      <c r="R139" s="79"/>
      <c r="S139" s="173"/>
      <c r="T139" s="177"/>
      <c r="U139" s="173"/>
      <c r="V139" s="179"/>
      <c r="W139" s="173"/>
      <c r="X139" s="80"/>
      <c r="Y139" s="173"/>
      <c r="Z139" s="80"/>
      <c r="AA139" s="80">
        <f t="shared" si="68"/>
        <v>0</v>
      </c>
      <c r="AB139" s="80">
        <f t="shared" si="69"/>
        <v>0</v>
      </c>
      <c r="AC139" s="68"/>
      <c r="AD139">
        <v>0.1</v>
      </c>
      <c r="AE139" s="173"/>
      <c r="AG139" s="173"/>
    </row>
    <row r="140" spans="1:33" ht="26.25" customHeight="1" x14ac:dyDescent="0.2">
      <c r="A140" s="71" t="s">
        <v>131</v>
      </c>
      <c r="B140" s="97"/>
      <c r="C140" s="97"/>
      <c r="D140" s="94"/>
      <c r="E140" s="95"/>
      <c r="F140" s="95"/>
      <c r="G140" s="95"/>
      <c r="H140" s="95"/>
      <c r="I140" s="95"/>
      <c r="J140" s="95"/>
      <c r="K140" s="90"/>
      <c r="L140" s="96"/>
      <c r="M140" s="97"/>
      <c r="N140" s="97"/>
      <c r="O140" s="98"/>
      <c r="P140" s="130">
        <v>1.1399999999999999</v>
      </c>
      <c r="Q140" s="66" t="s">
        <v>132</v>
      </c>
      <c r="R140" s="79"/>
      <c r="S140" s="98"/>
      <c r="T140" s="130"/>
      <c r="U140" s="98"/>
      <c r="V140" s="100"/>
      <c r="W140" s="98"/>
      <c r="X140" s="80"/>
      <c r="Y140" s="98"/>
      <c r="Z140" s="80"/>
      <c r="AA140" s="80">
        <f t="shared" si="68"/>
        <v>0</v>
      </c>
      <c r="AB140" s="80">
        <f t="shared" si="69"/>
        <v>0</v>
      </c>
      <c r="AC140" s="101"/>
      <c r="AD140">
        <v>0.1</v>
      </c>
      <c r="AE140" s="98"/>
      <c r="AG140" s="98"/>
    </row>
    <row r="141" spans="1:33" x14ac:dyDescent="0.2">
      <c r="A141" s="102"/>
      <c r="B141" s="87"/>
      <c r="C141" s="87" t="s">
        <v>133</v>
      </c>
      <c r="D141" s="72">
        <v>1</v>
      </c>
      <c r="E141" s="73">
        <v>7500</v>
      </c>
      <c r="F141" s="74">
        <f t="shared" ref="F141:F146" si="99">ROUND(E141*F$12,2)</f>
        <v>8250</v>
      </c>
      <c r="G141" s="74">
        <f>F141*1.1*1.1+0.5</f>
        <v>9983</v>
      </c>
      <c r="H141" s="74">
        <v>12337.98</v>
      </c>
      <c r="I141" s="74">
        <f t="shared" ref="I141:I146" si="100">H141*$I$12</f>
        <v>13571.778</v>
      </c>
      <c r="J141" s="74">
        <v>14386.084680000002</v>
      </c>
      <c r="K141" s="74">
        <f>ROUND('ПРОЕКТ с 01.02.2023'!K141*1.09,2)</f>
        <v>22508</v>
      </c>
      <c r="L141" s="105" t="s">
        <v>134</v>
      </c>
      <c r="M141" s="76">
        <v>30</v>
      </c>
      <c r="N141" s="76"/>
      <c r="O141" s="78">
        <f>ROUND((K141*M141/100),2)</f>
        <v>6752.4</v>
      </c>
      <c r="P141" s="78">
        <f>ROUND(K141*1.14,2)</f>
        <v>25659.119999999999</v>
      </c>
      <c r="Q141" s="78">
        <f>K141*T141</f>
        <v>32411.52</v>
      </c>
      <c r="R141" s="79">
        <f>K141+O141+P141+Q141</f>
        <v>87331.040000000008</v>
      </c>
      <c r="S141" s="78">
        <f>ROUND(K141*S$12,2)</f>
        <v>5627</v>
      </c>
      <c r="T141" s="78">
        <v>1.44</v>
      </c>
      <c r="U141" s="78">
        <f>K141+O141+P141+Q141+S141</f>
        <v>92958.040000000008</v>
      </c>
      <c r="V141" s="79">
        <f t="shared" si="65"/>
        <v>75978.00480000001</v>
      </c>
      <c r="W141" s="78">
        <f t="shared" si="66"/>
        <v>80873.4948</v>
      </c>
      <c r="X141" s="80">
        <v>3</v>
      </c>
      <c r="Y141" s="78">
        <v>2</v>
      </c>
      <c r="Z141" s="80">
        <f t="shared" si="67"/>
        <v>1</v>
      </c>
      <c r="AA141" s="80">
        <f t="shared" si="68"/>
        <v>22508</v>
      </c>
      <c r="AB141" s="80">
        <f t="shared" si="69"/>
        <v>45016</v>
      </c>
      <c r="AC141" s="80"/>
      <c r="AD141">
        <v>0.1</v>
      </c>
      <c r="AE141" s="78">
        <f t="shared" si="70"/>
        <v>2250.8000000000002</v>
      </c>
      <c r="AF141">
        <v>0.1</v>
      </c>
      <c r="AG141" s="78">
        <f>K141*AF141</f>
        <v>2250.8000000000002</v>
      </c>
    </row>
    <row r="142" spans="1:33" ht="21" customHeight="1" x14ac:dyDescent="0.2">
      <c r="A142" s="102"/>
      <c r="B142" s="122"/>
      <c r="C142" s="122" t="s">
        <v>90</v>
      </c>
      <c r="D142" s="72">
        <v>1</v>
      </c>
      <c r="E142" s="73">
        <v>6000</v>
      </c>
      <c r="F142" s="74">
        <f t="shared" si="99"/>
        <v>6600</v>
      </c>
      <c r="G142" s="74">
        <f>F142*1.1*1.1</f>
        <v>7986.0000000000018</v>
      </c>
      <c r="H142" s="74">
        <v>9870.3799999999992</v>
      </c>
      <c r="I142" s="74">
        <f t="shared" si="100"/>
        <v>10857.418</v>
      </c>
      <c r="J142" s="74">
        <v>11508.863080000001</v>
      </c>
      <c r="K142" s="74">
        <f>ROUND('ПРОЕКТ с 01.02.2023'!K142*1.09,2)</f>
        <v>18006.400000000001</v>
      </c>
      <c r="L142" s="180" t="s">
        <v>135</v>
      </c>
      <c r="M142" s="83">
        <v>30</v>
      </c>
      <c r="N142" s="76"/>
      <c r="O142" s="78">
        <f t="shared" ref="O142:O192" si="101">ROUND((K142*M142/100),2)</f>
        <v>5401.92</v>
      </c>
      <c r="P142" s="78">
        <f t="shared" ref="P142:P192" si="102">ROUND(K142*1.14,2)</f>
        <v>20527.3</v>
      </c>
      <c r="Q142" s="78">
        <f t="shared" ref="Q142:Q192" si="103">K142*T142</f>
        <v>17826.336000000003</v>
      </c>
      <c r="R142" s="79">
        <f t="shared" ref="R142:R192" si="104">K142+O142+P142+Q142</f>
        <v>61761.955999999998</v>
      </c>
      <c r="S142" s="78">
        <f t="shared" ref="S142:S192" si="105">ROUND(K142*S$12,2)</f>
        <v>4501.6000000000004</v>
      </c>
      <c r="T142" s="78">
        <v>0.99</v>
      </c>
      <c r="U142" s="78">
        <f t="shared" ref="U142:U192" si="106">K142+O142+P142+Q142+S142</f>
        <v>66263.555999999997</v>
      </c>
      <c r="V142" s="79">
        <f t="shared" si="65"/>
        <v>53732.901720000002</v>
      </c>
      <c r="W142" s="78">
        <f t="shared" si="66"/>
        <v>57649.293719999994</v>
      </c>
      <c r="X142" s="80">
        <v>3</v>
      </c>
      <c r="Y142" s="78">
        <v>3</v>
      </c>
      <c r="Z142" s="80">
        <f t="shared" si="67"/>
        <v>0</v>
      </c>
      <c r="AA142" s="80">
        <f t="shared" si="68"/>
        <v>0</v>
      </c>
      <c r="AB142" s="80">
        <f t="shared" si="69"/>
        <v>54019.200000000004</v>
      </c>
      <c r="AC142" s="80"/>
      <c r="AD142">
        <v>0.1</v>
      </c>
      <c r="AE142" s="78">
        <f t="shared" si="70"/>
        <v>1800.6400000000003</v>
      </c>
      <c r="AF142">
        <v>0.1</v>
      </c>
      <c r="AG142" s="78">
        <f t="shared" ref="AG142:AG192" si="107">K142*AF142</f>
        <v>1800.6400000000003</v>
      </c>
    </row>
    <row r="143" spans="1:33" ht="15.75" customHeight="1" x14ac:dyDescent="0.2">
      <c r="A143" s="102"/>
      <c r="B143" s="122"/>
      <c r="C143" s="107" t="s">
        <v>48</v>
      </c>
      <c r="D143" s="109">
        <v>1</v>
      </c>
      <c r="E143" s="73">
        <v>5000</v>
      </c>
      <c r="F143" s="74">
        <f t="shared" si="99"/>
        <v>5500</v>
      </c>
      <c r="G143" s="74">
        <f>F143*1.1*1.1</f>
        <v>6655.0000000000018</v>
      </c>
      <c r="H143" s="74">
        <v>8225.31</v>
      </c>
      <c r="I143" s="74">
        <f t="shared" si="100"/>
        <v>9047.8410000000003</v>
      </c>
      <c r="J143" s="74">
        <v>9590.7114600000004</v>
      </c>
      <c r="K143" s="74">
        <f>ROUND('ПРОЕКТ с 01.02.2023'!K143*1.09,2)</f>
        <v>15005.31</v>
      </c>
      <c r="L143" s="75" t="s">
        <v>211</v>
      </c>
      <c r="M143" s="83">
        <v>30</v>
      </c>
      <c r="N143" s="76"/>
      <c r="O143" s="78">
        <f t="shared" si="101"/>
        <v>4501.59</v>
      </c>
      <c r="P143" s="78">
        <f t="shared" si="102"/>
        <v>17106.05</v>
      </c>
      <c r="Q143" s="78">
        <f t="shared" si="103"/>
        <v>13354.725899999999</v>
      </c>
      <c r="R143" s="79">
        <f t="shared" si="104"/>
        <v>49967.675899999995</v>
      </c>
      <c r="S143" s="78">
        <f t="shared" si="105"/>
        <v>3751.33</v>
      </c>
      <c r="T143" s="78">
        <v>0.89</v>
      </c>
      <c r="U143" s="78">
        <f t="shared" si="106"/>
        <v>53719.005899999996</v>
      </c>
      <c r="V143" s="79">
        <f t="shared" si="65"/>
        <v>43471.878032999994</v>
      </c>
      <c r="W143" s="78">
        <f t="shared" si="66"/>
        <v>46735.535132999998</v>
      </c>
      <c r="X143" s="80">
        <v>3</v>
      </c>
      <c r="Y143" s="78">
        <v>3</v>
      </c>
      <c r="Z143" s="80">
        <f t="shared" si="67"/>
        <v>0</v>
      </c>
      <c r="AA143" s="80">
        <f t="shared" si="68"/>
        <v>0</v>
      </c>
      <c r="AB143" s="80">
        <f t="shared" si="69"/>
        <v>45015.93</v>
      </c>
      <c r="AC143" s="80"/>
      <c r="AD143">
        <v>0.1</v>
      </c>
      <c r="AE143" s="78">
        <f t="shared" si="70"/>
        <v>1500.5309999999999</v>
      </c>
      <c r="AF143">
        <v>0.1</v>
      </c>
      <c r="AG143" s="78">
        <f t="shared" si="107"/>
        <v>1500.5309999999999</v>
      </c>
    </row>
    <row r="144" spans="1:33" ht="25.5" x14ac:dyDescent="0.2">
      <c r="A144" s="102"/>
      <c r="B144" s="107"/>
      <c r="C144" s="131" t="s">
        <v>136</v>
      </c>
      <c r="D144" s="109">
        <v>1</v>
      </c>
      <c r="E144" s="73">
        <v>5000</v>
      </c>
      <c r="F144" s="74">
        <f t="shared" si="99"/>
        <v>5500</v>
      </c>
      <c r="G144" s="74">
        <f>F144*1.1*1.1</f>
        <v>6655.0000000000018</v>
      </c>
      <c r="H144" s="74">
        <v>8225.31</v>
      </c>
      <c r="I144" s="74">
        <f t="shared" si="100"/>
        <v>9047.8410000000003</v>
      </c>
      <c r="J144" s="74">
        <v>9590.7114600000004</v>
      </c>
      <c r="K144" s="74">
        <f>ROUND('ПРОЕКТ с 01.02.2023'!K144*1.09,2)</f>
        <v>18006.400000000001</v>
      </c>
      <c r="L144" s="75"/>
      <c r="M144" s="83"/>
      <c r="N144" s="76"/>
      <c r="O144" s="78">
        <f t="shared" si="101"/>
        <v>0</v>
      </c>
      <c r="P144" s="78">
        <f t="shared" si="102"/>
        <v>20527.3</v>
      </c>
      <c r="Q144" s="78">
        <f t="shared" si="103"/>
        <v>17826.336000000003</v>
      </c>
      <c r="R144" s="79">
        <f t="shared" si="104"/>
        <v>56360.036</v>
      </c>
      <c r="S144" s="78">
        <f t="shared" si="105"/>
        <v>4501.6000000000004</v>
      </c>
      <c r="T144" s="78">
        <v>0.99</v>
      </c>
      <c r="U144" s="78">
        <f t="shared" si="106"/>
        <v>60861.635999999999</v>
      </c>
      <c r="V144" s="79">
        <f t="shared" si="65"/>
        <v>49033.231319999999</v>
      </c>
      <c r="W144" s="78">
        <f t="shared" si="66"/>
        <v>52949.623319999999</v>
      </c>
      <c r="X144" s="80">
        <v>3</v>
      </c>
      <c r="Y144" s="78">
        <v>3</v>
      </c>
      <c r="Z144" s="80">
        <f t="shared" si="67"/>
        <v>0</v>
      </c>
      <c r="AA144" s="80">
        <f t="shared" si="68"/>
        <v>0</v>
      </c>
      <c r="AB144" s="80">
        <f t="shared" si="69"/>
        <v>54019.200000000004</v>
      </c>
      <c r="AC144" s="80"/>
      <c r="AD144">
        <v>0.1</v>
      </c>
      <c r="AE144" s="78">
        <f t="shared" si="70"/>
        <v>1800.6400000000003</v>
      </c>
      <c r="AF144">
        <v>0.1</v>
      </c>
      <c r="AG144" s="78">
        <f t="shared" si="107"/>
        <v>1800.6400000000003</v>
      </c>
    </row>
    <row r="145" spans="1:33" ht="30.75" customHeight="1" x14ac:dyDescent="0.2">
      <c r="A145" s="102"/>
      <c r="B145" s="107"/>
      <c r="C145" s="131" t="s">
        <v>136</v>
      </c>
      <c r="D145" s="109">
        <v>1</v>
      </c>
      <c r="E145" s="73">
        <v>5000</v>
      </c>
      <c r="F145" s="74">
        <f t="shared" si="99"/>
        <v>5500</v>
      </c>
      <c r="G145" s="74">
        <f>F145*1.1*1.1</f>
        <v>6655.0000000000018</v>
      </c>
      <c r="H145" s="74">
        <v>8225.31</v>
      </c>
      <c r="I145" s="74">
        <f t="shared" si="100"/>
        <v>9047.8410000000003</v>
      </c>
      <c r="J145" s="74">
        <v>9590.7114600000004</v>
      </c>
      <c r="K145" s="74">
        <f>ROUND('ПРОЕКТ с 01.02.2023'!K145*1.09,2)</f>
        <v>18006.400000000001</v>
      </c>
      <c r="L145" s="75" t="s">
        <v>137</v>
      </c>
      <c r="M145" s="83">
        <v>30</v>
      </c>
      <c r="N145" s="76"/>
      <c r="O145" s="78">
        <f t="shared" si="101"/>
        <v>5401.92</v>
      </c>
      <c r="P145" s="78">
        <f t="shared" si="102"/>
        <v>20527.3</v>
      </c>
      <c r="Q145" s="78">
        <f t="shared" si="103"/>
        <v>17826.336000000003</v>
      </c>
      <c r="R145" s="79">
        <f t="shared" si="104"/>
        <v>61761.955999999998</v>
      </c>
      <c r="S145" s="78">
        <f t="shared" si="105"/>
        <v>4501.6000000000004</v>
      </c>
      <c r="T145" s="78">
        <v>0.99</v>
      </c>
      <c r="U145" s="78">
        <f t="shared" si="106"/>
        <v>66263.555999999997</v>
      </c>
      <c r="V145" s="79">
        <f t="shared" si="65"/>
        <v>53732.901720000002</v>
      </c>
      <c r="W145" s="78">
        <f t="shared" si="66"/>
        <v>57649.293719999994</v>
      </c>
      <c r="X145" s="80">
        <v>3</v>
      </c>
      <c r="Y145" s="78">
        <v>3</v>
      </c>
      <c r="Z145" s="80">
        <f t="shared" si="67"/>
        <v>0</v>
      </c>
      <c r="AA145" s="80">
        <f t="shared" si="68"/>
        <v>0</v>
      </c>
      <c r="AB145" s="80">
        <f t="shared" si="69"/>
        <v>54019.200000000004</v>
      </c>
      <c r="AC145" s="80"/>
      <c r="AD145">
        <v>0.1</v>
      </c>
      <c r="AE145" s="78">
        <f t="shared" si="70"/>
        <v>1800.6400000000003</v>
      </c>
      <c r="AF145">
        <v>0.1</v>
      </c>
      <c r="AG145" s="78">
        <f t="shared" si="107"/>
        <v>1800.6400000000003</v>
      </c>
    </row>
    <row r="146" spans="1:33" x14ac:dyDescent="0.2">
      <c r="A146" s="102"/>
      <c r="B146" s="107"/>
      <c r="C146" s="107" t="s">
        <v>138</v>
      </c>
      <c r="D146" s="109">
        <v>1</v>
      </c>
      <c r="E146" s="73">
        <v>4500</v>
      </c>
      <c r="F146" s="74">
        <f t="shared" si="99"/>
        <v>4950</v>
      </c>
      <c r="G146" s="74">
        <f>F146*1.1*1.1+0.5</f>
        <v>5990.0000000000009</v>
      </c>
      <c r="H146" s="74">
        <v>7402.79</v>
      </c>
      <c r="I146" s="74">
        <f t="shared" si="100"/>
        <v>8143.0690000000004</v>
      </c>
      <c r="J146" s="74">
        <v>8631.6531400000003</v>
      </c>
      <c r="K146" s="74">
        <f>ROUND('ПРОЕКТ с 01.02.2023'!K146*1.09,2)</f>
        <v>13504.81</v>
      </c>
      <c r="L146" s="75" t="s">
        <v>139</v>
      </c>
      <c r="M146" s="76">
        <v>0</v>
      </c>
      <c r="N146" s="76"/>
      <c r="O146" s="78">
        <f>ROUND((K146*M146/100),2)</f>
        <v>0</v>
      </c>
      <c r="P146" s="78">
        <f t="shared" si="102"/>
        <v>15395.48</v>
      </c>
      <c r="Q146" s="78">
        <f t="shared" si="103"/>
        <v>7292.5974000000006</v>
      </c>
      <c r="R146" s="79">
        <f t="shared" si="104"/>
        <v>36192.8874</v>
      </c>
      <c r="S146" s="78">
        <f t="shared" si="105"/>
        <v>3376.2</v>
      </c>
      <c r="T146" s="78">
        <v>0.54</v>
      </c>
      <c r="U146" s="78">
        <f t="shared" si="106"/>
        <v>39569.087399999997</v>
      </c>
      <c r="V146" s="79">
        <f t="shared" si="65"/>
        <v>31487.812038</v>
      </c>
      <c r="W146" s="78">
        <f t="shared" si="66"/>
        <v>34425.106037999998</v>
      </c>
      <c r="X146" s="80">
        <v>3</v>
      </c>
      <c r="Y146" s="78"/>
      <c r="Z146" s="80">
        <f t="shared" si="67"/>
        <v>3</v>
      </c>
      <c r="AA146" s="80">
        <f t="shared" si="68"/>
        <v>40514.43</v>
      </c>
      <c r="AB146" s="80">
        <f t="shared" si="69"/>
        <v>0</v>
      </c>
      <c r="AC146" s="80"/>
      <c r="AD146">
        <v>0.1</v>
      </c>
      <c r="AE146" s="78">
        <f t="shared" si="70"/>
        <v>1350.481</v>
      </c>
      <c r="AF146">
        <v>0.1</v>
      </c>
      <c r="AG146" s="78">
        <f t="shared" si="107"/>
        <v>1350.481</v>
      </c>
    </row>
    <row r="147" spans="1:33" x14ac:dyDescent="0.2">
      <c r="A147" s="107"/>
      <c r="B147" s="181"/>
      <c r="C147" s="181" t="s">
        <v>140</v>
      </c>
      <c r="D147" s="111">
        <f t="shared" ref="D147:I147" si="108">SUM(D141:D146)</f>
        <v>6</v>
      </c>
      <c r="E147" s="89">
        <f t="shared" si="108"/>
        <v>33000</v>
      </c>
      <c r="F147" s="89">
        <f t="shared" si="108"/>
        <v>36300</v>
      </c>
      <c r="G147" s="89">
        <f t="shared" si="108"/>
        <v>43924</v>
      </c>
      <c r="H147" s="89">
        <f t="shared" si="108"/>
        <v>54287.079999999994</v>
      </c>
      <c r="I147" s="89">
        <f t="shared" si="108"/>
        <v>59715.788</v>
      </c>
      <c r="J147" s="89">
        <v>53708.023820000002</v>
      </c>
      <c r="K147" s="90">
        <f>SUM(K141:K146)</f>
        <v>105037.32</v>
      </c>
      <c r="L147" s="90"/>
      <c r="M147" s="90"/>
      <c r="N147" s="90">
        <f t="shared" ref="N147" si="109">SUM(N141:N146)</f>
        <v>0</v>
      </c>
      <c r="O147" s="90">
        <f>SUM(O141:O146)</f>
        <v>22057.83</v>
      </c>
      <c r="P147" s="90">
        <f t="shared" ref="P147:W147" si="110">SUM(P141:P146)</f>
        <v>119742.55</v>
      </c>
      <c r="Q147" s="90">
        <f t="shared" si="110"/>
        <v>106537.85130000001</v>
      </c>
      <c r="R147" s="90">
        <f t="shared" si="110"/>
        <v>353375.55129999999</v>
      </c>
      <c r="S147" s="90">
        <f t="shared" si="110"/>
        <v>26259.329999999998</v>
      </c>
      <c r="T147" s="90">
        <f t="shared" si="110"/>
        <v>5.84</v>
      </c>
      <c r="U147" s="90">
        <f t="shared" si="110"/>
        <v>379634.88130000001</v>
      </c>
      <c r="V147" s="90">
        <f t="shared" si="110"/>
        <v>307436.72963099997</v>
      </c>
      <c r="W147" s="90">
        <f t="shared" si="110"/>
        <v>330282.346731</v>
      </c>
      <c r="X147" s="80"/>
      <c r="Y147" s="90"/>
      <c r="Z147" s="80"/>
      <c r="AA147" s="80">
        <f t="shared" si="68"/>
        <v>0</v>
      </c>
      <c r="AB147" s="80">
        <f t="shared" si="69"/>
        <v>0</v>
      </c>
      <c r="AC147" s="91"/>
      <c r="AD147">
        <v>0.1</v>
      </c>
      <c r="AE147" s="90">
        <f t="shared" si="70"/>
        <v>10503.732000000002</v>
      </c>
      <c r="AF147">
        <v>0.1</v>
      </c>
      <c r="AG147" s="90">
        <f t="shared" si="107"/>
        <v>10503.732000000002</v>
      </c>
    </row>
    <row r="148" spans="1:33" ht="24.75" customHeight="1" x14ac:dyDescent="0.2">
      <c r="A148" s="71" t="s">
        <v>141</v>
      </c>
      <c r="B148" s="97"/>
      <c r="C148" s="97"/>
      <c r="D148" s="94"/>
      <c r="E148" s="95"/>
      <c r="F148" s="95"/>
      <c r="G148" s="95"/>
      <c r="H148" s="95"/>
      <c r="I148" s="95"/>
      <c r="J148" s="95"/>
      <c r="K148" s="90"/>
      <c r="L148" s="90"/>
      <c r="M148" s="90"/>
      <c r="N148" s="90"/>
      <c r="O148" s="90"/>
      <c r="P148" s="130">
        <v>1.1399999999999999</v>
      </c>
      <c r="Q148" s="90"/>
      <c r="R148" s="79"/>
      <c r="S148" s="90"/>
      <c r="T148" s="130"/>
      <c r="U148" s="90"/>
      <c r="V148" s="79"/>
      <c r="W148" s="90"/>
      <c r="X148" s="80"/>
      <c r="Y148" s="90"/>
      <c r="Z148" s="80"/>
      <c r="AA148" s="80">
        <f t="shared" si="68"/>
        <v>0</v>
      </c>
      <c r="AB148" s="80">
        <f t="shared" si="69"/>
        <v>0</v>
      </c>
      <c r="AC148" s="91"/>
      <c r="AD148">
        <v>0.1</v>
      </c>
      <c r="AE148" s="90"/>
      <c r="AG148" s="90"/>
    </row>
    <row r="149" spans="1:33" x14ac:dyDescent="0.2">
      <c r="A149" s="102"/>
      <c r="B149" s="87"/>
      <c r="C149" s="87" t="s">
        <v>133</v>
      </c>
      <c r="D149" s="72">
        <v>1</v>
      </c>
      <c r="E149" s="73">
        <v>6500</v>
      </c>
      <c r="F149" s="74">
        <f t="shared" ref="F149:F154" si="111">ROUND(E149*F$12,2)</f>
        <v>7150</v>
      </c>
      <c r="G149" s="74">
        <f>F149*1.1*1.1+0.5</f>
        <v>8652.0000000000018</v>
      </c>
      <c r="H149" s="74">
        <v>10692.91</v>
      </c>
      <c r="I149" s="74">
        <f t="shared" ref="I149:I154" si="112">H149*$I$12</f>
        <v>11762.201000000001</v>
      </c>
      <c r="J149" s="74">
        <v>12467.933060000001</v>
      </c>
      <c r="K149" s="74">
        <f>ROUND('ПРОЕКТ с 01.02.2023'!K149*1.09,2)</f>
        <v>22508</v>
      </c>
      <c r="L149" s="75" t="s">
        <v>145</v>
      </c>
      <c r="M149" s="76">
        <v>30</v>
      </c>
      <c r="N149" s="76"/>
      <c r="O149" s="78">
        <f t="shared" si="101"/>
        <v>6752.4</v>
      </c>
      <c r="P149" s="78">
        <f t="shared" si="102"/>
        <v>25659.119999999999</v>
      </c>
      <c r="Q149" s="78">
        <f t="shared" si="103"/>
        <v>32411.52</v>
      </c>
      <c r="R149" s="79">
        <f t="shared" si="104"/>
        <v>87331.040000000008</v>
      </c>
      <c r="S149" s="78">
        <f t="shared" si="105"/>
        <v>5627</v>
      </c>
      <c r="T149" s="78">
        <v>1.44</v>
      </c>
      <c r="U149" s="78">
        <f t="shared" si="106"/>
        <v>92958.040000000008</v>
      </c>
      <c r="V149" s="79">
        <f t="shared" si="65"/>
        <v>75978.00480000001</v>
      </c>
      <c r="W149" s="78">
        <f t="shared" si="66"/>
        <v>80873.4948</v>
      </c>
      <c r="X149" s="80">
        <v>3</v>
      </c>
      <c r="Y149" s="78">
        <v>3</v>
      </c>
      <c r="Z149" s="80">
        <f t="shared" si="67"/>
        <v>0</v>
      </c>
      <c r="AA149" s="80">
        <f t="shared" si="68"/>
        <v>0</v>
      </c>
      <c r="AB149" s="80">
        <f t="shared" si="69"/>
        <v>67524</v>
      </c>
      <c r="AC149" s="80"/>
      <c r="AD149">
        <v>0.1</v>
      </c>
      <c r="AE149" s="78">
        <f t="shared" si="70"/>
        <v>2250.8000000000002</v>
      </c>
      <c r="AF149">
        <v>0.1</v>
      </c>
      <c r="AG149" s="78">
        <f t="shared" si="107"/>
        <v>2250.8000000000002</v>
      </c>
    </row>
    <row r="150" spans="1:33" ht="29.25" customHeight="1" x14ac:dyDescent="0.2">
      <c r="A150" s="102"/>
      <c r="B150" s="107"/>
      <c r="C150" s="131" t="s">
        <v>136</v>
      </c>
      <c r="D150" s="109">
        <v>1</v>
      </c>
      <c r="E150" s="73">
        <v>5000</v>
      </c>
      <c r="F150" s="74">
        <f t="shared" si="111"/>
        <v>5500</v>
      </c>
      <c r="G150" s="74">
        <f>F150*1.1*1.1</f>
        <v>6655.0000000000018</v>
      </c>
      <c r="H150" s="74">
        <v>8225.31</v>
      </c>
      <c r="I150" s="74">
        <f t="shared" si="112"/>
        <v>9047.8410000000003</v>
      </c>
      <c r="J150" s="74">
        <v>9590.7114600000004</v>
      </c>
      <c r="K150" s="74">
        <f>ROUND('ПРОЕКТ с 01.02.2023'!K150*1.09,2)</f>
        <v>18006.400000000001</v>
      </c>
      <c r="L150" s="75" t="s">
        <v>143</v>
      </c>
      <c r="M150" s="83">
        <v>30</v>
      </c>
      <c r="N150" s="76"/>
      <c r="O150" s="78">
        <f t="shared" si="101"/>
        <v>5401.92</v>
      </c>
      <c r="P150" s="78">
        <f t="shared" si="102"/>
        <v>20527.3</v>
      </c>
      <c r="Q150" s="78">
        <f t="shared" si="103"/>
        <v>17826.336000000003</v>
      </c>
      <c r="R150" s="79">
        <f t="shared" si="104"/>
        <v>61761.955999999998</v>
      </c>
      <c r="S150" s="78">
        <f t="shared" si="105"/>
        <v>4501.6000000000004</v>
      </c>
      <c r="T150" s="78">
        <v>0.99</v>
      </c>
      <c r="U150" s="78">
        <f t="shared" si="106"/>
        <v>66263.555999999997</v>
      </c>
      <c r="V150" s="79">
        <f t="shared" si="65"/>
        <v>53732.901720000002</v>
      </c>
      <c r="W150" s="78">
        <f t="shared" si="66"/>
        <v>57649.293719999994</v>
      </c>
      <c r="X150" s="80">
        <v>3</v>
      </c>
      <c r="Y150" s="78">
        <v>3</v>
      </c>
      <c r="Z150" s="80">
        <f t="shared" si="67"/>
        <v>0</v>
      </c>
      <c r="AA150" s="80">
        <f t="shared" si="68"/>
        <v>0</v>
      </c>
      <c r="AB150" s="80">
        <f t="shared" si="69"/>
        <v>54019.200000000004</v>
      </c>
      <c r="AC150" s="80"/>
      <c r="AD150">
        <v>0.1</v>
      </c>
      <c r="AE150" s="78">
        <f t="shared" si="70"/>
        <v>1800.6400000000003</v>
      </c>
      <c r="AF150">
        <v>0.1</v>
      </c>
      <c r="AG150" s="78">
        <f t="shared" si="107"/>
        <v>1800.6400000000003</v>
      </c>
    </row>
    <row r="151" spans="1:33" ht="26.25" customHeight="1" x14ac:dyDescent="0.2">
      <c r="A151" s="102"/>
      <c r="B151" s="107"/>
      <c r="C151" s="131" t="s">
        <v>136</v>
      </c>
      <c r="D151" s="109">
        <v>1</v>
      </c>
      <c r="E151" s="73">
        <v>5000</v>
      </c>
      <c r="F151" s="74">
        <f t="shared" si="111"/>
        <v>5500</v>
      </c>
      <c r="G151" s="74">
        <f>F151*1.1*1.1</f>
        <v>6655.0000000000018</v>
      </c>
      <c r="H151" s="74">
        <v>8225.31</v>
      </c>
      <c r="I151" s="74">
        <f t="shared" si="112"/>
        <v>9047.8410000000003</v>
      </c>
      <c r="J151" s="74">
        <v>9590.7114600000004</v>
      </c>
      <c r="K151" s="74">
        <f>ROUND('ПРОЕКТ с 01.02.2023'!K151*1.09,2)</f>
        <v>18006.400000000001</v>
      </c>
      <c r="L151" s="75" t="s">
        <v>144</v>
      </c>
      <c r="M151" s="83">
        <v>30</v>
      </c>
      <c r="N151" s="76"/>
      <c r="O151" s="78">
        <f t="shared" si="101"/>
        <v>5401.92</v>
      </c>
      <c r="P151" s="78">
        <f t="shared" si="102"/>
        <v>20527.3</v>
      </c>
      <c r="Q151" s="78">
        <f t="shared" si="103"/>
        <v>17826.336000000003</v>
      </c>
      <c r="R151" s="79">
        <f t="shared" si="104"/>
        <v>61761.955999999998</v>
      </c>
      <c r="S151" s="78">
        <f t="shared" si="105"/>
        <v>4501.6000000000004</v>
      </c>
      <c r="T151" s="78">
        <v>0.99</v>
      </c>
      <c r="U151" s="78">
        <f t="shared" si="106"/>
        <v>66263.555999999997</v>
      </c>
      <c r="V151" s="79">
        <f t="shared" si="65"/>
        <v>53732.901720000002</v>
      </c>
      <c r="W151" s="78">
        <f t="shared" si="66"/>
        <v>57649.293719999994</v>
      </c>
      <c r="X151" s="80">
        <v>3</v>
      </c>
      <c r="Y151" s="78"/>
      <c r="Z151" s="80">
        <f t="shared" si="67"/>
        <v>3</v>
      </c>
      <c r="AA151" s="80">
        <f t="shared" si="68"/>
        <v>54019.200000000004</v>
      </c>
      <c r="AB151" s="80">
        <f t="shared" si="69"/>
        <v>0</v>
      </c>
      <c r="AC151" s="80"/>
      <c r="AD151">
        <v>0.1</v>
      </c>
      <c r="AE151" s="78">
        <f t="shared" si="70"/>
        <v>1800.6400000000003</v>
      </c>
      <c r="AF151">
        <v>0.1</v>
      </c>
      <c r="AG151" s="78">
        <f t="shared" si="107"/>
        <v>1800.6400000000003</v>
      </c>
    </row>
    <row r="152" spans="1:33" ht="14.25" customHeight="1" x14ac:dyDescent="0.2">
      <c r="A152" s="102"/>
      <c r="B152" s="107"/>
      <c r="C152" s="122" t="s">
        <v>90</v>
      </c>
      <c r="D152" s="109">
        <v>1</v>
      </c>
      <c r="E152" s="73">
        <v>5000</v>
      </c>
      <c r="F152" s="74">
        <f t="shared" si="111"/>
        <v>5500</v>
      </c>
      <c r="G152" s="74">
        <f>F152*1.1*1.1</f>
        <v>6655.0000000000018</v>
      </c>
      <c r="H152" s="74">
        <v>8225.31</v>
      </c>
      <c r="I152" s="74">
        <f t="shared" si="112"/>
        <v>9047.8410000000003</v>
      </c>
      <c r="J152" s="74">
        <v>9590.7114600000004</v>
      </c>
      <c r="K152" s="74">
        <f>ROUND('ПРОЕКТ с 01.02.2023'!K152*1.09,2)</f>
        <v>18006.400000000001</v>
      </c>
      <c r="L152" s="75" t="s">
        <v>146</v>
      </c>
      <c r="M152" s="76">
        <v>20</v>
      </c>
      <c r="N152" s="76"/>
      <c r="O152" s="78">
        <f t="shared" si="101"/>
        <v>3601.28</v>
      </c>
      <c r="P152" s="78">
        <f t="shared" si="102"/>
        <v>20527.3</v>
      </c>
      <c r="Q152" s="78">
        <f t="shared" si="103"/>
        <v>17826.336000000003</v>
      </c>
      <c r="R152" s="79">
        <f t="shared" si="104"/>
        <v>59961.315999999999</v>
      </c>
      <c r="S152" s="78">
        <f t="shared" si="105"/>
        <v>4501.6000000000004</v>
      </c>
      <c r="T152" s="78">
        <v>0.99</v>
      </c>
      <c r="U152" s="78">
        <f t="shared" si="106"/>
        <v>64462.915999999997</v>
      </c>
      <c r="V152" s="79">
        <f t="shared" si="65"/>
        <v>52166.344919999996</v>
      </c>
      <c r="W152" s="78">
        <f t="shared" si="66"/>
        <v>56082.736919999996</v>
      </c>
      <c r="X152" s="80">
        <v>3</v>
      </c>
      <c r="Y152" s="78"/>
      <c r="Z152" s="80">
        <f t="shared" si="67"/>
        <v>3</v>
      </c>
      <c r="AA152" s="80">
        <f t="shared" si="68"/>
        <v>54019.200000000004</v>
      </c>
      <c r="AB152" s="80">
        <f t="shared" si="69"/>
        <v>0</v>
      </c>
      <c r="AC152" s="80"/>
      <c r="AD152">
        <v>0.1</v>
      </c>
      <c r="AE152" s="78">
        <f t="shared" si="70"/>
        <v>1800.6400000000003</v>
      </c>
      <c r="AF152">
        <v>0.1</v>
      </c>
      <c r="AG152" s="78">
        <f t="shared" si="107"/>
        <v>1800.6400000000003</v>
      </c>
    </row>
    <row r="153" spans="1:33" ht="14.25" customHeight="1" x14ac:dyDescent="0.2">
      <c r="A153" s="102"/>
      <c r="B153" s="107"/>
      <c r="C153" s="107" t="s">
        <v>48</v>
      </c>
      <c r="D153" s="109">
        <v>1</v>
      </c>
      <c r="E153" s="73">
        <v>5000</v>
      </c>
      <c r="F153" s="74">
        <f t="shared" si="111"/>
        <v>5500</v>
      </c>
      <c r="G153" s="74">
        <f>F153*1.1*1.1</f>
        <v>6655.0000000000018</v>
      </c>
      <c r="H153" s="74">
        <v>8225.31</v>
      </c>
      <c r="I153" s="74">
        <f t="shared" si="112"/>
        <v>9047.8410000000003</v>
      </c>
      <c r="J153" s="74">
        <v>9590.7114600000004</v>
      </c>
      <c r="K153" s="74">
        <f>ROUND('ПРОЕКТ с 01.02.2023'!K153*1.09,2)</f>
        <v>15005.31</v>
      </c>
      <c r="L153" s="75" t="s">
        <v>234</v>
      </c>
      <c r="M153" s="76">
        <v>30</v>
      </c>
      <c r="N153" s="76"/>
      <c r="O153" s="78">
        <f t="shared" si="101"/>
        <v>4501.59</v>
      </c>
      <c r="P153" s="78">
        <f t="shared" si="102"/>
        <v>17106.05</v>
      </c>
      <c r="Q153" s="78">
        <f t="shared" si="103"/>
        <v>13354.725899999999</v>
      </c>
      <c r="R153" s="79">
        <f t="shared" si="104"/>
        <v>49967.675899999995</v>
      </c>
      <c r="S153" s="78">
        <f t="shared" si="105"/>
        <v>3751.33</v>
      </c>
      <c r="T153" s="78">
        <v>0.89</v>
      </c>
      <c r="U153" s="78">
        <f t="shared" si="106"/>
        <v>53719.005899999996</v>
      </c>
      <c r="V153" s="79">
        <f t="shared" si="65"/>
        <v>43471.878032999994</v>
      </c>
      <c r="W153" s="78">
        <f t="shared" si="66"/>
        <v>46735.535132999998</v>
      </c>
      <c r="X153" s="80">
        <v>3</v>
      </c>
      <c r="Y153" s="78">
        <v>3</v>
      </c>
      <c r="Z153" s="80">
        <f t="shared" si="67"/>
        <v>0</v>
      </c>
      <c r="AA153" s="80">
        <f t="shared" si="68"/>
        <v>0</v>
      </c>
      <c r="AB153" s="80">
        <f t="shared" si="69"/>
        <v>45015.93</v>
      </c>
      <c r="AC153" s="80"/>
      <c r="AD153">
        <v>0.1</v>
      </c>
      <c r="AE153" s="78">
        <f t="shared" si="70"/>
        <v>1500.5309999999999</v>
      </c>
      <c r="AF153">
        <v>0.1</v>
      </c>
      <c r="AG153" s="78">
        <f t="shared" si="107"/>
        <v>1500.5309999999999</v>
      </c>
    </row>
    <row r="154" spans="1:33" x14ac:dyDescent="0.2">
      <c r="A154" s="102"/>
      <c r="B154" s="107"/>
      <c r="C154" s="107" t="s">
        <v>138</v>
      </c>
      <c r="D154" s="109">
        <v>1</v>
      </c>
      <c r="E154" s="73">
        <v>4500</v>
      </c>
      <c r="F154" s="74">
        <f t="shared" si="111"/>
        <v>4950</v>
      </c>
      <c r="G154" s="74">
        <f>F154*1.1*1.1+0.5</f>
        <v>5990.0000000000009</v>
      </c>
      <c r="H154" s="74">
        <v>7402.79</v>
      </c>
      <c r="I154" s="74">
        <f t="shared" si="112"/>
        <v>8143.0690000000004</v>
      </c>
      <c r="J154" s="74">
        <v>8631.6531400000003</v>
      </c>
      <c r="K154" s="74">
        <f>ROUND('ПРОЕКТ с 01.02.2023'!K154*1.09,2)</f>
        <v>13504.81</v>
      </c>
      <c r="L154" s="75" t="s">
        <v>147</v>
      </c>
      <c r="M154" s="76">
        <v>0</v>
      </c>
      <c r="N154" s="76"/>
      <c r="O154" s="78">
        <f t="shared" si="101"/>
        <v>0</v>
      </c>
      <c r="P154" s="78">
        <f t="shared" si="102"/>
        <v>15395.48</v>
      </c>
      <c r="Q154" s="78">
        <f t="shared" si="103"/>
        <v>7292.5974000000006</v>
      </c>
      <c r="R154" s="79">
        <f t="shared" si="104"/>
        <v>36192.8874</v>
      </c>
      <c r="S154" s="78">
        <f t="shared" si="105"/>
        <v>3376.2</v>
      </c>
      <c r="T154" s="78">
        <v>0.54</v>
      </c>
      <c r="U154" s="78">
        <f t="shared" si="106"/>
        <v>39569.087399999997</v>
      </c>
      <c r="V154" s="79">
        <f t="shared" si="65"/>
        <v>31487.812038</v>
      </c>
      <c r="W154" s="78">
        <f t="shared" si="66"/>
        <v>34425.106037999998</v>
      </c>
      <c r="X154" s="80">
        <v>3</v>
      </c>
      <c r="Y154" s="78">
        <v>3</v>
      </c>
      <c r="Z154" s="80">
        <f t="shared" si="67"/>
        <v>0</v>
      </c>
      <c r="AA154" s="80">
        <f t="shared" si="68"/>
        <v>0</v>
      </c>
      <c r="AB154" s="80">
        <f t="shared" si="69"/>
        <v>40514.43</v>
      </c>
      <c r="AC154" s="80"/>
      <c r="AD154">
        <v>0.1</v>
      </c>
      <c r="AE154" s="78">
        <f t="shared" si="70"/>
        <v>1350.481</v>
      </c>
      <c r="AF154">
        <v>0.1</v>
      </c>
      <c r="AG154" s="78">
        <f t="shared" si="107"/>
        <v>1350.481</v>
      </c>
    </row>
    <row r="155" spans="1:33" x14ac:dyDescent="0.2">
      <c r="A155" s="107"/>
      <c r="B155" s="181"/>
      <c r="C155" s="181" t="s">
        <v>140</v>
      </c>
      <c r="D155" s="88">
        <f t="shared" ref="D155:I155" si="113">SUM(D149:D154)</f>
        <v>6</v>
      </c>
      <c r="E155" s="95">
        <f t="shared" si="113"/>
        <v>31000</v>
      </c>
      <c r="F155" s="95">
        <f t="shared" si="113"/>
        <v>34100</v>
      </c>
      <c r="G155" s="95">
        <f t="shared" si="113"/>
        <v>41262.000000000007</v>
      </c>
      <c r="H155" s="95">
        <f t="shared" si="113"/>
        <v>50996.939999999995</v>
      </c>
      <c r="I155" s="95">
        <f t="shared" si="113"/>
        <v>56096.634000000005</v>
      </c>
      <c r="J155" s="95">
        <v>40281.00912000001</v>
      </c>
      <c r="K155" s="90">
        <f>SUM(K149:K154)</f>
        <v>105037.32</v>
      </c>
      <c r="L155" s="90"/>
      <c r="M155" s="90"/>
      <c r="N155" s="90">
        <f t="shared" ref="N155" si="114">SUM(N149:N154)</f>
        <v>0</v>
      </c>
      <c r="O155" s="90">
        <f>SUM(O149:O154)</f>
        <v>25659.109999999997</v>
      </c>
      <c r="P155" s="90">
        <f t="shared" ref="P155:W155" si="115">SUM(P149:P154)</f>
        <v>119742.55</v>
      </c>
      <c r="Q155" s="90">
        <f t="shared" si="115"/>
        <v>106537.85130000002</v>
      </c>
      <c r="R155" s="90">
        <f t="shared" si="115"/>
        <v>356976.83130000002</v>
      </c>
      <c r="S155" s="90">
        <f t="shared" si="115"/>
        <v>26259.330000000005</v>
      </c>
      <c r="T155" s="90">
        <f t="shared" si="115"/>
        <v>5.84</v>
      </c>
      <c r="U155" s="90">
        <f t="shared" si="115"/>
        <v>383236.16129999998</v>
      </c>
      <c r="V155" s="90">
        <f t="shared" si="115"/>
        <v>310569.84323100001</v>
      </c>
      <c r="W155" s="90">
        <f t="shared" si="115"/>
        <v>333415.46033099992</v>
      </c>
      <c r="X155" s="80"/>
      <c r="Y155" s="90"/>
      <c r="Z155" s="80"/>
      <c r="AA155" s="80">
        <f t="shared" si="68"/>
        <v>0</v>
      </c>
      <c r="AB155" s="80">
        <f t="shared" si="69"/>
        <v>0</v>
      </c>
      <c r="AC155" s="91"/>
      <c r="AD155">
        <v>0.1</v>
      </c>
      <c r="AE155" s="90">
        <f t="shared" si="70"/>
        <v>10503.732000000002</v>
      </c>
      <c r="AF155">
        <v>0.1</v>
      </c>
      <c r="AG155" s="90">
        <f t="shared" si="107"/>
        <v>10503.732000000002</v>
      </c>
    </row>
    <row r="156" spans="1:33" ht="32.25" customHeight="1" x14ac:dyDescent="0.2">
      <c r="A156" s="71" t="s">
        <v>148</v>
      </c>
      <c r="B156" s="129"/>
      <c r="C156" s="129"/>
      <c r="D156" s="92"/>
      <c r="E156" s="182"/>
      <c r="F156" s="182"/>
      <c r="G156" s="182"/>
      <c r="H156" s="182"/>
      <c r="I156" s="182"/>
      <c r="J156" s="182"/>
      <c r="K156" s="90"/>
      <c r="L156" s="90"/>
      <c r="M156" s="90"/>
      <c r="N156" s="90"/>
      <c r="O156" s="90"/>
      <c r="P156" s="130">
        <v>1.1399999999999999</v>
      </c>
      <c r="Q156" s="90"/>
      <c r="R156" s="79"/>
      <c r="S156" s="90"/>
      <c r="T156" s="130"/>
      <c r="U156" s="90"/>
      <c r="V156" s="79"/>
      <c r="W156" s="90"/>
      <c r="X156" s="80"/>
      <c r="Y156" s="90"/>
      <c r="Z156" s="80"/>
      <c r="AA156" s="80">
        <f t="shared" si="68"/>
        <v>0</v>
      </c>
      <c r="AB156" s="80">
        <f t="shared" si="69"/>
        <v>0</v>
      </c>
      <c r="AC156" s="91"/>
      <c r="AD156">
        <v>0.1</v>
      </c>
      <c r="AE156" s="90"/>
      <c r="AG156" s="90"/>
    </row>
    <row r="157" spans="1:33" x14ac:dyDescent="0.2">
      <c r="A157" s="183"/>
      <c r="B157" s="87"/>
      <c r="C157" s="87" t="s">
        <v>133</v>
      </c>
      <c r="D157" s="72">
        <v>1</v>
      </c>
      <c r="E157" s="73">
        <v>7500</v>
      </c>
      <c r="F157" s="74">
        <f t="shared" ref="F157:F163" si="116">ROUND(E157*F$12,2)</f>
        <v>8250</v>
      </c>
      <c r="G157" s="74">
        <f>F157*1.1*1.1+0.5</f>
        <v>9983</v>
      </c>
      <c r="H157" s="74">
        <v>12337.98</v>
      </c>
      <c r="I157" s="74">
        <f t="shared" ref="I157:I163" si="117">H157*$I$12</f>
        <v>13571.778</v>
      </c>
      <c r="J157" s="74">
        <v>14386.084680000002</v>
      </c>
      <c r="K157" s="74">
        <f>ROUND('ПРОЕКТ с 01.02.2023'!K157*1.09,2)</f>
        <v>22508</v>
      </c>
      <c r="L157" s="75" t="s">
        <v>149</v>
      </c>
      <c r="M157" s="69">
        <v>30</v>
      </c>
      <c r="N157" s="76"/>
      <c r="O157" s="78">
        <f t="shared" si="101"/>
        <v>6752.4</v>
      </c>
      <c r="P157" s="78">
        <f t="shared" si="102"/>
        <v>25659.119999999999</v>
      </c>
      <c r="Q157" s="78">
        <f t="shared" si="103"/>
        <v>32411.52</v>
      </c>
      <c r="R157" s="79">
        <f t="shared" si="104"/>
        <v>87331.040000000008</v>
      </c>
      <c r="S157" s="78">
        <f t="shared" si="105"/>
        <v>5627</v>
      </c>
      <c r="T157" s="78">
        <v>1.44</v>
      </c>
      <c r="U157" s="78">
        <f t="shared" si="106"/>
        <v>92958.040000000008</v>
      </c>
      <c r="V157" s="79">
        <f t="shared" si="65"/>
        <v>75978.00480000001</v>
      </c>
      <c r="W157" s="78">
        <f t="shared" si="66"/>
        <v>80873.4948</v>
      </c>
      <c r="X157" s="80">
        <v>3</v>
      </c>
      <c r="Y157" s="78">
        <v>3</v>
      </c>
      <c r="Z157" s="80">
        <f t="shared" si="67"/>
        <v>0</v>
      </c>
      <c r="AA157" s="80">
        <f t="shared" si="68"/>
        <v>0</v>
      </c>
      <c r="AB157" s="80">
        <f t="shared" si="69"/>
        <v>67524</v>
      </c>
      <c r="AC157" s="80"/>
      <c r="AD157">
        <v>0.1</v>
      </c>
      <c r="AE157" s="78">
        <f t="shared" si="70"/>
        <v>2250.8000000000002</v>
      </c>
      <c r="AF157">
        <v>0.1</v>
      </c>
      <c r="AG157" s="78">
        <f t="shared" si="107"/>
        <v>2250.8000000000002</v>
      </c>
    </row>
    <row r="158" spans="1:33" x14ac:dyDescent="0.2">
      <c r="A158" s="102"/>
      <c r="B158" s="107"/>
      <c r="C158" s="107" t="s">
        <v>150</v>
      </c>
      <c r="D158" s="109">
        <v>1</v>
      </c>
      <c r="E158" s="73">
        <v>5000</v>
      </c>
      <c r="F158" s="74">
        <f t="shared" si="116"/>
        <v>5500</v>
      </c>
      <c r="G158" s="74">
        <f>F158*1.1*1.1</f>
        <v>6655.0000000000018</v>
      </c>
      <c r="H158" s="74">
        <v>8225.31</v>
      </c>
      <c r="I158" s="74">
        <f t="shared" si="117"/>
        <v>9047.8410000000003</v>
      </c>
      <c r="J158" s="74">
        <v>9590.7114600000004</v>
      </c>
      <c r="K158" s="74">
        <f>ROUND('ПРОЕКТ с 01.02.2023'!K158*1.09,2)</f>
        <v>18006.400000000001</v>
      </c>
      <c r="L158" s="110" t="s">
        <v>151</v>
      </c>
      <c r="M158" s="76">
        <v>30</v>
      </c>
      <c r="N158" s="76"/>
      <c r="O158" s="78">
        <f t="shared" si="101"/>
        <v>5401.92</v>
      </c>
      <c r="P158" s="78">
        <f t="shared" si="102"/>
        <v>20527.3</v>
      </c>
      <c r="Q158" s="78">
        <f t="shared" si="103"/>
        <v>17826.336000000003</v>
      </c>
      <c r="R158" s="79">
        <f t="shared" si="104"/>
        <v>61761.955999999998</v>
      </c>
      <c r="S158" s="78">
        <f t="shared" si="105"/>
        <v>4501.6000000000004</v>
      </c>
      <c r="T158" s="78">
        <v>0.99</v>
      </c>
      <c r="U158" s="78">
        <f t="shared" si="106"/>
        <v>66263.555999999997</v>
      </c>
      <c r="V158" s="79">
        <f t="shared" si="65"/>
        <v>53732.901720000002</v>
      </c>
      <c r="W158" s="78">
        <f t="shared" si="66"/>
        <v>57649.293719999994</v>
      </c>
      <c r="X158" s="80">
        <v>3</v>
      </c>
      <c r="Y158" s="78">
        <v>3</v>
      </c>
      <c r="Z158" s="80">
        <f t="shared" si="67"/>
        <v>0</v>
      </c>
      <c r="AA158" s="80">
        <f t="shared" si="68"/>
        <v>0</v>
      </c>
      <c r="AB158" s="80">
        <f t="shared" si="69"/>
        <v>54019.200000000004</v>
      </c>
      <c r="AC158" s="80"/>
      <c r="AD158">
        <v>0.1</v>
      </c>
      <c r="AE158" s="78">
        <f t="shared" si="70"/>
        <v>1800.6400000000003</v>
      </c>
      <c r="AF158">
        <v>0.1</v>
      </c>
      <c r="AG158" s="78">
        <f t="shared" si="107"/>
        <v>1800.6400000000003</v>
      </c>
    </row>
    <row r="159" spans="1:33" x14ac:dyDescent="0.2">
      <c r="A159" s="102"/>
      <c r="B159" s="107"/>
      <c r="C159" s="107" t="s">
        <v>48</v>
      </c>
      <c r="D159" s="109">
        <v>1</v>
      </c>
      <c r="E159" s="73">
        <v>5000</v>
      </c>
      <c r="F159" s="74">
        <f t="shared" si="116"/>
        <v>5500</v>
      </c>
      <c r="G159" s="74">
        <f>F159*1.1*1.1</f>
        <v>6655.0000000000018</v>
      </c>
      <c r="H159" s="74">
        <v>8225.31</v>
      </c>
      <c r="I159" s="74">
        <f t="shared" si="117"/>
        <v>9047.8410000000003</v>
      </c>
      <c r="J159" s="74">
        <v>9590.7114600000004</v>
      </c>
      <c r="K159" s="74">
        <f>ROUND('ПРОЕКТ с 01.02.2023'!K159*1.09,2)</f>
        <v>15005.31</v>
      </c>
      <c r="L159" s="75" t="s">
        <v>152</v>
      </c>
      <c r="M159" s="83">
        <v>30</v>
      </c>
      <c r="N159" s="76"/>
      <c r="O159" s="78">
        <f t="shared" si="101"/>
        <v>4501.59</v>
      </c>
      <c r="P159" s="78">
        <f t="shared" si="102"/>
        <v>17106.05</v>
      </c>
      <c r="Q159" s="78">
        <f t="shared" si="103"/>
        <v>13354.725899999999</v>
      </c>
      <c r="R159" s="79">
        <f t="shared" si="104"/>
        <v>49967.675899999995</v>
      </c>
      <c r="S159" s="78">
        <f t="shared" si="105"/>
        <v>3751.33</v>
      </c>
      <c r="T159" s="78">
        <v>0.89</v>
      </c>
      <c r="U159" s="78">
        <f t="shared" si="106"/>
        <v>53719.005899999996</v>
      </c>
      <c r="V159" s="79">
        <f t="shared" ref="V159:V192" si="118">R159*0.87</f>
        <v>43471.878032999994</v>
      </c>
      <c r="W159" s="78">
        <f t="shared" ref="W159:W192" si="119">U159*0.87</f>
        <v>46735.535132999998</v>
      </c>
      <c r="X159" s="80">
        <v>3</v>
      </c>
      <c r="Y159" s="78">
        <v>3</v>
      </c>
      <c r="Z159" s="80">
        <f t="shared" si="67"/>
        <v>0</v>
      </c>
      <c r="AA159" s="80">
        <f t="shared" si="68"/>
        <v>0</v>
      </c>
      <c r="AB159" s="80">
        <f t="shared" si="69"/>
        <v>45015.93</v>
      </c>
      <c r="AC159" s="80"/>
      <c r="AD159">
        <v>0.1</v>
      </c>
      <c r="AE159" s="78">
        <f t="shared" si="70"/>
        <v>1500.5309999999999</v>
      </c>
      <c r="AF159">
        <v>0.1</v>
      </c>
      <c r="AG159" s="78">
        <f t="shared" si="107"/>
        <v>1500.5309999999999</v>
      </c>
    </row>
    <row r="160" spans="1:33" x14ac:dyDescent="0.2">
      <c r="A160" s="102"/>
      <c r="B160" s="107"/>
      <c r="C160" s="107" t="s">
        <v>48</v>
      </c>
      <c r="D160" s="109">
        <v>1</v>
      </c>
      <c r="E160" s="73">
        <v>5000</v>
      </c>
      <c r="F160" s="74">
        <f t="shared" si="116"/>
        <v>5500</v>
      </c>
      <c r="G160" s="74">
        <f>F160*1.1*1.1</f>
        <v>6655.0000000000018</v>
      </c>
      <c r="H160" s="74">
        <v>8225.31</v>
      </c>
      <c r="I160" s="74">
        <f t="shared" si="117"/>
        <v>9047.8410000000003</v>
      </c>
      <c r="J160" s="74">
        <v>9590.7114600000004</v>
      </c>
      <c r="K160" s="74">
        <f>ROUND('ПРОЕКТ с 01.02.2023'!K160*1.09,2)</f>
        <v>15005.31</v>
      </c>
      <c r="L160" s="75" t="s">
        <v>153</v>
      </c>
      <c r="M160" s="83">
        <v>30</v>
      </c>
      <c r="N160" s="76"/>
      <c r="O160" s="78">
        <f t="shared" si="101"/>
        <v>4501.59</v>
      </c>
      <c r="P160" s="78">
        <f t="shared" si="102"/>
        <v>17106.05</v>
      </c>
      <c r="Q160" s="78">
        <f t="shared" si="103"/>
        <v>13354.725899999999</v>
      </c>
      <c r="R160" s="79">
        <f t="shared" si="104"/>
        <v>49967.675899999995</v>
      </c>
      <c r="S160" s="78">
        <f t="shared" si="105"/>
        <v>3751.33</v>
      </c>
      <c r="T160" s="78">
        <v>0.89</v>
      </c>
      <c r="U160" s="78">
        <f t="shared" si="106"/>
        <v>53719.005899999996</v>
      </c>
      <c r="V160" s="79">
        <f t="shared" si="118"/>
        <v>43471.878032999994</v>
      </c>
      <c r="W160" s="78">
        <f t="shared" si="119"/>
        <v>46735.535132999998</v>
      </c>
      <c r="X160" s="80">
        <v>3</v>
      </c>
      <c r="Y160" s="78"/>
      <c r="Z160" s="80">
        <f t="shared" ref="Z160:Z192" si="120">X160-Y160</f>
        <v>3</v>
      </c>
      <c r="AA160" s="80">
        <f t="shared" ref="AA160:AA192" si="121">K160*Z160</f>
        <v>45015.93</v>
      </c>
      <c r="AB160" s="80">
        <f t="shared" ref="AB160:AB192" si="122">K160*Y160</f>
        <v>0</v>
      </c>
      <c r="AC160" s="80"/>
      <c r="AD160">
        <v>0.1</v>
      </c>
      <c r="AE160" s="78">
        <f t="shared" ref="AE160:AE192" si="123">K160*AD160</f>
        <v>1500.5309999999999</v>
      </c>
      <c r="AF160">
        <v>0.1</v>
      </c>
      <c r="AG160" s="78">
        <f t="shared" si="107"/>
        <v>1500.5309999999999</v>
      </c>
    </row>
    <row r="161" spans="1:33" x14ac:dyDescent="0.2">
      <c r="A161" s="102"/>
      <c r="B161" s="107"/>
      <c r="C161" s="107" t="s">
        <v>150</v>
      </c>
      <c r="D161" s="109">
        <v>1</v>
      </c>
      <c r="E161" s="73">
        <v>5000</v>
      </c>
      <c r="F161" s="74">
        <f t="shared" si="116"/>
        <v>5500</v>
      </c>
      <c r="G161" s="74">
        <f>F161*1.1*1.1</f>
        <v>6655.0000000000018</v>
      </c>
      <c r="H161" s="74">
        <v>8225.31</v>
      </c>
      <c r="I161" s="74">
        <f t="shared" si="117"/>
        <v>9047.8410000000003</v>
      </c>
      <c r="J161" s="74">
        <v>9590.7114600000004</v>
      </c>
      <c r="K161" s="74">
        <f>ROUND('ПРОЕКТ с 01.02.2023'!K161*1.09,2)</f>
        <v>18006.400000000001</v>
      </c>
      <c r="L161" s="75" t="s">
        <v>154</v>
      </c>
      <c r="M161" s="83">
        <v>30</v>
      </c>
      <c r="N161" s="76"/>
      <c r="O161" s="78">
        <f t="shared" si="101"/>
        <v>5401.92</v>
      </c>
      <c r="P161" s="78">
        <f t="shared" si="102"/>
        <v>20527.3</v>
      </c>
      <c r="Q161" s="78">
        <f t="shared" si="103"/>
        <v>17826.336000000003</v>
      </c>
      <c r="R161" s="79">
        <f t="shared" si="104"/>
        <v>61761.955999999998</v>
      </c>
      <c r="S161" s="78">
        <f t="shared" si="105"/>
        <v>4501.6000000000004</v>
      </c>
      <c r="T161" s="78">
        <v>0.99</v>
      </c>
      <c r="U161" s="78">
        <f t="shared" si="106"/>
        <v>66263.555999999997</v>
      </c>
      <c r="V161" s="79">
        <f t="shared" si="118"/>
        <v>53732.901720000002</v>
      </c>
      <c r="W161" s="78">
        <f t="shared" si="119"/>
        <v>57649.293719999994</v>
      </c>
      <c r="X161" s="80">
        <v>3</v>
      </c>
      <c r="Y161" s="78">
        <v>3</v>
      </c>
      <c r="Z161" s="80">
        <f t="shared" si="120"/>
        <v>0</v>
      </c>
      <c r="AA161" s="80">
        <f t="shared" si="121"/>
        <v>0</v>
      </c>
      <c r="AB161" s="80">
        <f t="shared" si="122"/>
        <v>54019.200000000004</v>
      </c>
      <c r="AC161" s="80"/>
      <c r="AD161">
        <v>0.1</v>
      </c>
      <c r="AE161" s="78">
        <f t="shared" si="123"/>
        <v>1800.6400000000003</v>
      </c>
      <c r="AF161">
        <v>0.1</v>
      </c>
      <c r="AG161" s="78">
        <f t="shared" si="107"/>
        <v>1800.6400000000003</v>
      </c>
    </row>
    <row r="162" spans="1:33" hidden="1" x14ac:dyDescent="0.2">
      <c r="A162" s="102"/>
      <c r="B162" s="107"/>
      <c r="C162" s="107" t="s">
        <v>150</v>
      </c>
      <c r="D162" s="109">
        <v>0</v>
      </c>
      <c r="E162" s="73">
        <v>5000</v>
      </c>
      <c r="F162" s="74">
        <f t="shared" si="116"/>
        <v>5500</v>
      </c>
      <c r="G162" s="74">
        <f>F162*1.1*1.1</f>
        <v>6655.0000000000018</v>
      </c>
      <c r="H162" s="74">
        <v>8225.31</v>
      </c>
      <c r="I162" s="74">
        <f t="shared" si="117"/>
        <v>9047.8410000000003</v>
      </c>
      <c r="J162" s="74">
        <v>9590.7114600000004</v>
      </c>
      <c r="K162" s="74">
        <f>ROUND('ПРОЕКТ с 01.02.2023'!K162*1.09,2)</f>
        <v>0</v>
      </c>
      <c r="L162" s="75"/>
      <c r="M162" s="83">
        <v>0</v>
      </c>
      <c r="N162" s="76"/>
      <c r="O162" s="78">
        <f t="shared" si="101"/>
        <v>0</v>
      </c>
      <c r="P162" s="78">
        <f t="shared" si="102"/>
        <v>0</v>
      </c>
      <c r="Q162" s="78">
        <f t="shared" si="103"/>
        <v>0</v>
      </c>
      <c r="R162" s="79">
        <f t="shared" si="104"/>
        <v>0</v>
      </c>
      <c r="S162" s="78">
        <f t="shared" si="105"/>
        <v>0</v>
      </c>
      <c r="T162" s="78">
        <v>0.99</v>
      </c>
      <c r="U162" s="78">
        <f t="shared" si="106"/>
        <v>0</v>
      </c>
      <c r="V162" s="79">
        <f t="shared" si="118"/>
        <v>0</v>
      </c>
      <c r="W162" s="78">
        <f t="shared" si="119"/>
        <v>0</v>
      </c>
      <c r="X162" s="80">
        <v>3</v>
      </c>
      <c r="Y162" s="78">
        <v>3</v>
      </c>
      <c r="Z162" s="80">
        <f t="shared" si="120"/>
        <v>0</v>
      </c>
      <c r="AA162" s="80">
        <f t="shared" si="121"/>
        <v>0</v>
      </c>
      <c r="AB162" s="80">
        <f t="shared" si="122"/>
        <v>0</v>
      </c>
      <c r="AC162" s="80"/>
      <c r="AD162">
        <v>0.1</v>
      </c>
      <c r="AE162" s="78">
        <f t="shared" si="123"/>
        <v>0</v>
      </c>
      <c r="AF162">
        <v>0.1</v>
      </c>
      <c r="AG162" s="78">
        <f t="shared" si="107"/>
        <v>0</v>
      </c>
    </row>
    <row r="163" spans="1:33" x14ac:dyDescent="0.2">
      <c r="A163" s="102"/>
      <c r="B163" s="107"/>
      <c r="C163" s="107" t="s">
        <v>138</v>
      </c>
      <c r="D163" s="109">
        <v>1</v>
      </c>
      <c r="E163" s="73">
        <v>4500</v>
      </c>
      <c r="F163" s="74">
        <f t="shared" si="116"/>
        <v>4950</v>
      </c>
      <c r="G163" s="74">
        <f>F163*1.1*1.1+0.5</f>
        <v>5990.0000000000009</v>
      </c>
      <c r="H163" s="74">
        <v>7402.79</v>
      </c>
      <c r="I163" s="74">
        <f t="shared" si="117"/>
        <v>8143.0690000000004</v>
      </c>
      <c r="J163" s="74">
        <v>8631.6531400000003</v>
      </c>
      <c r="K163" s="74">
        <f>ROUND('ПРОЕКТ с 01.02.2023'!K163*1.09,2)</f>
        <v>13504.81</v>
      </c>
      <c r="L163" s="75" t="s">
        <v>155</v>
      </c>
      <c r="M163" s="76">
        <v>0</v>
      </c>
      <c r="N163" s="76"/>
      <c r="O163" s="78">
        <f t="shared" si="101"/>
        <v>0</v>
      </c>
      <c r="P163" s="78">
        <f t="shared" si="102"/>
        <v>15395.48</v>
      </c>
      <c r="Q163" s="78">
        <f t="shared" si="103"/>
        <v>7292.5974000000006</v>
      </c>
      <c r="R163" s="79">
        <f t="shared" si="104"/>
        <v>36192.8874</v>
      </c>
      <c r="S163" s="78">
        <f t="shared" si="105"/>
        <v>3376.2</v>
      </c>
      <c r="T163" s="78">
        <v>0.54</v>
      </c>
      <c r="U163" s="78">
        <f t="shared" si="106"/>
        <v>39569.087399999997</v>
      </c>
      <c r="V163" s="79">
        <f t="shared" si="118"/>
        <v>31487.812038</v>
      </c>
      <c r="W163" s="78">
        <f t="shared" si="119"/>
        <v>34425.106037999998</v>
      </c>
      <c r="X163" s="80">
        <v>3</v>
      </c>
      <c r="Y163" s="78">
        <v>3</v>
      </c>
      <c r="Z163" s="80">
        <f t="shared" si="120"/>
        <v>0</v>
      </c>
      <c r="AA163" s="80">
        <f t="shared" si="121"/>
        <v>0</v>
      </c>
      <c r="AB163" s="80">
        <f t="shared" si="122"/>
        <v>40514.43</v>
      </c>
      <c r="AC163" s="80"/>
      <c r="AD163">
        <v>0.1</v>
      </c>
      <c r="AE163" s="78">
        <f t="shared" si="123"/>
        <v>1350.481</v>
      </c>
      <c r="AF163">
        <v>0.1</v>
      </c>
      <c r="AG163" s="78">
        <f t="shared" si="107"/>
        <v>1350.481</v>
      </c>
    </row>
    <row r="164" spans="1:33" x14ac:dyDescent="0.2">
      <c r="A164" s="107"/>
      <c r="B164" s="181"/>
      <c r="C164" s="181" t="s">
        <v>140</v>
      </c>
      <c r="D164" s="111">
        <f t="shared" ref="D164:I164" si="124">SUM(D157:D163)</f>
        <v>6</v>
      </c>
      <c r="E164" s="89">
        <f t="shared" si="124"/>
        <v>37000</v>
      </c>
      <c r="F164" s="89">
        <f t="shared" si="124"/>
        <v>40700</v>
      </c>
      <c r="G164" s="89">
        <f t="shared" si="124"/>
        <v>49248</v>
      </c>
      <c r="H164" s="89">
        <f t="shared" si="124"/>
        <v>60867.319999999992</v>
      </c>
      <c r="I164" s="89">
        <f t="shared" si="124"/>
        <v>66954.051999999996</v>
      </c>
      <c r="J164" s="89">
        <v>42199.160740000007</v>
      </c>
      <c r="K164" s="90">
        <f>SUM(K157:K163)</f>
        <v>102036.23000000001</v>
      </c>
      <c r="L164" s="90"/>
      <c r="M164" s="90"/>
      <c r="N164" s="90">
        <f t="shared" ref="N164" si="125">SUM(N157:N163)</f>
        <v>0</v>
      </c>
      <c r="O164" s="90">
        <f>SUM(O157:O163)</f>
        <v>26559.42</v>
      </c>
      <c r="P164" s="90">
        <f t="shared" ref="P164:W164" si="126">SUM(P157:P163)</f>
        <v>116321.3</v>
      </c>
      <c r="Q164" s="90">
        <f t="shared" si="126"/>
        <v>102066.24119999999</v>
      </c>
      <c r="R164" s="90">
        <f t="shared" si="126"/>
        <v>346983.1912</v>
      </c>
      <c r="S164" s="90">
        <f t="shared" si="126"/>
        <v>25509.06</v>
      </c>
      <c r="T164" s="90">
        <f t="shared" si="126"/>
        <v>6.73</v>
      </c>
      <c r="U164" s="90">
        <f t="shared" si="126"/>
        <v>372492.2512</v>
      </c>
      <c r="V164" s="90">
        <f t="shared" si="126"/>
        <v>301875.37634399999</v>
      </c>
      <c r="W164" s="90">
        <f t="shared" si="126"/>
        <v>324068.25854399998</v>
      </c>
      <c r="X164" s="80"/>
      <c r="Y164" s="90"/>
      <c r="Z164" s="80"/>
      <c r="AA164" s="80">
        <f t="shared" si="121"/>
        <v>0</v>
      </c>
      <c r="AB164" s="80">
        <f t="shared" si="122"/>
        <v>0</v>
      </c>
      <c r="AC164" s="91"/>
      <c r="AD164">
        <v>0.1</v>
      </c>
      <c r="AE164" s="90">
        <f t="shared" si="123"/>
        <v>10203.623000000001</v>
      </c>
      <c r="AF164">
        <v>0.1</v>
      </c>
      <c r="AG164" s="90">
        <f t="shared" si="107"/>
        <v>10203.623000000001</v>
      </c>
    </row>
    <row r="165" spans="1:33" ht="30" customHeight="1" x14ac:dyDescent="0.2">
      <c r="A165" s="71" t="s">
        <v>156</v>
      </c>
      <c r="B165" s="97"/>
      <c r="C165" s="97"/>
      <c r="D165" s="94"/>
      <c r="E165" s="95"/>
      <c r="F165" s="95"/>
      <c r="G165" s="95"/>
      <c r="H165" s="95"/>
      <c r="I165" s="95"/>
      <c r="J165" s="95"/>
      <c r="K165" s="90"/>
      <c r="L165" s="90"/>
      <c r="M165" s="90"/>
      <c r="N165" s="90"/>
      <c r="O165" s="90"/>
      <c r="P165" s="130">
        <v>1.1399999999999999</v>
      </c>
      <c r="Q165" s="90"/>
      <c r="R165" s="79"/>
      <c r="S165" s="90"/>
      <c r="T165" s="130"/>
      <c r="U165" s="90"/>
      <c r="V165" s="79"/>
      <c r="W165" s="90"/>
      <c r="X165" s="80"/>
      <c r="Y165" s="90"/>
      <c r="Z165" s="80"/>
      <c r="AA165" s="80">
        <f t="shared" si="121"/>
        <v>0</v>
      </c>
      <c r="AB165" s="80">
        <f t="shared" si="122"/>
        <v>0</v>
      </c>
      <c r="AC165" s="91"/>
      <c r="AD165">
        <v>0.1</v>
      </c>
      <c r="AE165" s="90"/>
      <c r="AG165" s="90"/>
    </row>
    <row r="166" spans="1:33" x14ac:dyDescent="0.2">
      <c r="A166" s="133"/>
      <c r="B166" s="87"/>
      <c r="C166" s="87" t="s">
        <v>133</v>
      </c>
      <c r="D166" s="72">
        <v>1</v>
      </c>
      <c r="E166" s="73">
        <v>7500</v>
      </c>
      <c r="F166" s="74">
        <f t="shared" ref="F166:F172" si="127">ROUND(E166*F$12,2)</f>
        <v>8250</v>
      </c>
      <c r="G166" s="74">
        <f>F166*1.1*1.1+0.5</f>
        <v>9983</v>
      </c>
      <c r="H166" s="74">
        <v>12337.98</v>
      </c>
      <c r="I166" s="74">
        <f t="shared" ref="I166:I172" si="128">H166*$I$12</f>
        <v>13571.778</v>
      </c>
      <c r="J166" s="74">
        <v>14386.084680000002</v>
      </c>
      <c r="K166" s="74">
        <f>ROUND('ПРОЕКТ с 01.02.2023'!K166*1.09,2)</f>
        <v>22508</v>
      </c>
      <c r="L166" s="75" t="s">
        <v>157</v>
      </c>
      <c r="M166" s="69">
        <v>30</v>
      </c>
      <c r="N166" s="69"/>
      <c r="O166" s="78">
        <f t="shared" si="101"/>
        <v>6752.4</v>
      </c>
      <c r="P166" s="78">
        <f t="shared" si="102"/>
        <v>25659.119999999999</v>
      </c>
      <c r="Q166" s="78">
        <f t="shared" si="103"/>
        <v>32411.52</v>
      </c>
      <c r="R166" s="79">
        <f t="shared" si="104"/>
        <v>87331.040000000008</v>
      </c>
      <c r="S166" s="78">
        <f t="shared" si="105"/>
        <v>5627</v>
      </c>
      <c r="T166" s="78">
        <v>1.44</v>
      </c>
      <c r="U166" s="78">
        <f t="shared" si="106"/>
        <v>92958.040000000008</v>
      </c>
      <c r="V166" s="79">
        <f t="shared" si="118"/>
        <v>75978.00480000001</v>
      </c>
      <c r="W166" s="78">
        <f t="shared" si="119"/>
        <v>80873.4948</v>
      </c>
      <c r="X166" s="80">
        <v>3</v>
      </c>
      <c r="Y166" s="78">
        <v>2</v>
      </c>
      <c r="Z166" s="80">
        <f t="shared" si="120"/>
        <v>1</v>
      </c>
      <c r="AA166" s="80">
        <f t="shared" si="121"/>
        <v>22508</v>
      </c>
      <c r="AB166" s="80">
        <f t="shared" si="122"/>
        <v>45016</v>
      </c>
      <c r="AC166" s="80"/>
      <c r="AD166">
        <v>0.1</v>
      </c>
      <c r="AE166" s="78">
        <f t="shared" si="123"/>
        <v>2250.8000000000002</v>
      </c>
      <c r="AF166">
        <v>0.1</v>
      </c>
      <c r="AG166" s="78">
        <f t="shared" si="107"/>
        <v>2250.8000000000002</v>
      </c>
    </row>
    <row r="167" spans="1:33" ht="16.5" customHeight="1" x14ac:dyDescent="0.2">
      <c r="A167" s="102"/>
      <c r="B167" s="122"/>
      <c r="C167" s="122" t="s">
        <v>90</v>
      </c>
      <c r="D167" s="72">
        <v>1</v>
      </c>
      <c r="E167" s="73">
        <v>6000</v>
      </c>
      <c r="F167" s="74">
        <f t="shared" si="127"/>
        <v>6600</v>
      </c>
      <c r="G167" s="74">
        <f>F167*1.1*1.1</f>
        <v>7986.0000000000018</v>
      </c>
      <c r="H167" s="74">
        <v>9870.3799999999992</v>
      </c>
      <c r="I167" s="74">
        <f t="shared" si="128"/>
        <v>10857.418</v>
      </c>
      <c r="J167" s="74">
        <v>11508.863080000001</v>
      </c>
      <c r="K167" s="74">
        <f>ROUND('ПРОЕКТ с 01.02.2023'!K167*1.09,2)</f>
        <v>18006.400000000001</v>
      </c>
      <c r="L167" s="75" t="s">
        <v>158</v>
      </c>
      <c r="M167" s="69">
        <v>30</v>
      </c>
      <c r="N167" s="76"/>
      <c r="O167" s="78">
        <f t="shared" si="101"/>
        <v>5401.92</v>
      </c>
      <c r="P167" s="78">
        <f t="shared" si="102"/>
        <v>20527.3</v>
      </c>
      <c r="Q167" s="78">
        <f t="shared" si="103"/>
        <v>17826.336000000003</v>
      </c>
      <c r="R167" s="79">
        <f t="shared" si="104"/>
        <v>61761.955999999998</v>
      </c>
      <c r="S167" s="78">
        <f t="shared" si="105"/>
        <v>4501.6000000000004</v>
      </c>
      <c r="T167" s="78">
        <v>0.99</v>
      </c>
      <c r="U167" s="78">
        <f t="shared" si="106"/>
        <v>66263.555999999997</v>
      </c>
      <c r="V167" s="79">
        <f t="shared" si="118"/>
        <v>53732.901720000002</v>
      </c>
      <c r="W167" s="78">
        <f t="shared" si="119"/>
        <v>57649.293719999994</v>
      </c>
      <c r="X167" s="80">
        <v>3</v>
      </c>
      <c r="Y167" s="78">
        <v>3</v>
      </c>
      <c r="Z167" s="80">
        <f t="shared" si="120"/>
        <v>0</v>
      </c>
      <c r="AA167" s="80">
        <f t="shared" si="121"/>
        <v>0</v>
      </c>
      <c r="AB167" s="80">
        <f t="shared" si="122"/>
        <v>54019.200000000004</v>
      </c>
      <c r="AC167" s="80"/>
      <c r="AD167">
        <v>0.1</v>
      </c>
      <c r="AE167" s="78">
        <f t="shared" si="123"/>
        <v>1800.6400000000003</v>
      </c>
      <c r="AF167">
        <v>0.1</v>
      </c>
      <c r="AG167" s="78">
        <f t="shared" si="107"/>
        <v>1800.6400000000003</v>
      </c>
    </row>
    <row r="168" spans="1:33" x14ac:dyDescent="0.2">
      <c r="A168" s="102"/>
      <c r="B168" s="107"/>
      <c r="C168" s="107" t="s">
        <v>48</v>
      </c>
      <c r="D168" s="109">
        <v>1</v>
      </c>
      <c r="E168" s="73">
        <v>5000</v>
      </c>
      <c r="F168" s="74">
        <f t="shared" si="127"/>
        <v>5500</v>
      </c>
      <c r="G168" s="74">
        <f>F168*1.1*1.1</f>
        <v>6655.0000000000018</v>
      </c>
      <c r="H168" s="74">
        <v>8225.31</v>
      </c>
      <c r="I168" s="74">
        <f t="shared" si="128"/>
        <v>9047.8410000000003</v>
      </c>
      <c r="J168" s="74">
        <v>9590.7114600000004</v>
      </c>
      <c r="K168" s="74">
        <f>ROUND('ПРОЕКТ с 01.02.2023'!K168*1.09,2)</f>
        <v>15005.31</v>
      </c>
      <c r="L168" s="75" t="s">
        <v>159</v>
      </c>
      <c r="M168" s="83">
        <v>30</v>
      </c>
      <c r="N168" s="75"/>
      <c r="O168" s="78">
        <f t="shared" si="101"/>
        <v>4501.59</v>
      </c>
      <c r="P168" s="78">
        <f t="shared" si="102"/>
        <v>17106.05</v>
      </c>
      <c r="Q168" s="78">
        <f t="shared" si="103"/>
        <v>13354.725899999999</v>
      </c>
      <c r="R168" s="79">
        <f t="shared" si="104"/>
        <v>49967.675899999995</v>
      </c>
      <c r="S168" s="78">
        <f t="shared" si="105"/>
        <v>3751.33</v>
      </c>
      <c r="T168" s="78">
        <v>0.89</v>
      </c>
      <c r="U168" s="78">
        <f t="shared" si="106"/>
        <v>53719.005899999996</v>
      </c>
      <c r="V168" s="79">
        <f t="shared" si="118"/>
        <v>43471.878032999994</v>
      </c>
      <c r="W168" s="78">
        <f t="shared" si="119"/>
        <v>46735.535132999998</v>
      </c>
      <c r="X168" s="80">
        <v>3</v>
      </c>
      <c r="Y168" s="78">
        <v>3</v>
      </c>
      <c r="Z168" s="80">
        <f t="shared" si="120"/>
        <v>0</v>
      </c>
      <c r="AA168" s="80">
        <f t="shared" si="121"/>
        <v>0</v>
      </c>
      <c r="AB168" s="80">
        <f t="shared" si="122"/>
        <v>45015.93</v>
      </c>
      <c r="AC168" s="80"/>
      <c r="AD168">
        <v>0.1</v>
      </c>
      <c r="AE168" s="78">
        <f t="shared" si="123"/>
        <v>1500.5309999999999</v>
      </c>
      <c r="AF168">
        <v>0.1</v>
      </c>
      <c r="AG168" s="78">
        <f t="shared" si="107"/>
        <v>1500.5309999999999</v>
      </c>
    </row>
    <row r="169" spans="1:33" x14ac:dyDescent="0.2">
      <c r="A169" s="102"/>
      <c r="B169" s="107"/>
      <c r="C169" s="107" t="s">
        <v>48</v>
      </c>
      <c r="D169" s="109">
        <v>1</v>
      </c>
      <c r="E169" s="73">
        <v>5000</v>
      </c>
      <c r="F169" s="74">
        <f>ROUND(E169*F$12,2)</f>
        <v>5500</v>
      </c>
      <c r="G169" s="74">
        <f>F169*1.1*1.1</f>
        <v>6655.0000000000018</v>
      </c>
      <c r="H169" s="74">
        <v>8225.31</v>
      </c>
      <c r="I169" s="74">
        <f>H169*$I$12</f>
        <v>9047.8410000000003</v>
      </c>
      <c r="J169" s="74">
        <v>9590.7114600000004</v>
      </c>
      <c r="K169" s="74">
        <f>ROUND('ПРОЕКТ с 01.02.2023'!K169*1.09,2)</f>
        <v>15005.31</v>
      </c>
      <c r="L169" s="75" t="s">
        <v>160</v>
      </c>
      <c r="M169" s="83">
        <v>30</v>
      </c>
      <c r="N169" s="75"/>
      <c r="O169" s="78">
        <f t="shared" si="101"/>
        <v>4501.59</v>
      </c>
      <c r="P169" s="78">
        <f t="shared" si="102"/>
        <v>17106.05</v>
      </c>
      <c r="Q169" s="78">
        <f t="shared" si="103"/>
        <v>13354.725899999999</v>
      </c>
      <c r="R169" s="79">
        <f t="shared" si="104"/>
        <v>49967.675899999995</v>
      </c>
      <c r="S169" s="78">
        <f t="shared" si="105"/>
        <v>3751.33</v>
      </c>
      <c r="T169" s="78">
        <v>0.89</v>
      </c>
      <c r="U169" s="78">
        <f t="shared" si="106"/>
        <v>53719.005899999996</v>
      </c>
      <c r="V169" s="79">
        <f t="shared" si="118"/>
        <v>43471.878032999994</v>
      </c>
      <c r="W169" s="78">
        <f t="shared" si="119"/>
        <v>46735.535132999998</v>
      </c>
      <c r="X169" s="80">
        <v>3</v>
      </c>
      <c r="Y169" s="78"/>
      <c r="Z169" s="80">
        <f t="shared" si="120"/>
        <v>3</v>
      </c>
      <c r="AA169" s="80">
        <f t="shared" si="121"/>
        <v>45015.93</v>
      </c>
      <c r="AB169" s="80">
        <f t="shared" si="122"/>
        <v>0</v>
      </c>
      <c r="AC169" s="80"/>
      <c r="AD169">
        <v>0.1</v>
      </c>
      <c r="AE169" s="78">
        <f t="shared" si="123"/>
        <v>1500.5309999999999</v>
      </c>
      <c r="AF169">
        <v>0.1</v>
      </c>
      <c r="AG169" s="78">
        <f t="shared" si="107"/>
        <v>1500.5309999999999</v>
      </c>
    </row>
    <row r="170" spans="1:33" x14ac:dyDescent="0.2">
      <c r="A170" s="102"/>
      <c r="B170" s="107"/>
      <c r="C170" s="122" t="s">
        <v>90</v>
      </c>
      <c r="D170" s="109">
        <v>1</v>
      </c>
      <c r="E170" s="73">
        <v>5000</v>
      </c>
      <c r="F170" s="74">
        <f>ROUND(E170*F$12,2)</f>
        <v>5500</v>
      </c>
      <c r="G170" s="74">
        <f>F170*1.1*1.1</f>
        <v>6655.0000000000018</v>
      </c>
      <c r="H170" s="74">
        <v>8225.31</v>
      </c>
      <c r="I170" s="74">
        <f>H170*$I$12</f>
        <v>9047.8410000000003</v>
      </c>
      <c r="J170" s="74">
        <v>9590.7114600000004</v>
      </c>
      <c r="K170" s="74">
        <f>ROUND('ПРОЕКТ с 01.02.2023'!K170*1.09,2)</f>
        <v>18006.400000000001</v>
      </c>
      <c r="L170" s="75" t="s">
        <v>161</v>
      </c>
      <c r="M170" s="83">
        <v>30</v>
      </c>
      <c r="N170" s="76"/>
      <c r="O170" s="78">
        <f t="shared" si="101"/>
        <v>5401.92</v>
      </c>
      <c r="P170" s="78">
        <f t="shared" si="102"/>
        <v>20527.3</v>
      </c>
      <c r="Q170" s="78">
        <f t="shared" si="103"/>
        <v>17826.336000000003</v>
      </c>
      <c r="R170" s="79">
        <f t="shared" si="104"/>
        <v>61761.955999999998</v>
      </c>
      <c r="S170" s="78">
        <f t="shared" si="105"/>
        <v>4501.6000000000004</v>
      </c>
      <c r="T170" s="78">
        <v>0.99</v>
      </c>
      <c r="U170" s="78">
        <f t="shared" si="106"/>
        <v>66263.555999999997</v>
      </c>
      <c r="V170" s="79">
        <f t="shared" si="118"/>
        <v>53732.901720000002</v>
      </c>
      <c r="W170" s="78">
        <f t="shared" si="119"/>
        <v>57649.293719999994</v>
      </c>
      <c r="X170" s="80">
        <v>3</v>
      </c>
      <c r="Y170" s="78">
        <v>3</v>
      </c>
      <c r="Z170" s="80">
        <f t="shared" si="120"/>
        <v>0</v>
      </c>
      <c r="AA170" s="80">
        <f t="shared" si="121"/>
        <v>0</v>
      </c>
      <c r="AB170" s="80">
        <f t="shared" si="122"/>
        <v>54019.200000000004</v>
      </c>
      <c r="AC170" s="80"/>
      <c r="AD170">
        <v>0.1</v>
      </c>
      <c r="AE170" s="78">
        <f t="shared" si="123"/>
        <v>1800.6400000000003</v>
      </c>
      <c r="AF170">
        <v>0.1</v>
      </c>
      <c r="AG170" s="78">
        <f t="shared" si="107"/>
        <v>1800.6400000000003</v>
      </c>
    </row>
    <row r="171" spans="1:33" ht="23.25" customHeight="1" x14ac:dyDescent="0.2">
      <c r="A171" s="102"/>
      <c r="B171" s="107"/>
      <c r="C171" s="131" t="s">
        <v>136</v>
      </c>
      <c r="D171" s="109">
        <v>1</v>
      </c>
      <c r="E171" s="73">
        <v>4500</v>
      </c>
      <c r="F171" s="74">
        <f t="shared" si="127"/>
        <v>4950</v>
      </c>
      <c r="G171" s="74">
        <f>F171*1.1*1.1+0.5</f>
        <v>5990.0000000000009</v>
      </c>
      <c r="H171" s="74">
        <v>8225.31</v>
      </c>
      <c r="I171" s="74">
        <f t="shared" si="128"/>
        <v>9047.8410000000003</v>
      </c>
      <c r="J171" s="74">
        <v>9590.7114600000004</v>
      </c>
      <c r="K171" s="74">
        <f>ROUND('ПРОЕКТ с 01.02.2023'!K171*1.09,2)</f>
        <v>18006.400000000001</v>
      </c>
      <c r="L171" s="75" t="s">
        <v>162</v>
      </c>
      <c r="M171" s="83">
        <v>30</v>
      </c>
      <c r="N171" s="76"/>
      <c r="O171" s="78">
        <f t="shared" si="101"/>
        <v>5401.92</v>
      </c>
      <c r="P171" s="78">
        <f t="shared" si="102"/>
        <v>20527.3</v>
      </c>
      <c r="Q171" s="78">
        <f t="shared" si="103"/>
        <v>17826.336000000003</v>
      </c>
      <c r="R171" s="79">
        <f t="shared" si="104"/>
        <v>61761.955999999998</v>
      </c>
      <c r="S171" s="78">
        <f t="shared" si="105"/>
        <v>4501.6000000000004</v>
      </c>
      <c r="T171" s="78">
        <v>0.99</v>
      </c>
      <c r="U171" s="78">
        <f t="shared" si="106"/>
        <v>66263.555999999997</v>
      </c>
      <c r="V171" s="79">
        <f t="shared" si="118"/>
        <v>53732.901720000002</v>
      </c>
      <c r="W171" s="78">
        <f t="shared" si="119"/>
        <v>57649.293719999994</v>
      </c>
      <c r="X171" s="80">
        <v>3</v>
      </c>
      <c r="Y171" s="78">
        <v>3</v>
      </c>
      <c r="Z171" s="80">
        <f t="shared" si="120"/>
        <v>0</v>
      </c>
      <c r="AA171" s="80">
        <f t="shared" si="121"/>
        <v>0</v>
      </c>
      <c r="AB171" s="80">
        <f t="shared" si="122"/>
        <v>54019.200000000004</v>
      </c>
      <c r="AC171" s="80"/>
      <c r="AD171">
        <v>0.1</v>
      </c>
      <c r="AE171" s="78">
        <f t="shared" si="123"/>
        <v>1800.6400000000003</v>
      </c>
      <c r="AF171">
        <v>0.1</v>
      </c>
      <c r="AG171" s="78">
        <f t="shared" si="107"/>
        <v>1800.6400000000003</v>
      </c>
    </row>
    <row r="172" spans="1:33" x14ac:dyDescent="0.2">
      <c r="A172" s="102"/>
      <c r="B172" s="107"/>
      <c r="C172" s="107" t="s">
        <v>138</v>
      </c>
      <c r="D172" s="109">
        <v>1</v>
      </c>
      <c r="E172" s="73">
        <v>4500</v>
      </c>
      <c r="F172" s="74">
        <f t="shared" si="127"/>
        <v>4950</v>
      </c>
      <c r="G172" s="74">
        <f>F172*1.1*1.1+0.5</f>
        <v>5990.0000000000009</v>
      </c>
      <c r="H172" s="74">
        <v>7402.79</v>
      </c>
      <c r="I172" s="74">
        <f t="shared" si="128"/>
        <v>8143.0690000000004</v>
      </c>
      <c r="J172" s="74">
        <v>8631.6531400000003</v>
      </c>
      <c r="K172" s="74">
        <f>ROUND('ПРОЕКТ с 01.02.2023'!K172*1.09,2)</f>
        <v>13504.81</v>
      </c>
      <c r="L172" s="75" t="s">
        <v>163</v>
      </c>
      <c r="M172" s="76">
        <v>0</v>
      </c>
      <c r="N172" s="76"/>
      <c r="O172" s="78">
        <f t="shared" si="101"/>
        <v>0</v>
      </c>
      <c r="P172" s="78">
        <f>ROUND(K172*1.14,2)</f>
        <v>15395.48</v>
      </c>
      <c r="Q172" s="78">
        <f t="shared" si="103"/>
        <v>7292.5974000000006</v>
      </c>
      <c r="R172" s="79">
        <f t="shared" si="104"/>
        <v>36192.8874</v>
      </c>
      <c r="S172" s="78">
        <f t="shared" si="105"/>
        <v>3376.2</v>
      </c>
      <c r="T172" s="78">
        <v>0.54</v>
      </c>
      <c r="U172" s="78">
        <f t="shared" si="106"/>
        <v>39569.087399999997</v>
      </c>
      <c r="V172" s="79">
        <f t="shared" si="118"/>
        <v>31487.812038</v>
      </c>
      <c r="W172" s="78">
        <f t="shared" si="119"/>
        <v>34425.106037999998</v>
      </c>
      <c r="X172" s="80">
        <v>3</v>
      </c>
      <c r="Y172" s="78">
        <v>3</v>
      </c>
      <c r="Z172" s="80">
        <f t="shared" si="120"/>
        <v>0</v>
      </c>
      <c r="AA172" s="80">
        <f t="shared" si="121"/>
        <v>0</v>
      </c>
      <c r="AB172" s="80">
        <f t="shared" si="122"/>
        <v>40514.43</v>
      </c>
      <c r="AC172" s="80"/>
      <c r="AD172">
        <v>0.1</v>
      </c>
      <c r="AE172" s="78">
        <f t="shared" si="123"/>
        <v>1350.481</v>
      </c>
      <c r="AF172">
        <v>0.1</v>
      </c>
      <c r="AG172" s="78">
        <f t="shared" si="107"/>
        <v>1350.481</v>
      </c>
    </row>
    <row r="173" spans="1:33" ht="13.5" x14ac:dyDescent="0.2">
      <c r="A173" s="102"/>
      <c r="B173" s="107"/>
      <c r="C173" s="237" t="s">
        <v>90</v>
      </c>
      <c r="D173" s="238"/>
      <c r="E173" s="239">
        <v>6000</v>
      </c>
      <c r="F173" s="240">
        <f>ROUND(E173*F$12,2)</f>
        <v>6600</v>
      </c>
      <c r="G173" s="240">
        <f>F173*1.1*1.1</f>
        <v>7986.0000000000018</v>
      </c>
      <c r="H173" s="240">
        <v>9870.3799999999992</v>
      </c>
      <c r="I173" s="240">
        <f>H173*$I$12</f>
        <v>10857.418</v>
      </c>
      <c r="J173" s="240">
        <v>11508.863080000001</v>
      </c>
      <c r="K173" s="240">
        <f>ROUND('ПРОЕКТ с 01.02.2023'!K173*1.09,2)</f>
        <v>0</v>
      </c>
      <c r="L173" s="241" t="s">
        <v>166</v>
      </c>
      <c r="M173" s="83">
        <v>30</v>
      </c>
      <c r="N173" s="76"/>
      <c r="O173" s="78">
        <f t="shared" si="101"/>
        <v>0</v>
      </c>
      <c r="P173" s="78">
        <f t="shared" si="102"/>
        <v>0</v>
      </c>
      <c r="Q173" s="78">
        <f t="shared" si="103"/>
        <v>0</v>
      </c>
      <c r="R173" s="79">
        <f t="shared" si="104"/>
        <v>0</v>
      </c>
      <c r="S173" s="78">
        <f t="shared" si="105"/>
        <v>0</v>
      </c>
      <c r="T173" s="78">
        <v>0.99</v>
      </c>
      <c r="U173" s="78">
        <f t="shared" si="106"/>
        <v>0</v>
      </c>
      <c r="V173" s="79">
        <f t="shared" si="118"/>
        <v>0</v>
      </c>
      <c r="W173" s="78">
        <f t="shared" si="119"/>
        <v>0</v>
      </c>
      <c r="X173" s="80"/>
      <c r="Y173" s="78"/>
      <c r="Z173" s="80"/>
      <c r="AA173" s="80"/>
      <c r="AB173" s="80"/>
      <c r="AC173" s="80"/>
      <c r="AE173" s="78"/>
      <c r="AG173" s="78"/>
    </row>
    <row r="174" spans="1:33" ht="13.5" x14ac:dyDescent="0.2">
      <c r="A174" s="102"/>
      <c r="B174" s="107"/>
      <c r="C174" s="119" t="s">
        <v>48</v>
      </c>
      <c r="D174" s="242"/>
      <c r="E174" s="239">
        <v>5000</v>
      </c>
      <c r="F174" s="240">
        <f>ROUND(E174*F$12,2)</f>
        <v>5500</v>
      </c>
      <c r="G174" s="240">
        <f>F174*1.1*1.1</f>
        <v>6655.0000000000018</v>
      </c>
      <c r="H174" s="240">
        <v>8225.31</v>
      </c>
      <c r="I174" s="240">
        <f>H174*$I$12</f>
        <v>9047.8410000000003</v>
      </c>
      <c r="J174" s="240">
        <v>9590.7114600000004</v>
      </c>
      <c r="K174" s="240">
        <f>ROUND('ПРОЕКТ с 01.02.2023'!K174*1.09,2)</f>
        <v>15005.31</v>
      </c>
      <c r="L174" s="241" t="s">
        <v>167</v>
      </c>
      <c r="M174" s="83">
        <v>30</v>
      </c>
      <c r="N174" s="76"/>
      <c r="O174" s="78">
        <f t="shared" si="101"/>
        <v>4501.59</v>
      </c>
      <c r="P174" s="78">
        <f t="shared" si="102"/>
        <v>17106.05</v>
      </c>
      <c r="Q174" s="78">
        <f t="shared" si="103"/>
        <v>13354.725899999999</v>
      </c>
      <c r="R174" s="79">
        <f t="shared" si="104"/>
        <v>49967.675899999995</v>
      </c>
      <c r="S174" s="78">
        <f t="shared" si="105"/>
        <v>3751.33</v>
      </c>
      <c r="T174" s="78">
        <v>0.89</v>
      </c>
      <c r="U174" s="78">
        <f t="shared" si="106"/>
        <v>53719.005899999996</v>
      </c>
      <c r="V174" s="79">
        <f t="shared" si="118"/>
        <v>43471.878032999994</v>
      </c>
      <c r="W174" s="78">
        <f t="shared" si="119"/>
        <v>46735.535132999998</v>
      </c>
      <c r="X174" s="80"/>
      <c r="Y174" s="78"/>
      <c r="Z174" s="80"/>
      <c r="AA174" s="80"/>
      <c r="AB174" s="80"/>
      <c r="AC174" s="80"/>
      <c r="AE174" s="78"/>
      <c r="AG174" s="78"/>
    </row>
    <row r="175" spans="1:33" ht="25.5" x14ac:dyDescent="0.2">
      <c r="A175" s="102"/>
      <c r="B175" s="107"/>
      <c r="C175" s="237" t="s">
        <v>136</v>
      </c>
      <c r="D175" s="242"/>
      <c r="E175" s="239">
        <v>5000</v>
      </c>
      <c r="F175" s="240">
        <f>ROUND(E175*F$12,2)</f>
        <v>5500</v>
      </c>
      <c r="G175" s="240">
        <f>F175*1.1*1.1</f>
        <v>6655.0000000000018</v>
      </c>
      <c r="H175" s="240">
        <v>8225.31</v>
      </c>
      <c r="I175" s="240">
        <f>H175*$I$12</f>
        <v>9047.8410000000003</v>
      </c>
      <c r="J175" s="240">
        <v>9590.7114600000004</v>
      </c>
      <c r="K175" s="240">
        <f>ROUND('ПРОЕКТ с 01.02.2023'!K175*1.09,2)</f>
        <v>0</v>
      </c>
      <c r="L175" s="241" t="s">
        <v>168</v>
      </c>
      <c r="M175" s="83">
        <v>30</v>
      </c>
      <c r="N175" s="76"/>
      <c r="O175" s="78">
        <f t="shared" si="101"/>
        <v>0</v>
      </c>
      <c r="P175" s="78">
        <f t="shared" si="102"/>
        <v>0</v>
      </c>
      <c r="Q175" s="78">
        <f t="shared" si="103"/>
        <v>0</v>
      </c>
      <c r="R175" s="79">
        <f t="shared" si="104"/>
        <v>0</v>
      </c>
      <c r="S175" s="78">
        <f t="shared" si="105"/>
        <v>0</v>
      </c>
      <c r="T175" s="78">
        <v>0.99</v>
      </c>
      <c r="U175" s="78">
        <f t="shared" si="106"/>
        <v>0</v>
      </c>
      <c r="V175" s="79">
        <f t="shared" si="118"/>
        <v>0</v>
      </c>
      <c r="W175" s="78">
        <f t="shared" si="119"/>
        <v>0</v>
      </c>
      <c r="X175" s="80"/>
      <c r="Y175" s="78"/>
      <c r="Z175" s="80"/>
      <c r="AA175" s="80"/>
      <c r="AB175" s="80"/>
      <c r="AC175" s="80"/>
      <c r="AE175" s="78"/>
      <c r="AG175" s="78"/>
    </row>
    <row r="176" spans="1:33" ht="13.5" x14ac:dyDescent="0.2">
      <c r="A176" s="102"/>
      <c r="B176" s="107"/>
      <c r="C176" s="119" t="s">
        <v>48</v>
      </c>
      <c r="D176" s="242"/>
      <c r="E176" s="239">
        <v>4500</v>
      </c>
      <c r="F176" s="240">
        <f>ROUND(E176*F$12,2)</f>
        <v>4950</v>
      </c>
      <c r="G176" s="240">
        <f>F176*1.1*1.1+0.5</f>
        <v>5990.0000000000009</v>
      </c>
      <c r="H176" s="240">
        <v>7402.79</v>
      </c>
      <c r="I176" s="240">
        <f>H176*$I$12</f>
        <v>8143.0690000000004</v>
      </c>
      <c r="J176" s="240">
        <v>8631.6531400000003</v>
      </c>
      <c r="K176" s="240">
        <f>ROUND('ПРОЕКТ с 01.02.2023'!K176*1.09,2)</f>
        <v>0</v>
      </c>
      <c r="L176" s="241" t="s">
        <v>169</v>
      </c>
      <c r="M176" s="83">
        <v>30</v>
      </c>
      <c r="N176" s="76"/>
      <c r="O176" s="78">
        <f t="shared" si="101"/>
        <v>0</v>
      </c>
      <c r="P176" s="78">
        <f>ROUND(K176*1.14,2)</f>
        <v>0</v>
      </c>
      <c r="Q176" s="78">
        <f t="shared" si="103"/>
        <v>0</v>
      </c>
      <c r="R176" s="79">
        <f t="shared" si="104"/>
        <v>0</v>
      </c>
      <c r="S176" s="78">
        <f t="shared" si="105"/>
        <v>0</v>
      </c>
      <c r="T176" s="78">
        <v>0.89</v>
      </c>
      <c r="U176" s="78">
        <f t="shared" si="106"/>
        <v>0</v>
      </c>
      <c r="V176" s="79">
        <f t="shared" si="118"/>
        <v>0</v>
      </c>
      <c r="W176" s="78">
        <f t="shared" si="119"/>
        <v>0</v>
      </c>
      <c r="X176" s="80"/>
      <c r="Y176" s="78"/>
      <c r="Z176" s="80"/>
      <c r="AA176" s="80"/>
      <c r="AB176" s="80"/>
      <c r="AC176" s="80"/>
      <c r="AE176" s="78"/>
      <c r="AG176" s="78"/>
    </row>
    <row r="177" spans="1:33" x14ac:dyDescent="0.2">
      <c r="A177" s="107"/>
      <c r="B177" s="181"/>
      <c r="C177" s="181" t="s">
        <v>140</v>
      </c>
      <c r="D177" s="111">
        <f>D166+D167+D168+D169+D170+D171+D172+D173+D174+D175+D176</f>
        <v>7</v>
      </c>
      <c r="E177" s="95">
        <f t="shared" ref="E177:I177" si="129">SUM(E166:E172)</f>
        <v>37500</v>
      </c>
      <c r="F177" s="95">
        <f t="shared" si="129"/>
        <v>41250</v>
      </c>
      <c r="G177" s="95">
        <f t="shared" si="129"/>
        <v>49914</v>
      </c>
      <c r="H177" s="95">
        <f t="shared" si="129"/>
        <v>62512.389999999992</v>
      </c>
      <c r="I177" s="95">
        <f t="shared" si="129"/>
        <v>68763.629000000001</v>
      </c>
      <c r="J177" s="95">
        <v>63298.735280000001</v>
      </c>
      <c r="K177" s="90">
        <f>K166+K167+K168+K169+K170+K171+K172+K173+K174+K175+K176</f>
        <v>135047.94</v>
      </c>
      <c r="L177" s="90"/>
      <c r="M177" s="90"/>
      <c r="N177" s="90">
        <f t="shared" ref="N177" si="130">SUM(N166:N172)</f>
        <v>0</v>
      </c>
      <c r="O177" s="90">
        <f>SUM(O166:O176)</f>
        <v>36462.929999999993</v>
      </c>
      <c r="P177" s="90">
        <f t="shared" ref="P177:W177" si="131">SUM(P166:P176)</f>
        <v>153954.65</v>
      </c>
      <c r="Q177" s="90">
        <f t="shared" si="131"/>
        <v>133247.30309999999</v>
      </c>
      <c r="R177" s="90">
        <f t="shared" si="131"/>
        <v>458712.82309999998</v>
      </c>
      <c r="S177" s="90">
        <f t="shared" si="131"/>
        <v>33761.99</v>
      </c>
      <c r="T177" s="90">
        <f t="shared" si="131"/>
        <v>10.490000000000002</v>
      </c>
      <c r="U177" s="90">
        <f t="shared" si="131"/>
        <v>492474.81309999997</v>
      </c>
      <c r="V177" s="90">
        <f t="shared" si="131"/>
        <v>399080.156097</v>
      </c>
      <c r="W177" s="90">
        <f t="shared" si="131"/>
        <v>428453.08739700005</v>
      </c>
      <c r="X177" s="80"/>
      <c r="Y177" s="90"/>
      <c r="Z177" s="80"/>
      <c r="AA177" s="80">
        <f t="shared" si="121"/>
        <v>0</v>
      </c>
      <c r="AB177" s="80">
        <f t="shared" si="122"/>
        <v>0</v>
      </c>
      <c r="AC177" s="91"/>
      <c r="AD177">
        <v>0.1</v>
      </c>
      <c r="AE177" s="90">
        <f t="shared" si="123"/>
        <v>13504.794000000002</v>
      </c>
      <c r="AF177">
        <v>0.1</v>
      </c>
      <c r="AG177" s="90">
        <f t="shared" si="107"/>
        <v>13504.794000000002</v>
      </c>
    </row>
    <row r="178" spans="1:33" ht="22.5" customHeight="1" x14ac:dyDescent="0.2">
      <c r="A178" s="71" t="s">
        <v>164</v>
      </c>
      <c r="B178" s="93"/>
      <c r="C178" s="93"/>
      <c r="D178" s="93"/>
      <c r="E178" s="93"/>
      <c r="F178" s="93"/>
      <c r="G178" s="93"/>
      <c r="H178" s="93"/>
      <c r="I178" s="93"/>
      <c r="J178" s="93"/>
      <c r="K178" s="232"/>
      <c r="L178" s="93"/>
      <c r="M178" s="93"/>
      <c r="N178" s="93"/>
      <c r="O178" s="93"/>
      <c r="P178" s="130">
        <v>1.1399999999999999</v>
      </c>
      <c r="Q178" s="93"/>
      <c r="R178" s="184"/>
      <c r="S178" s="93"/>
      <c r="T178" s="130"/>
      <c r="U178" s="93"/>
      <c r="V178" s="184"/>
      <c r="W178" s="93"/>
      <c r="X178" s="80"/>
      <c r="Y178" s="93"/>
      <c r="Z178" s="80"/>
      <c r="AA178" s="80">
        <f t="shared" si="121"/>
        <v>0</v>
      </c>
      <c r="AB178" s="80">
        <f t="shared" si="122"/>
        <v>0</v>
      </c>
      <c r="AC178" s="185"/>
      <c r="AD178">
        <v>0.1</v>
      </c>
      <c r="AE178" s="93"/>
      <c r="AG178" s="93"/>
    </row>
    <row r="179" spans="1:33" x14ac:dyDescent="0.2">
      <c r="A179" s="102"/>
      <c r="B179" s="87"/>
      <c r="C179" s="87" t="s">
        <v>133</v>
      </c>
      <c r="D179" s="72"/>
      <c r="E179" s="73">
        <v>7500</v>
      </c>
      <c r="F179" s="74">
        <f>ROUND(E179*F$12,2)</f>
        <v>8250</v>
      </c>
      <c r="G179" s="74">
        <f>F179*1.1*1.1+0.5</f>
        <v>9983</v>
      </c>
      <c r="H179" s="74">
        <v>12337.98</v>
      </c>
      <c r="I179" s="74">
        <f>H179*$I$12</f>
        <v>13571.778</v>
      </c>
      <c r="J179" s="74">
        <v>14386.084680000002</v>
      </c>
      <c r="K179" s="74"/>
      <c r="L179" s="75" t="s">
        <v>165</v>
      </c>
      <c r="M179" s="83">
        <v>30</v>
      </c>
      <c r="N179" s="83"/>
      <c r="O179" s="78">
        <f t="shared" si="101"/>
        <v>0</v>
      </c>
      <c r="P179" s="78">
        <f t="shared" si="102"/>
        <v>0</v>
      </c>
      <c r="Q179" s="78">
        <f t="shared" si="103"/>
        <v>0</v>
      </c>
      <c r="R179" s="79">
        <f t="shared" si="104"/>
        <v>0</v>
      </c>
      <c r="S179" s="78">
        <f t="shared" si="105"/>
        <v>0</v>
      </c>
      <c r="T179" s="78">
        <v>1.44</v>
      </c>
      <c r="U179" s="78">
        <f t="shared" si="106"/>
        <v>0</v>
      </c>
      <c r="V179" s="79">
        <f t="shared" si="118"/>
        <v>0</v>
      </c>
      <c r="W179" s="78">
        <f t="shared" si="119"/>
        <v>0</v>
      </c>
      <c r="X179" s="80">
        <v>3</v>
      </c>
      <c r="Y179" s="78"/>
      <c r="Z179" s="80">
        <f t="shared" si="120"/>
        <v>3</v>
      </c>
      <c r="AA179" s="80">
        <f t="shared" si="121"/>
        <v>0</v>
      </c>
      <c r="AB179" s="80">
        <f t="shared" si="122"/>
        <v>0</v>
      </c>
      <c r="AC179" s="80"/>
      <c r="AD179">
        <v>0.1</v>
      </c>
      <c r="AE179" s="78">
        <f t="shared" si="123"/>
        <v>0</v>
      </c>
      <c r="AF179">
        <v>0.1</v>
      </c>
      <c r="AG179" s="78">
        <f t="shared" si="107"/>
        <v>0</v>
      </c>
    </row>
    <row r="180" spans="1:33" ht="19.5" customHeight="1" x14ac:dyDescent="0.2">
      <c r="A180" s="102"/>
      <c r="B180" s="87"/>
      <c r="C180" s="131" t="s">
        <v>90</v>
      </c>
      <c r="D180" s="72"/>
      <c r="E180" s="73">
        <v>6000</v>
      </c>
      <c r="F180" s="74">
        <f>ROUND(E180*F$12,2)</f>
        <v>6600</v>
      </c>
      <c r="G180" s="74">
        <f>F180*1.1*1.1</f>
        <v>7986.0000000000018</v>
      </c>
      <c r="H180" s="74">
        <v>9870.3799999999992</v>
      </c>
      <c r="I180" s="74">
        <f>H180*$I$12</f>
        <v>10857.418</v>
      </c>
      <c r="J180" s="74">
        <v>11508.863080000001</v>
      </c>
      <c r="K180" s="74"/>
      <c r="L180" s="105" t="s">
        <v>166</v>
      </c>
      <c r="M180" s="83">
        <v>30</v>
      </c>
      <c r="N180" s="83"/>
      <c r="O180" s="78">
        <f t="shared" si="101"/>
        <v>0</v>
      </c>
      <c r="P180" s="78">
        <f t="shared" si="102"/>
        <v>0</v>
      </c>
      <c r="Q180" s="78">
        <f t="shared" si="103"/>
        <v>0</v>
      </c>
      <c r="R180" s="79">
        <f t="shared" si="104"/>
        <v>0</v>
      </c>
      <c r="S180" s="78">
        <f t="shared" si="105"/>
        <v>0</v>
      </c>
      <c r="T180" s="78">
        <v>0.99</v>
      </c>
      <c r="U180" s="78">
        <f t="shared" si="106"/>
        <v>0</v>
      </c>
      <c r="V180" s="79">
        <f t="shared" si="118"/>
        <v>0</v>
      </c>
      <c r="W180" s="78">
        <f t="shared" si="119"/>
        <v>0</v>
      </c>
      <c r="X180" s="80">
        <v>3</v>
      </c>
      <c r="Y180" s="78">
        <v>3</v>
      </c>
      <c r="Z180" s="80">
        <f t="shared" si="120"/>
        <v>0</v>
      </c>
      <c r="AA180" s="80">
        <f t="shared" si="121"/>
        <v>0</v>
      </c>
      <c r="AB180" s="80">
        <f t="shared" si="122"/>
        <v>0</v>
      </c>
      <c r="AC180" s="80"/>
      <c r="AD180">
        <v>0.1</v>
      </c>
      <c r="AE180" s="78">
        <f t="shared" si="123"/>
        <v>0</v>
      </c>
      <c r="AF180">
        <v>0.1</v>
      </c>
      <c r="AG180" s="78">
        <f t="shared" si="107"/>
        <v>0</v>
      </c>
    </row>
    <row r="181" spans="1:33" ht="12" customHeight="1" x14ac:dyDescent="0.2">
      <c r="A181" s="102"/>
      <c r="B181" s="87"/>
      <c r="C181" s="107" t="s">
        <v>48</v>
      </c>
      <c r="D181" s="109"/>
      <c r="E181" s="73">
        <v>5000</v>
      </c>
      <c r="F181" s="74">
        <f>ROUND(E181*F$12,2)</f>
        <v>5500</v>
      </c>
      <c r="G181" s="74">
        <f>F181*1.1*1.1</f>
        <v>6655.0000000000018</v>
      </c>
      <c r="H181" s="74">
        <v>8225.31</v>
      </c>
      <c r="I181" s="74">
        <f>H181*$I$12</f>
        <v>9047.8410000000003</v>
      </c>
      <c r="J181" s="74">
        <v>9590.7114600000004</v>
      </c>
      <c r="K181" s="74"/>
      <c r="L181" s="105" t="s">
        <v>167</v>
      </c>
      <c r="M181" s="83">
        <v>30</v>
      </c>
      <c r="N181" s="83"/>
      <c r="O181" s="78">
        <f t="shared" si="101"/>
        <v>0</v>
      </c>
      <c r="P181" s="78">
        <f t="shared" si="102"/>
        <v>0</v>
      </c>
      <c r="Q181" s="78">
        <f t="shared" si="103"/>
        <v>0</v>
      </c>
      <c r="R181" s="79">
        <f t="shared" si="104"/>
        <v>0</v>
      </c>
      <c r="S181" s="78">
        <f t="shared" si="105"/>
        <v>0</v>
      </c>
      <c r="T181" s="78">
        <v>0.89</v>
      </c>
      <c r="U181" s="78">
        <f t="shared" si="106"/>
        <v>0</v>
      </c>
      <c r="V181" s="79">
        <f t="shared" si="118"/>
        <v>0</v>
      </c>
      <c r="W181" s="78">
        <f t="shared" si="119"/>
        <v>0</v>
      </c>
      <c r="X181" s="80">
        <v>3</v>
      </c>
      <c r="Y181" s="78"/>
      <c r="Z181" s="80">
        <f t="shared" si="120"/>
        <v>3</v>
      </c>
      <c r="AA181" s="80">
        <f t="shared" si="121"/>
        <v>0</v>
      </c>
      <c r="AB181" s="80">
        <f t="shared" si="122"/>
        <v>0</v>
      </c>
      <c r="AC181" s="80"/>
      <c r="AD181">
        <v>0.1</v>
      </c>
      <c r="AE181" s="78">
        <f t="shared" si="123"/>
        <v>0</v>
      </c>
      <c r="AF181">
        <v>0.1</v>
      </c>
      <c r="AG181" s="78">
        <f t="shared" si="107"/>
        <v>0</v>
      </c>
    </row>
    <row r="182" spans="1:33" ht="30" customHeight="1" x14ac:dyDescent="0.2">
      <c r="A182" s="102"/>
      <c r="B182" s="107"/>
      <c r="C182" s="131" t="s">
        <v>136</v>
      </c>
      <c r="D182" s="109"/>
      <c r="E182" s="73">
        <v>5000</v>
      </c>
      <c r="F182" s="74">
        <f>ROUND(E182*F$12,2)</f>
        <v>5500</v>
      </c>
      <c r="G182" s="74">
        <f>F182*1.1*1.1</f>
        <v>6655.0000000000018</v>
      </c>
      <c r="H182" s="74">
        <v>8225.31</v>
      </c>
      <c r="I182" s="74">
        <f>H182*$I$12</f>
        <v>9047.8410000000003</v>
      </c>
      <c r="J182" s="74">
        <v>9590.7114600000004</v>
      </c>
      <c r="K182" s="74"/>
      <c r="L182" s="105" t="s">
        <v>168</v>
      </c>
      <c r="M182" s="83">
        <v>30</v>
      </c>
      <c r="N182" s="83"/>
      <c r="O182" s="78">
        <f t="shared" si="101"/>
        <v>0</v>
      </c>
      <c r="P182" s="78">
        <f t="shared" si="102"/>
        <v>0</v>
      </c>
      <c r="Q182" s="78">
        <f t="shared" si="103"/>
        <v>0</v>
      </c>
      <c r="R182" s="79">
        <f t="shared" si="104"/>
        <v>0</v>
      </c>
      <c r="S182" s="78">
        <f t="shared" si="105"/>
        <v>0</v>
      </c>
      <c r="T182" s="78">
        <v>0.99</v>
      </c>
      <c r="U182" s="78">
        <f t="shared" si="106"/>
        <v>0</v>
      </c>
      <c r="V182" s="79">
        <f t="shared" si="118"/>
        <v>0</v>
      </c>
      <c r="W182" s="78">
        <f t="shared" si="119"/>
        <v>0</v>
      </c>
      <c r="X182" s="80">
        <v>3</v>
      </c>
      <c r="Y182" s="78">
        <v>3</v>
      </c>
      <c r="Z182" s="80">
        <f t="shared" si="120"/>
        <v>0</v>
      </c>
      <c r="AA182" s="80">
        <f t="shared" si="121"/>
        <v>0</v>
      </c>
      <c r="AB182" s="80">
        <f t="shared" si="122"/>
        <v>0</v>
      </c>
      <c r="AC182" s="80"/>
      <c r="AD182">
        <v>0.1</v>
      </c>
      <c r="AE182" s="78">
        <f t="shared" si="123"/>
        <v>0</v>
      </c>
      <c r="AF182">
        <v>0.1</v>
      </c>
      <c r="AG182" s="78">
        <f t="shared" si="107"/>
        <v>0</v>
      </c>
    </row>
    <row r="183" spans="1:33" x14ac:dyDescent="0.2">
      <c r="A183" s="102"/>
      <c r="B183" s="107"/>
      <c r="C183" s="107" t="s">
        <v>138</v>
      </c>
      <c r="D183" s="109"/>
      <c r="E183" s="73">
        <v>4500</v>
      </c>
      <c r="F183" s="74">
        <f>ROUND(E183*F$12,2)</f>
        <v>4950</v>
      </c>
      <c r="G183" s="74">
        <f>F183*1.1*1.1+0.5</f>
        <v>5990.0000000000009</v>
      </c>
      <c r="H183" s="74">
        <v>7402.79</v>
      </c>
      <c r="I183" s="74">
        <f>H183*$I$12</f>
        <v>8143.0690000000004</v>
      </c>
      <c r="J183" s="74">
        <v>8631.6531400000003</v>
      </c>
      <c r="K183" s="74"/>
      <c r="L183" s="105" t="s">
        <v>169</v>
      </c>
      <c r="M183" s="76">
        <v>0</v>
      </c>
      <c r="N183" s="76"/>
      <c r="O183" s="78">
        <f t="shared" si="101"/>
        <v>0</v>
      </c>
      <c r="P183" s="78">
        <f t="shared" si="102"/>
        <v>0</v>
      </c>
      <c r="Q183" s="78">
        <f t="shared" si="103"/>
        <v>0</v>
      </c>
      <c r="R183" s="79">
        <f t="shared" si="104"/>
        <v>0</v>
      </c>
      <c r="S183" s="78">
        <f t="shared" si="105"/>
        <v>0</v>
      </c>
      <c r="T183" s="78">
        <v>0.54</v>
      </c>
      <c r="U183" s="78">
        <f t="shared" si="106"/>
        <v>0</v>
      </c>
      <c r="V183" s="79">
        <f t="shared" si="118"/>
        <v>0</v>
      </c>
      <c r="W183" s="78">
        <f t="shared" si="119"/>
        <v>0</v>
      </c>
      <c r="X183" s="80">
        <v>3</v>
      </c>
      <c r="Y183" s="78"/>
      <c r="Z183" s="80">
        <f t="shared" si="120"/>
        <v>3</v>
      </c>
      <c r="AA183" s="80">
        <f t="shared" si="121"/>
        <v>0</v>
      </c>
      <c r="AB183" s="80">
        <f t="shared" si="122"/>
        <v>0</v>
      </c>
      <c r="AC183" s="80"/>
      <c r="AD183">
        <v>0.1</v>
      </c>
      <c r="AE183" s="78">
        <f t="shared" si="123"/>
        <v>0</v>
      </c>
      <c r="AF183">
        <v>0.1</v>
      </c>
      <c r="AG183" s="78">
        <f t="shared" si="107"/>
        <v>0</v>
      </c>
    </row>
    <row r="184" spans="1:33" x14ac:dyDescent="0.2">
      <c r="A184" s="107"/>
      <c r="B184" s="181"/>
      <c r="C184" s="181" t="s">
        <v>140</v>
      </c>
      <c r="D184" s="111">
        <f t="shared" ref="D184:I184" si="132">SUM(D179:D183)</f>
        <v>0</v>
      </c>
      <c r="E184" s="95">
        <f t="shared" si="132"/>
        <v>28000</v>
      </c>
      <c r="F184" s="95">
        <f t="shared" si="132"/>
        <v>30800</v>
      </c>
      <c r="G184" s="95">
        <f t="shared" si="132"/>
        <v>37269</v>
      </c>
      <c r="H184" s="95">
        <f t="shared" si="132"/>
        <v>46061.77</v>
      </c>
      <c r="I184" s="95">
        <f t="shared" si="132"/>
        <v>50667.947</v>
      </c>
      <c r="J184" s="95">
        <v>53708.023820000002</v>
      </c>
      <c r="K184" s="90">
        <f>SUM(K179:K183)</f>
        <v>0</v>
      </c>
      <c r="L184" s="90"/>
      <c r="M184" s="90"/>
      <c r="N184" s="90">
        <f t="shared" ref="N184" si="133">SUM(N179:N183)</f>
        <v>0</v>
      </c>
      <c r="O184" s="90">
        <f>SUM(O179:O183)</f>
        <v>0</v>
      </c>
      <c r="P184" s="90">
        <f t="shared" ref="P184:W184" si="134">SUM(P179:P183)</f>
        <v>0</v>
      </c>
      <c r="Q184" s="90">
        <f t="shared" si="134"/>
        <v>0</v>
      </c>
      <c r="R184" s="90">
        <f t="shared" si="134"/>
        <v>0</v>
      </c>
      <c r="S184" s="90">
        <f t="shared" si="134"/>
        <v>0</v>
      </c>
      <c r="T184" s="90">
        <f t="shared" si="134"/>
        <v>4.8499999999999996</v>
      </c>
      <c r="U184" s="90">
        <f t="shared" si="134"/>
        <v>0</v>
      </c>
      <c r="V184" s="90">
        <f t="shared" si="134"/>
        <v>0</v>
      </c>
      <c r="W184" s="90">
        <f t="shared" si="134"/>
        <v>0</v>
      </c>
      <c r="X184" s="80"/>
      <c r="Y184" s="90"/>
      <c r="Z184" s="80"/>
      <c r="AA184" s="80">
        <f t="shared" si="121"/>
        <v>0</v>
      </c>
      <c r="AB184" s="80">
        <f t="shared" si="122"/>
        <v>0</v>
      </c>
      <c r="AC184" s="91"/>
      <c r="AD184">
        <v>0.1</v>
      </c>
      <c r="AE184" s="90">
        <f t="shared" si="123"/>
        <v>0</v>
      </c>
      <c r="AF184">
        <v>0.1</v>
      </c>
      <c r="AG184" s="90">
        <f t="shared" si="107"/>
        <v>0</v>
      </c>
    </row>
    <row r="185" spans="1:33" ht="31.5" customHeight="1" x14ac:dyDescent="0.2">
      <c r="A185" s="71" t="s">
        <v>170</v>
      </c>
      <c r="B185" s="97"/>
      <c r="C185" s="97"/>
      <c r="D185" s="94"/>
      <c r="E185" s="95"/>
      <c r="F185" s="95"/>
      <c r="G185" s="95"/>
      <c r="H185" s="95"/>
      <c r="I185" s="95"/>
      <c r="J185" s="95"/>
      <c r="K185" s="90"/>
      <c r="L185" s="96"/>
      <c r="M185" s="96"/>
      <c r="N185" s="96"/>
      <c r="O185" s="96"/>
      <c r="P185" s="130">
        <v>1.1399999999999999</v>
      </c>
      <c r="Q185" s="96"/>
      <c r="R185" s="186"/>
      <c r="S185" s="96"/>
      <c r="T185" s="130"/>
      <c r="U185" s="96"/>
      <c r="V185" s="186"/>
      <c r="W185" s="96"/>
      <c r="X185" s="80"/>
      <c r="Y185" s="96"/>
      <c r="Z185" s="80"/>
      <c r="AA185" s="80">
        <f t="shared" si="121"/>
        <v>0</v>
      </c>
      <c r="AB185" s="80">
        <f t="shared" si="122"/>
        <v>0</v>
      </c>
      <c r="AC185" s="144"/>
      <c r="AD185">
        <v>0.1</v>
      </c>
      <c r="AE185" s="96"/>
      <c r="AG185" s="96"/>
    </row>
    <row r="186" spans="1:33" x14ac:dyDescent="0.2">
      <c r="A186" s="102"/>
      <c r="B186" s="87"/>
      <c r="C186" s="87" t="s">
        <v>133</v>
      </c>
      <c r="D186" s="72">
        <v>1</v>
      </c>
      <c r="E186" s="73">
        <v>7000</v>
      </c>
      <c r="F186" s="74">
        <f t="shared" ref="F186:F192" si="135">ROUND(E186*F$12,2)</f>
        <v>7700</v>
      </c>
      <c r="G186" s="74">
        <f>F186*1.1*1.1</f>
        <v>9317</v>
      </c>
      <c r="H186" s="74">
        <v>11515.44</v>
      </c>
      <c r="I186" s="74">
        <f t="shared" ref="I186:I192" si="136">H186*$I$12</f>
        <v>12666.984000000002</v>
      </c>
      <c r="J186" s="74">
        <v>13427.003040000003</v>
      </c>
      <c r="K186" s="74">
        <f>ROUND('ПРОЕКТ с 01.02.2023'!K186*1.09,2)</f>
        <v>22508</v>
      </c>
      <c r="L186" s="75" t="s">
        <v>171</v>
      </c>
      <c r="M186" s="76">
        <v>30</v>
      </c>
      <c r="N186" s="76"/>
      <c r="O186" s="78">
        <f t="shared" si="101"/>
        <v>6752.4</v>
      </c>
      <c r="P186" s="78">
        <f t="shared" si="102"/>
        <v>25659.119999999999</v>
      </c>
      <c r="Q186" s="78">
        <f t="shared" si="103"/>
        <v>32411.52</v>
      </c>
      <c r="R186" s="79">
        <f t="shared" si="104"/>
        <v>87331.040000000008</v>
      </c>
      <c r="S186" s="78">
        <f t="shared" si="105"/>
        <v>5627</v>
      </c>
      <c r="T186" s="78">
        <v>1.44</v>
      </c>
      <c r="U186" s="78">
        <f t="shared" si="106"/>
        <v>92958.040000000008</v>
      </c>
      <c r="V186" s="79">
        <f t="shared" si="118"/>
        <v>75978.00480000001</v>
      </c>
      <c r="W186" s="78">
        <f t="shared" si="119"/>
        <v>80873.4948</v>
      </c>
      <c r="X186" s="80">
        <v>3</v>
      </c>
      <c r="Y186" s="78">
        <v>3</v>
      </c>
      <c r="Z186" s="80">
        <f t="shared" si="120"/>
        <v>0</v>
      </c>
      <c r="AA186" s="80">
        <f t="shared" si="121"/>
        <v>0</v>
      </c>
      <c r="AB186" s="80">
        <f t="shared" si="122"/>
        <v>67524</v>
      </c>
      <c r="AC186" s="80"/>
      <c r="AD186">
        <v>0.1</v>
      </c>
      <c r="AE186" s="78">
        <f t="shared" si="123"/>
        <v>2250.8000000000002</v>
      </c>
      <c r="AF186">
        <v>0.1</v>
      </c>
      <c r="AG186" s="78">
        <f t="shared" si="107"/>
        <v>2250.8000000000002</v>
      </c>
    </row>
    <row r="187" spans="1:33" ht="20.25" hidden="1" customHeight="1" x14ac:dyDescent="0.2">
      <c r="A187" s="102"/>
      <c r="B187" s="122"/>
      <c r="C187" s="122"/>
      <c r="D187" s="72">
        <v>0</v>
      </c>
      <c r="E187" s="73">
        <v>5700</v>
      </c>
      <c r="F187" s="74">
        <f t="shared" si="135"/>
        <v>6270</v>
      </c>
      <c r="G187" s="74">
        <f>F187*1.1*1.1+0.3</f>
        <v>7587.0000000000018</v>
      </c>
      <c r="H187" s="74">
        <v>9376.86</v>
      </c>
      <c r="I187" s="74">
        <f t="shared" si="136"/>
        <v>10314.546000000002</v>
      </c>
      <c r="J187" s="74">
        <v>10933.418760000002</v>
      </c>
      <c r="K187" s="74">
        <f>ROUND('ПРОЕКТ с 01.02.2023'!K187*1.09,2)</f>
        <v>0</v>
      </c>
      <c r="L187" s="110"/>
      <c r="M187" s="76"/>
      <c r="N187" s="76"/>
      <c r="O187" s="78">
        <f t="shared" si="101"/>
        <v>0</v>
      </c>
      <c r="P187" s="78">
        <f t="shared" si="102"/>
        <v>0</v>
      </c>
      <c r="Q187" s="78">
        <f t="shared" si="103"/>
        <v>0</v>
      </c>
      <c r="R187" s="79">
        <f t="shared" si="104"/>
        <v>0</v>
      </c>
      <c r="S187" s="78">
        <f t="shared" si="105"/>
        <v>0</v>
      </c>
      <c r="T187" s="78">
        <v>0.99</v>
      </c>
      <c r="U187" s="78">
        <f t="shared" si="106"/>
        <v>0</v>
      </c>
      <c r="V187" s="79">
        <f t="shared" si="118"/>
        <v>0</v>
      </c>
      <c r="W187" s="78">
        <f t="shared" si="119"/>
        <v>0</v>
      </c>
      <c r="X187" s="80">
        <v>3</v>
      </c>
      <c r="Y187" s="78">
        <v>3</v>
      </c>
      <c r="Z187" s="80">
        <f t="shared" si="120"/>
        <v>0</v>
      </c>
      <c r="AA187" s="80">
        <f t="shared" si="121"/>
        <v>0</v>
      </c>
      <c r="AB187" s="80">
        <f t="shared" si="122"/>
        <v>0</v>
      </c>
      <c r="AC187" s="80"/>
      <c r="AD187">
        <v>0.1</v>
      </c>
      <c r="AE187" s="78">
        <f t="shared" si="123"/>
        <v>0</v>
      </c>
      <c r="AF187">
        <v>0.1</v>
      </c>
      <c r="AG187" s="78">
        <f t="shared" si="107"/>
        <v>0</v>
      </c>
    </row>
    <row r="188" spans="1:33" x14ac:dyDescent="0.2">
      <c r="A188" s="102"/>
      <c r="B188" s="107"/>
      <c r="C188" s="107" t="s">
        <v>48</v>
      </c>
      <c r="D188" s="109">
        <v>1</v>
      </c>
      <c r="E188" s="73">
        <v>5000</v>
      </c>
      <c r="F188" s="74">
        <f t="shared" si="135"/>
        <v>5500</v>
      </c>
      <c r="G188" s="74">
        <f>F188*1.1*1.1</f>
        <v>6655.0000000000018</v>
      </c>
      <c r="H188" s="74">
        <v>8225.31</v>
      </c>
      <c r="I188" s="74">
        <f t="shared" si="136"/>
        <v>9047.8410000000003</v>
      </c>
      <c r="J188" s="74">
        <v>9590.7114600000004</v>
      </c>
      <c r="K188" s="74">
        <f>ROUND('ПРОЕКТ с 01.02.2023'!K188*1.09,2)</f>
        <v>15005.31</v>
      </c>
      <c r="L188" s="75" t="s">
        <v>172</v>
      </c>
      <c r="M188" s="145">
        <v>30</v>
      </c>
      <c r="N188" s="145"/>
      <c r="O188" s="78">
        <f t="shared" si="101"/>
        <v>4501.59</v>
      </c>
      <c r="P188" s="78">
        <f t="shared" si="102"/>
        <v>17106.05</v>
      </c>
      <c r="Q188" s="78">
        <f t="shared" si="103"/>
        <v>13354.725899999999</v>
      </c>
      <c r="R188" s="79">
        <f t="shared" si="104"/>
        <v>49967.675899999995</v>
      </c>
      <c r="S188" s="78">
        <f t="shared" si="105"/>
        <v>3751.33</v>
      </c>
      <c r="T188" s="78">
        <v>0.89</v>
      </c>
      <c r="U188" s="78">
        <f t="shared" si="106"/>
        <v>53719.005899999996</v>
      </c>
      <c r="V188" s="79">
        <f t="shared" si="118"/>
        <v>43471.878032999994</v>
      </c>
      <c r="W188" s="78">
        <f t="shared" si="119"/>
        <v>46735.535132999998</v>
      </c>
      <c r="X188" s="80">
        <v>3</v>
      </c>
      <c r="Y188" s="78">
        <v>3</v>
      </c>
      <c r="Z188" s="80">
        <f t="shared" si="120"/>
        <v>0</v>
      </c>
      <c r="AA188" s="80">
        <f t="shared" si="121"/>
        <v>0</v>
      </c>
      <c r="AB188" s="80">
        <f t="shared" si="122"/>
        <v>45015.93</v>
      </c>
      <c r="AC188" s="80"/>
      <c r="AD188">
        <v>0.1</v>
      </c>
      <c r="AE188" s="78">
        <f t="shared" si="123"/>
        <v>1500.5309999999999</v>
      </c>
      <c r="AF188">
        <v>0.1</v>
      </c>
      <c r="AG188" s="78">
        <f t="shared" si="107"/>
        <v>1500.5309999999999</v>
      </c>
    </row>
    <row r="189" spans="1:33" x14ac:dyDescent="0.2">
      <c r="A189" s="102"/>
      <c r="B189" s="107"/>
      <c r="C189" s="107" t="s">
        <v>48</v>
      </c>
      <c r="D189" s="109">
        <v>1</v>
      </c>
      <c r="E189" s="73">
        <v>5000</v>
      </c>
      <c r="F189" s="74">
        <f t="shared" si="135"/>
        <v>5500</v>
      </c>
      <c r="G189" s="74">
        <f>F189*1.1*1.1</f>
        <v>6655.0000000000018</v>
      </c>
      <c r="H189" s="74">
        <v>8225.31</v>
      </c>
      <c r="I189" s="74">
        <f t="shared" si="136"/>
        <v>9047.8410000000003</v>
      </c>
      <c r="J189" s="74">
        <v>9590.7114600000004</v>
      </c>
      <c r="K189" s="74">
        <f>ROUND('ПРОЕКТ с 01.02.2023'!K189*1.09,2)</f>
        <v>15005.31</v>
      </c>
      <c r="L189" s="187" t="s">
        <v>173</v>
      </c>
      <c r="M189" s="83">
        <v>15</v>
      </c>
      <c r="N189" s="76"/>
      <c r="O189" s="78">
        <f t="shared" si="101"/>
        <v>2250.8000000000002</v>
      </c>
      <c r="P189" s="78">
        <f t="shared" si="102"/>
        <v>17106.05</v>
      </c>
      <c r="Q189" s="78">
        <f t="shared" si="103"/>
        <v>13354.725899999999</v>
      </c>
      <c r="R189" s="79">
        <f t="shared" si="104"/>
        <v>47716.885900000001</v>
      </c>
      <c r="S189" s="78">
        <f t="shared" si="105"/>
        <v>3751.33</v>
      </c>
      <c r="T189" s="78">
        <v>0.89</v>
      </c>
      <c r="U189" s="78">
        <f t="shared" si="106"/>
        <v>51468.215900000003</v>
      </c>
      <c r="V189" s="79">
        <f t="shared" si="118"/>
        <v>41513.690733000003</v>
      </c>
      <c r="W189" s="78">
        <f t="shared" si="119"/>
        <v>44777.347833</v>
      </c>
      <c r="X189" s="80">
        <v>3</v>
      </c>
      <c r="Y189" s="78">
        <v>3</v>
      </c>
      <c r="Z189" s="80">
        <f t="shared" si="120"/>
        <v>0</v>
      </c>
      <c r="AA189" s="80">
        <f t="shared" si="121"/>
        <v>0</v>
      </c>
      <c r="AB189" s="80">
        <f t="shared" si="122"/>
        <v>45015.93</v>
      </c>
      <c r="AC189" s="80"/>
      <c r="AD189">
        <v>0.1</v>
      </c>
      <c r="AE189" s="78">
        <f t="shared" si="123"/>
        <v>1500.5309999999999</v>
      </c>
      <c r="AF189">
        <v>0.1</v>
      </c>
      <c r="AG189" s="78">
        <f t="shared" si="107"/>
        <v>1500.5309999999999</v>
      </c>
    </row>
    <row r="190" spans="1:33" ht="26.25" customHeight="1" x14ac:dyDescent="0.2">
      <c r="A190" s="102"/>
      <c r="B190" s="107"/>
      <c r="C190" s="131" t="s">
        <v>136</v>
      </c>
      <c r="D190" s="109">
        <v>1</v>
      </c>
      <c r="E190" s="73">
        <v>5000</v>
      </c>
      <c r="F190" s="74">
        <f t="shared" si="135"/>
        <v>5500</v>
      </c>
      <c r="G190" s="74">
        <f>F190*1.1*1.1</f>
        <v>6655.0000000000018</v>
      </c>
      <c r="H190" s="74">
        <v>8225.31</v>
      </c>
      <c r="I190" s="74">
        <f t="shared" si="136"/>
        <v>9047.8410000000003</v>
      </c>
      <c r="J190" s="74">
        <v>9590.7114600000004</v>
      </c>
      <c r="K190" s="74">
        <f>ROUND('ПРОЕКТ с 01.02.2023'!K190*1.09,2)</f>
        <v>18006.400000000001</v>
      </c>
      <c r="L190" s="105" t="s">
        <v>231</v>
      </c>
      <c r="M190" s="83">
        <v>30</v>
      </c>
      <c r="N190" s="83"/>
      <c r="O190" s="78">
        <f t="shared" si="101"/>
        <v>5401.92</v>
      </c>
      <c r="P190" s="78">
        <f t="shared" si="102"/>
        <v>20527.3</v>
      </c>
      <c r="Q190" s="78">
        <f t="shared" si="103"/>
        <v>17826.336000000003</v>
      </c>
      <c r="R190" s="79">
        <f t="shared" si="104"/>
        <v>61761.955999999998</v>
      </c>
      <c r="S190" s="78">
        <f>ROUND(K190*S$12,2)</f>
        <v>4501.6000000000004</v>
      </c>
      <c r="T190" s="78">
        <v>0.99</v>
      </c>
      <c r="U190" s="78">
        <f>K190+O190+P190+Q190+S190</f>
        <v>66263.555999999997</v>
      </c>
      <c r="V190" s="79">
        <f t="shared" si="118"/>
        <v>53732.901720000002</v>
      </c>
      <c r="W190" s="78">
        <f t="shared" si="119"/>
        <v>57649.293719999994</v>
      </c>
      <c r="X190" s="80">
        <v>3</v>
      </c>
      <c r="Y190" s="78">
        <v>3</v>
      </c>
      <c r="Z190" s="80">
        <f t="shared" si="120"/>
        <v>0</v>
      </c>
      <c r="AA190" s="80">
        <f t="shared" si="121"/>
        <v>0</v>
      </c>
      <c r="AB190" s="80">
        <f t="shared" si="122"/>
        <v>54019.200000000004</v>
      </c>
      <c r="AC190" s="80"/>
      <c r="AD190">
        <v>0.1</v>
      </c>
      <c r="AE190" s="78">
        <f t="shared" si="123"/>
        <v>1800.6400000000003</v>
      </c>
      <c r="AF190">
        <v>0.1</v>
      </c>
      <c r="AG190" s="78">
        <f t="shared" si="107"/>
        <v>1800.6400000000003</v>
      </c>
    </row>
    <row r="191" spans="1:33" ht="24" customHeight="1" x14ac:dyDescent="0.2">
      <c r="A191" s="102"/>
      <c r="B191" s="107"/>
      <c r="C191" s="131" t="s">
        <v>136</v>
      </c>
      <c r="D191" s="109">
        <v>1</v>
      </c>
      <c r="E191" s="73">
        <v>5000</v>
      </c>
      <c r="F191" s="74">
        <f>ROUND(E191*F$12,2)</f>
        <v>5500</v>
      </c>
      <c r="G191" s="74">
        <f>F191*1.1*1.1</f>
        <v>6655.0000000000018</v>
      </c>
      <c r="H191" s="74">
        <v>8225.31</v>
      </c>
      <c r="I191" s="74">
        <f>H191*$I$12</f>
        <v>9047.8410000000003</v>
      </c>
      <c r="J191" s="74">
        <v>9590.7114600000004</v>
      </c>
      <c r="K191" s="74">
        <f>ROUND('ПРОЕКТ с 01.02.2023'!K191*1.09,2)</f>
        <v>18006.400000000001</v>
      </c>
      <c r="L191" s="75" t="s">
        <v>174</v>
      </c>
      <c r="M191" s="83">
        <v>30</v>
      </c>
      <c r="N191" s="76"/>
      <c r="O191" s="78">
        <f t="shared" si="101"/>
        <v>5401.92</v>
      </c>
      <c r="P191" s="78">
        <f t="shared" si="102"/>
        <v>20527.3</v>
      </c>
      <c r="Q191" s="78">
        <f t="shared" si="103"/>
        <v>17826.336000000003</v>
      </c>
      <c r="R191" s="79">
        <f t="shared" si="104"/>
        <v>61761.955999999998</v>
      </c>
      <c r="S191" s="78">
        <f t="shared" si="105"/>
        <v>4501.6000000000004</v>
      </c>
      <c r="T191" s="78">
        <v>0.99</v>
      </c>
      <c r="U191" s="78">
        <f t="shared" si="106"/>
        <v>66263.555999999997</v>
      </c>
      <c r="V191" s="79">
        <f t="shared" si="118"/>
        <v>53732.901720000002</v>
      </c>
      <c r="W191" s="78">
        <f t="shared" si="119"/>
        <v>57649.293719999994</v>
      </c>
      <c r="X191" s="80">
        <v>3</v>
      </c>
      <c r="Y191" s="78"/>
      <c r="Z191" s="80">
        <f t="shared" si="120"/>
        <v>3</v>
      </c>
      <c r="AA191" s="80">
        <f t="shared" si="121"/>
        <v>54019.200000000004</v>
      </c>
      <c r="AB191" s="80">
        <f t="shared" si="122"/>
        <v>0</v>
      </c>
      <c r="AC191" s="80"/>
      <c r="AD191">
        <v>0.1</v>
      </c>
      <c r="AE191" s="78">
        <f t="shared" si="123"/>
        <v>1800.6400000000003</v>
      </c>
      <c r="AF191">
        <v>0.1</v>
      </c>
      <c r="AG191" s="78">
        <f t="shared" si="107"/>
        <v>1800.6400000000003</v>
      </c>
    </row>
    <row r="192" spans="1:33" x14ac:dyDescent="0.2">
      <c r="A192" s="102"/>
      <c r="B192" s="107"/>
      <c r="C192" s="107" t="s">
        <v>138</v>
      </c>
      <c r="D192" s="109">
        <v>1</v>
      </c>
      <c r="E192" s="73">
        <v>4500</v>
      </c>
      <c r="F192" s="74">
        <f t="shared" si="135"/>
        <v>4950</v>
      </c>
      <c r="G192" s="74">
        <f>F192*1.1*1.1+0.5</f>
        <v>5990.0000000000009</v>
      </c>
      <c r="H192" s="74">
        <v>7402.79</v>
      </c>
      <c r="I192" s="74">
        <f t="shared" si="136"/>
        <v>8143.0690000000004</v>
      </c>
      <c r="J192" s="74">
        <v>8631.6531400000003</v>
      </c>
      <c r="K192" s="74">
        <f>ROUND('ПРОЕКТ с 01.02.2023'!K192*1.09,2)</f>
        <v>13504.81</v>
      </c>
      <c r="L192" s="105" t="s">
        <v>206</v>
      </c>
      <c r="M192" s="76">
        <v>0</v>
      </c>
      <c r="N192" s="76"/>
      <c r="O192" s="78">
        <f t="shared" si="101"/>
        <v>0</v>
      </c>
      <c r="P192" s="78">
        <f t="shared" si="102"/>
        <v>15395.48</v>
      </c>
      <c r="Q192" s="78">
        <f t="shared" si="103"/>
        <v>7292.5974000000006</v>
      </c>
      <c r="R192" s="79">
        <f t="shared" si="104"/>
        <v>36192.8874</v>
      </c>
      <c r="S192" s="78">
        <f t="shared" si="105"/>
        <v>3376.2</v>
      </c>
      <c r="T192" s="78">
        <v>0.54</v>
      </c>
      <c r="U192" s="78">
        <f t="shared" si="106"/>
        <v>39569.087399999997</v>
      </c>
      <c r="V192" s="79">
        <f t="shared" si="118"/>
        <v>31487.812038</v>
      </c>
      <c r="W192" s="78">
        <f t="shared" si="119"/>
        <v>34425.106037999998</v>
      </c>
      <c r="X192" s="80">
        <v>3</v>
      </c>
      <c r="Y192" s="78">
        <v>3</v>
      </c>
      <c r="Z192" s="80">
        <f t="shared" si="120"/>
        <v>0</v>
      </c>
      <c r="AA192" s="80">
        <f t="shared" si="121"/>
        <v>0</v>
      </c>
      <c r="AB192" s="80">
        <f t="shared" si="122"/>
        <v>40514.43</v>
      </c>
      <c r="AC192" s="80"/>
      <c r="AD192">
        <v>0.1</v>
      </c>
      <c r="AE192" s="78">
        <f t="shared" si="123"/>
        <v>1350.481</v>
      </c>
      <c r="AF192">
        <v>0.1</v>
      </c>
      <c r="AG192" s="78">
        <f t="shared" si="107"/>
        <v>1350.481</v>
      </c>
    </row>
    <row r="193" spans="1:33" x14ac:dyDescent="0.2">
      <c r="A193" s="107"/>
      <c r="B193" s="181"/>
      <c r="C193" s="181" t="s">
        <v>140</v>
      </c>
      <c r="D193" s="111">
        <f>SUM(D186:D192)</f>
        <v>6</v>
      </c>
      <c r="E193" s="95">
        <f t="shared" ref="E193:I193" si="137">SUM(E186:E192)</f>
        <v>37200</v>
      </c>
      <c r="F193" s="95">
        <f t="shared" si="137"/>
        <v>40920</v>
      </c>
      <c r="G193" s="95">
        <f t="shared" si="137"/>
        <v>49514</v>
      </c>
      <c r="H193" s="95">
        <f t="shared" si="137"/>
        <v>61196.329999999994</v>
      </c>
      <c r="I193" s="95">
        <f t="shared" si="137"/>
        <v>67315.963000000003</v>
      </c>
      <c r="J193" s="95">
        <v>61764.209320000016</v>
      </c>
      <c r="K193" s="90">
        <f>SUM(K186:K192)</f>
        <v>102036.22999999998</v>
      </c>
      <c r="L193" s="90"/>
      <c r="M193" s="90"/>
      <c r="N193" s="90">
        <f t="shared" ref="N193" si="138">SUM(N186:N192)</f>
        <v>0</v>
      </c>
      <c r="O193" s="90">
        <f>SUM(O186:O192)</f>
        <v>24308.629999999997</v>
      </c>
      <c r="P193" s="90">
        <f t="shared" ref="P193:W193" si="139">SUM(P186:P192)</f>
        <v>116321.3</v>
      </c>
      <c r="Q193" s="90">
        <f t="shared" si="139"/>
        <v>102066.24120000002</v>
      </c>
      <c r="R193" s="90">
        <f t="shared" si="139"/>
        <v>344732.40120000002</v>
      </c>
      <c r="S193" s="90">
        <f t="shared" si="139"/>
        <v>25509.06</v>
      </c>
      <c r="T193" s="90">
        <f t="shared" si="139"/>
        <v>6.73</v>
      </c>
      <c r="U193" s="90">
        <f t="shared" si="139"/>
        <v>370241.46120000002</v>
      </c>
      <c r="V193" s="90">
        <f t="shared" si="139"/>
        <v>299917.189044</v>
      </c>
      <c r="W193" s="90">
        <f t="shared" si="139"/>
        <v>322110.07124399999</v>
      </c>
      <c r="X193" s="80"/>
      <c r="Y193" s="90"/>
      <c r="Z193" s="80"/>
      <c r="AA193" s="90">
        <f>SUM(AA13:AA192)</f>
        <v>1825847.7099999995</v>
      </c>
      <c r="AB193" s="90">
        <f>SUM(AB13:AB192)</f>
        <v>5762643.9999999953</v>
      </c>
      <c r="AC193" s="90"/>
      <c r="AD193" s="90"/>
      <c r="AE193" s="90">
        <f>SUM(AE186:AE192)</f>
        <v>10203.623</v>
      </c>
      <c r="AF193" s="90"/>
      <c r="AG193" s="90">
        <f>SUM(AG186:AG192)</f>
        <v>10203.623</v>
      </c>
    </row>
    <row r="194" spans="1:33" x14ac:dyDescent="0.2">
      <c r="A194" s="188"/>
      <c r="B194" s="188"/>
      <c r="C194" s="188" t="s">
        <v>175</v>
      </c>
      <c r="D194" s="189">
        <f>D147+D155+D164+D177+D184+D193</f>
        <v>31</v>
      </c>
      <c r="E194" s="189">
        <f t="shared" ref="E194:J194" si="140">E147+E155+E164+E177+E184+E193</f>
        <v>203700</v>
      </c>
      <c r="F194" s="189">
        <f t="shared" si="140"/>
        <v>224070</v>
      </c>
      <c r="G194" s="189">
        <f t="shared" si="140"/>
        <v>271131</v>
      </c>
      <c r="H194" s="189">
        <f t="shared" si="140"/>
        <v>335921.82999999996</v>
      </c>
      <c r="I194" s="189">
        <f t="shared" si="140"/>
        <v>369514.01299999998</v>
      </c>
      <c r="J194" s="189">
        <f t="shared" si="140"/>
        <v>314959.16210000002</v>
      </c>
      <c r="K194" s="90">
        <f>K147+K155+K164+K177+K184+K193</f>
        <v>549195.04</v>
      </c>
      <c r="L194" s="90"/>
      <c r="M194" s="90"/>
      <c r="N194" s="90">
        <f t="shared" ref="N194:W194" si="141">N147+N155+N164+N177+N184+N193</f>
        <v>0</v>
      </c>
      <c r="O194" s="90">
        <f t="shared" si="141"/>
        <v>135047.91999999998</v>
      </c>
      <c r="P194" s="90">
        <f t="shared" si="141"/>
        <v>626082.35000000009</v>
      </c>
      <c r="Q194" s="90">
        <f t="shared" si="141"/>
        <v>550455.48810000008</v>
      </c>
      <c r="R194" s="90">
        <f t="shared" si="141"/>
        <v>1860780.7980999998</v>
      </c>
      <c r="S194" s="90">
        <f t="shared" si="141"/>
        <v>137298.76999999999</v>
      </c>
      <c r="T194" s="90">
        <f t="shared" si="141"/>
        <v>40.480000000000004</v>
      </c>
      <c r="U194" s="90">
        <f t="shared" si="141"/>
        <v>1998079.5681</v>
      </c>
      <c r="V194" s="90">
        <f t="shared" si="141"/>
        <v>1618879.2943469998</v>
      </c>
      <c r="W194" s="90">
        <f t="shared" si="141"/>
        <v>1738329.2242469999</v>
      </c>
      <c r="X194" s="80"/>
      <c r="Y194" s="90"/>
      <c r="Z194" s="80"/>
      <c r="AA194" s="90"/>
      <c r="AB194" s="90"/>
      <c r="AC194" s="90"/>
      <c r="AD194" s="90"/>
      <c r="AE194" s="90">
        <f>AE147+AE155+AE164+AE177+AE184+AE193</f>
        <v>54919.504000000008</v>
      </c>
      <c r="AF194" s="90"/>
      <c r="AG194" s="90">
        <f>AG147+AG155+AG164+AG177+AG184+AG193</f>
        <v>54919.504000000008</v>
      </c>
    </row>
    <row r="195" spans="1:33" ht="13.5" x14ac:dyDescent="0.25">
      <c r="A195" s="190"/>
      <c r="B195" s="190"/>
      <c r="C195" s="191" t="s">
        <v>176</v>
      </c>
      <c r="D195" s="192">
        <f>D194+D136</f>
        <v>123</v>
      </c>
      <c r="E195" s="193">
        <f t="shared" ref="E195:I195" si="142">E194+E136</f>
        <v>525900</v>
      </c>
      <c r="F195" s="193">
        <f t="shared" si="142"/>
        <v>579370</v>
      </c>
      <c r="G195" s="193">
        <f t="shared" si="142"/>
        <v>834571</v>
      </c>
      <c r="H195" s="193">
        <f t="shared" si="142"/>
        <v>1101205.1000000001</v>
      </c>
      <c r="I195" s="193">
        <f t="shared" si="142"/>
        <v>1211325.6100000001</v>
      </c>
      <c r="J195" s="193">
        <v>1355360.1140200002</v>
      </c>
      <c r="K195" s="194">
        <f>K194+K136</f>
        <v>2411055.2899999996</v>
      </c>
      <c r="L195" s="194"/>
      <c r="M195" s="194"/>
      <c r="N195" s="194">
        <f t="shared" ref="N195:W195" si="143">N194+N136</f>
        <v>0</v>
      </c>
      <c r="O195" s="194">
        <f t="shared" si="143"/>
        <v>604849.60000000009</v>
      </c>
      <c r="P195" s="194">
        <f t="shared" si="143"/>
        <v>2752654.49</v>
      </c>
      <c r="Q195" s="194">
        <f t="shared" si="143"/>
        <v>3294016.3586999997</v>
      </c>
      <c r="R195" s="194">
        <f t="shared" si="143"/>
        <v>8975965.0087000001</v>
      </c>
      <c r="S195" s="194">
        <f t="shared" si="143"/>
        <v>593010.46999999986</v>
      </c>
      <c r="T195" s="194">
        <f t="shared" si="143"/>
        <v>175.66000000000003</v>
      </c>
      <c r="U195" s="194">
        <f t="shared" si="143"/>
        <v>9564098.7487000022</v>
      </c>
      <c r="V195" s="194">
        <f t="shared" si="143"/>
        <v>7809089.557568999</v>
      </c>
      <c r="W195" s="194">
        <f t="shared" si="143"/>
        <v>8320765.9113689987</v>
      </c>
      <c r="X195" s="80"/>
      <c r="Y195" s="194"/>
      <c r="Z195" s="80"/>
      <c r="AA195" s="194"/>
      <c r="AB195" s="194"/>
      <c r="AC195" s="194"/>
      <c r="AD195" s="194"/>
      <c r="AE195" s="194">
        <f>AE194+AE136</f>
        <v>260612.44899999999</v>
      </c>
      <c r="AF195" s="194"/>
      <c r="AG195" s="194">
        <f>AG194+AG136</f>
        <v>446798.47399999993</v>
      </c>
    </row>
    <row r="196" spans="1:33" ht="13.5" x14ac:dyDescent="0.25">
      <c r="A196" s="190"/>
      <c r="B196" s="190"/>
      <c r="C196" s="195"/>
      <c r="D196" s="192"/>
      <c r="E196" s="196" t="e">
        <f>E194+#REF!</f>
        <v>#REF!</v>
      </c>
      <c r="F196" s="196"/>
      <c r="G196" s="196"/>
      <c r="H196" s="196"/>
      <c r="I196" s="196"/>
      <c r="J196" s="196"/>
      <c r="K196" s="196"/>
      <c r="L196" s="197"/>
      <c r="M196" s="198"/>
      <c r="N196" s="198" t="e">
        <f>N194+#REF!</f>
        <v>#REF!</v>
      </c>
      <c r="O196" s="196">
        <f>O195*12</f>
        <v>7258195.2000000011</v>
      </c>
      <c r="P196" s="196"/>
      <c r="Q196" s="196"/>
      <c r="R196" s="199"/>
      <c r="S196" s="196">
        <f>R195+S195</f>
        <v>9568975.4787000008</v>
      </c>
      <c r="T196" s="196"/>
      <c r="U196" s="196"/>
      <c r="V196" s="199"/>
      <c r="W196" s="196"/>
      <c r="X196" s="80"/>
      <c r="Y196" s="196"/>
      <c r="Z196" s="80"/>
      <c r="AA196" s="200"/>
      <c r="AB196" s="200"/>
      <c r="AC196" s="200"/>
      <c r="AE196" s="196"/>
      <c r="AG196" s="196"/>
    </row>
    <row r="197" spans="1:33" ht="13.5" x14ac:dyDescent="0.25">
      <c r="A197" s="201"/>
      <c r="B197" s="201"/>
      <c r="C197" s="202"/>
      <c r="D197" s="203"/>
      <c r="E197" s="204"/>
      <c r="F197" s="204"/>
      <c r="G197" s="204"/>
      <c r="H197" s="204"/>
      <c r="I197" s="204"/>
      <c r="J197" s="204"/>
      <c r="K197" s="204"/>
      <c r="L197" s="206"/>
      <c r="M197" s="205"/>
      <c r="N197" s="205"/>
      <c r="O197" s="204"/>
      <c r="P197" s="204"/>
      <c r="Q197" s="204"/>
      <c r="R197" s="204"/>
      <c r="S197" s="204"/>
      <c r="T197" s="204"/>
      <c r="U197" s="204"/>
      <c r="W197" s="204"/>
      <c r="X197" s="204"/>
      <c r="Y197" s="204"/>
      <c r="Z197" s="204"/>
      <c r="AA197" s="204"/>
      <c r="AB197" s="204"/>
      <c r="AC197" s="204"/>
      <c r="AE197" s="204"/>
      <c r="AG197" s="204"/>
    </row>
    <row r="198" spans="1:33" ht="13.5" x14ac:dyDescent="0.25">
      <c r="A198" s="201"/>
      <c r="B198" s="201"/>
      <c r="C198" s="202" t="s">
        <v>177</v>
      </c>
      <c r="D198" s="206">
        <f t="shared" ref="D198:K198" si="144">D117+D118+D119+D120+D146+D154+D163+D172+D183+D192</f>
        <v>9</v>
      </c>
      <c r="E198" s="206">
        <f t="shared" si="144"/>
        <v>45000</v>
      </c>
      <c r="F198" s="206">
        <f t="shared" si="144"/>
        <v>49500</v>
      </c>
      <c r="G198" s="206">
        <f t="shared" si="144"/>
        <v>59900.000000000007</v>
      </c>
      <c r="H198" s="206">
        <f t="shared" si="144"/>
        <v>74027.899999999994</v>
      </c>
      <c r="I198" s="206">
        <f t="shared" si="144"/>
        <v>81430.690000000017</v>
      </c>
      <c r="J198" s="206">
        <f t="shared" si="144"/>
        <v>86316.531399999993</v>
      </c>
      <c r="K198" s="206">
        <f t="shared" si="144"/>
        <v>121543.29</v>
      </c>
      <c r="L198" s="206"/>
      <c r="M198" s="206"/>
      <c r="N198" s="206">
        <f t="shared" ref="N198:S198" si="145">N117+N118+N119+N120+N146+N154+N163+N172+N183+N192</f>
        <v>0</v>
      </c>
      <c r="O198" s="206">
        <f t="shared" si="145"/>
        <v>0</v>
      </c>
      <c r="P198" s="206">
        <f t="shared" si="145"/>
        <v>152064.16</v>
      </c>
      <c r="Q198" s="206">
        <f t="shared" si="145"/>
        <v>114250.69259999999</v>
      </c>
      <c r="R198" s="206">
        <f t="shared" si="145"/>
        <v>387858.14260000002</v>
      </c>
      <c r="S198" s="206">
        <f t="shared" si="145"/>
        <v>30385.800000000003</v>
      </c>
      <c r="T198" s="206"/>
      <c r="U198" s="206">
        <f>U117+U118+U119+U120+U146+U154+U163+U172+U183+U192</f>
        <v>418243.94260000007</v>
      </c>
      <c r="V198" s="206">
        <f>V117+V118+V119+V120+V146+V154+V163+V172+V183+V192</f>
        <v>337436.58406199998</v>
      </c>
      <c r="W198" s="206">
        <f>W117+W118+W119+W120+W146+W154+W163+W172+W183+W192</f>
        <v>363872.23006199999</v>
      </c>
      <c r="X198" s="206"/>
      <c r="Y198" s="206"/>
      <c r="Z198" s="206"/>
      <c r="AA198" s="206"/>
      <c r="AB198" s="206"/>
      <c r="AC198" s="206"/>
      <c r="AE198" s="206"/>
      <c r="AG198" s="206"/>
    </row>
    <row r="199" spans="1:33" ht="13.5" x14ac:dyDescent="0.25">
      <c r="A199" s="201"/>
      <c r="B199" s="207"/>
      <c r="C199" s="202" t="s">
        <v>178</v>
      </c>
      <c r="D199" s="206">
        <f>D195-D198</f>
        <v>114</v>
      </c>
      <c r="E199" s="206">
        <f t="shared" ref="E199:J199" si="146">E195-E198</f>
        <v>480900</v>
      </c>
      <c r="F199" s="206">
        <f t="shared" si="146"/>
        <v>529870</v>
      </c>
      <c r="G199" s="206">
        <f t="shared" si="146"/>
        <v>774671</v>
      </c>
      <c r="H199" s="206">
        <f t="shared" si="146"/>
        <v>1027177.2000000001</v>
      </c>
      <c r="I199" s="206">
        <f t="shared" si="146"/>
        <v>1129894.9200000002</v>
      </c>
      <c r="J199" s="206">
        <f t="shared" si="146"/>
        <v>1269043.5826200002</v>
      </c>
      <c r="K199" s="206">
        <f>K195-K198</f>
        <v>2289511.9999999995</v>
      </c>
      <c r="L199" s="206"/>
      <c r="M199" s="206"/>
      <c r="N199" s="206">
        <f t="shared" ref="N199:W199" si="147">N195-N198</f>
        <v>0</v>
      </c>
      <c r="O199" s="206">
        <f t="shared" si="147"/>
        <v>604849.60000000009</v>
      </c>
      <c r="P199" s="206">
        <f t="shared" si="147"/>
        <v>2600590.33</v>
      </c>
      <c r="Q199" s="206">
        <f t="shared" si="147"/>
        <v>3179765.6660999996</v>
      </c>
      <c r="R199" s="206">
        <f t="shared" si="147"/>
        <v>8588106.8661000002</v>
      </c>
      <c r="S199" s="206">
        <f t="shared" si="147"/>
        <v>562624.66999999981</v>
      </c>
      <c r="T199" s="206"/>
      <c r="U199" s="206">
        <f t="shared" si="147"/>
        <v>9145854.8061000016</v>
      </c>
      <c r="V199" s="206">
        <f t="shared" si="147"/>
        <v>7471652.9735069992</v>
      </c>
      <c r="W199" s="206">
        <f t="shared" si="147"/>
        <v>7956893.6813069992</v>
      </c>
      <c r="X199" s="206"/>
      <c r="Y199" s="206"/>
      <c r="Z199" s="206"/>
      <c r="AA199" s="206"/>
      <c r="AB199" s="206"/>
      <c r="AC199" s="206"/>
      <c r="AE199" s="206"/>
      <c r="AF199" s="85"/>
      <c r="AG199" s="206"/>
    </row>
    <row r="200" spans="1:33" ht="13.5" x14ac:dyDescent="0.25">
      <c r="A200" s="201"/>
      <c r="B200" s="207"/>
      <c r="C200" s="202" t="s">
        <v>214</v>
      </c>
      <c r="D200" s="206">
        <f t="shared" ref="D200:J200" si="148">SUM(D198:D199)</f>
        <v>123</v>
      </c>
      <c r="E200" s="206">
        <f t="shared" si="148"/>
        <v>525900</v>
      </c>
      <c r="F200" s="206">
        <f t="shared" si="148"/>
        <v>579370</v>
      </c>
      <c r="G200" s="206">
        <f t="shared" si="148"/>
        <v>834571</v>
      </c>
      <c r="H200" s="206">
        <f t="shared" si="148"/>
        <v>1101205.1000000001</v>
      </c>
      <c r="I200" s="206">
        <f t="shared" si="148"/>
        <v>1211325.6100000001</v>
      </c>
      <c r="J200" s="206">
        <f t="shared" si="148"/>
        <v>1355360.1140200002</v>
      </c>
      <c r="K200" s="206">
        <f>SUM(K198:K199)</f>
        <v>2411055.2899999996</v>
      </c>
      <c r="L200" s="206">
        <f t="shared" ref="L200:W200" si="149">SUM(L198:L199)</f>
        <v>0</v>
      </c>
      <c r="M200" s="206">
        <f t="shared" si="149"/>
        <v>0</v>
      </c>
      <c r="N200" s="206">
        <f t="shared" si="149"/>
        <v>0</v>
      </c>
      <c r="O200" s="206">
        <f>SUM(O198:O199)</f>
        <v>604849.60000000009</v>
      </c>
      <c r="P200" s="206">
        <f>SUM(P198:P199)</f>
        <v>2752654.49</v>
      </c>
      <c r="Q200" s="206">
        <f t="shared" si="149"/>
        <v>3294016.3586999997</v>
      </c>
      <c r="R200" s="206">
        <f t="shared" si="149"/>
        <v>8975965.0087000001</v>
      </c>
      <c r="S200" s="206">
        <f t="shared" si="149"/>
        <v>593010.46999999986</v>
      </c>
      <c r="T200" s="206">
        <f t="shared" si="149"/>
        <v>0</v>
      </c>
      <c r="U200" s="206">
        <f t="shared" si="149"/>
        <v>9564098.7487000022</v>
      </c>
      <c r="V200" s="206">
        <f t="shared" si="149"/>
        <v>7809089.557568999</v>
      </c>
      <c r="W200" s="206">
        <f t="shared" si="149"/>
        <v>8320765.9113689996</v>
      </c>
      <c r="X200" s="208"/>
      <c r="Y200" s="208"/>
      <c r="Z200" s="208"/>
      <c r="AA200" s="208"/>
      <c r="AB200" s="208"/>
      <c r="AC200" s="208"/>
      <c r="AE200" s="208"/>
      <c r="AF200" s="209"/>
      <c r="AG200" s="208"/>
    </row>
    <row r="201" spans="1:33" ht="13.5" x14ac:dyDescent="0.25">
      <c r="C201" s="202"/>
      <c r="D201" s="206"/>
      <c r="K201" s="206"/>
      <c r="L201" s="206"/>
      <c r="M201" s="206"/>
      <c r="N201" s="206"/>
      <c r="O201" s="206"/>
      <c r="P201" s="206"/>
      <c r="Q201" s="206"/>
      <c r="R201" s="206"/>
      <c r="S201" s="206"/>
      <c r="T201" s="206"/>
      <c r="U201" s="206"/>
      <c r="V201" s="206"/>
      <c r="W201" s="206"/>
      <c r="X201" s="206"/>
      <c r="Y201" s="206"/>
      <c r="Z201" s="206"/>
      <c r="AA201" s="206"/>
      <c r="AB201" s="206"/>
      <c r="AC201" s="206"/>
      <c r="AD201" s="206"/>
      <c r="AE201" s="206"/>
      <c r="AG201" s="206"/>
    </row>
    <row r="204" spans="1:33" x14ac:dyDescent="0.2">
      <c r="P204" s="85"/>
      <c r="T204" s="85"/>
    </row>
    <row r="205" spans="1:33" x14ac:dyDescent="0.2">
      <c r="K205" s="85">
        <f>'ПРОЕКТ с 01.02.2023'!K198*1.09</f>
        <v>121543.25129999999</v>
      </c>
    </row>
    <row r="207" spans="1:33" x14ac:dyDescent="0.2">
      <c r="K207" s="85">
        <f>'ПРОЕКТ с 01.02.2023'!K199*1.09</f>
        <v>2289512.1583000002</v>
      </c>
    </row>
  </sheetData>
  <mergeCells count="5">
    <mergeCell ref="A3:C3"/>
    <mergeCell ref="E5:L5"/>
    <mergeCell ref="L6:M6"/>
    <mergeCell ref="O7:R7"/>
    <mergeCell ref="O8:R8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workbookViewId="0">
      <selection sqref="A1:XFD1048576"/>
    </sheetView>
  </sheetViews>
  <sheetFormatPr defaultRowHeight="12.75" outlineLevelCol="1" x14ac:dyDescent="0.2"/>
  <cols>
    <col min="1" max="1" width="5.140625" style="244" customWidth="1"/>
    <col min="2" max="6" width="9.140625" style="244"/>
    <col min="7" max="7" width="19.5703125" style="244" bestFit="1" customWidth="1"/>
    <col min="8" max="11" width="19.5703125" style="244" hidden="1" customWidth="1"/>
    <col min="12" max="12" width="19.5703125" style="244" customWidth="1"/>
    <col min="13" max="13" width="19.7109375" style="244" customWidth="1" outlineLevel="1"/>
    <col min="14" max="14" width="20.140625" style="244" customWidth="1" outlineLevel="1"/>
    <col min="15" max="15" width="19.7109375" style="244" customWidth="1" outlineLevel="1"/>
    <col min="16" max="17" width="19.7109375" style="244" hidden="1" customWidth="1" outlineLevel="1"/>
    <col min="18" max="19" width="19.7109375" style="244" customWidth="1" outlineLevel="1"/>
    <col min="20" max="20" width="20.140625" style="244" customWidth="1" outlineLevel="1"/>
    <col min="21" max="21" width="22.42578125" style="244" customWidth="1" outlineLevel="1"/>
    <col min="22" max="22" width="12.28515625" style="244" customWidth="1"/>
    <col min="23" max="16384" width="9.140625" style="244"/>
  </cols>
  <sheetData>
    <row r="1" spans="1:22" x14ac:dyDescent="0.2">
      <c r="A1" s="243"/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2" x14ac:dyDescent="0.2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</row>
    <row r="3" spans="1:22" ht="14.25" x14ac:dyDescent="0.2">
      <c r="A3" s="479" t="s">
        <v>235</v>
      </c>
      <c r="B3" s="479"/>
      <c r="C3" s="479"/>
      <c r="D3" s="479"/>
      <c r="E3" s="479"/>
      <c r="F3" s="479"/>
      <c r="G3" s="479"/>
      <c r="H3" s="479"/>
      <c r="I3" s="479"/>
      <c r="J3" s="479"/>
      <c r="K3" s="479"/>
      <c r="L3" s="479"/>
      <c r="M3" s="479"/>
      <c r="N3" s="479"/>
      <c r="O3" s="479"/>
      <c r="P3" s="479"/>
      <c r="Q3" s="479"/>
      <c r="R3" s="292"/>
    </row>
    <row r="4" spans="1:22" x14ac:dyDescent="0.2">
      <c r="A4" s="245"/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</row>
    <row r="5" spans="1:22" ht="13.5" thickBot="1" x14ac:dyDescent="0.25">
      <c r="A5" s="246" t="s">
        <v>236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8"/>
      <c r="N5" s="248"/>
      <c r="O5" s="248"/>
      <c r="P5" s="248"/>
      <c r="Q5" s="248"/>
      <c r="R5" s="248"/>
      <c r="S5" s="248"/>
      <c r="T5" s="248"/>
      <c r="U5" s="248"/>
    </row>
    <row r="6" spans="1:22" ht="13.5" customHeight="1" x14ac:dyDescent="0.2">
      <c r="A6" s="249"/>
      <c r="B6" s="480"/>
      <c r="C6" s="481"/>
      <c r="D6" s="481"/>
      <c r="E6" s="481"/>
      <c r="F6" s="481"/>
      <c r="G6" s="486" t="s">
        <v>237</v>
      </c>
      <c r="H6" s="489" t="s">
        <v>238</v>
      </c>
      <c r="I6" s="490"/>
      <c r="J6" s="490"/>
      <c r="K6" s="490"/>
      <c r="L6" s="491"/>
      <c r="M6" s="495" t="s">
        <v>276</v>
      </c>
      <c r="N6" s="496"/>
      <c r="O6" s="497"/>
      <c r="P6" s="497" t="s">
        <v>239</v>
      </c>
      <c r="Q6" s="495" t="s">
        <v>240</v>
      </c>
      <c r="R6" s="469" t="s">
        <v>277</v>
      </c>
      <c r="S6" s="470"/>
      <c r="T6" s="470"/>
      <c r="U6" s="471"/>
    </row>
    <row r="7" spans="1:22" ht="13.5" customHeight="1" x14ac:dyDescent="0.2">
      <c r="A7" s="250"/>
      <c r="B7" s="482"/>
      <c r="C7" s="483"/>
      <c r="D7" s="483"/>
      <c r="E7" s="483"/>
      <c r="F7" s="483"/>
      <c r="G7" s="487"/>
      <c r="H7" s="492"/>
      <c r="I7" s="493"/>
      <c r="J7" s="493"/>
      <c r="K7" s="493"/>
      <c r="L7" s="494"/>
      <c r="M7" s="498"/>
      <c r="N7" s="499"/>
      <c r="O7" s="500"/>
      <c r="P7" s="501"/>
      <c r="Q7" s="502"/>
      <c r="R7" s="472"/>
      <c r="S7" s="473"/>
      <c r="T7" s="473"/>
      <c r="U7" s="474"/>
    </row>
    <row r="8" spans="1:22" ht="25.5" x14ac:dyDescent="0.2">
      <c r="A8" s="251"/>
      <c r="B8" s="484"/>
      <c r="C8" s="485"/>
      <c r="D8" s="485"/>
      <c r="E8" s="485"/>
      <c r="F8" s="485"/>
      <c r="G8" s="488"/>
      <c r="H8" s="252" t="s">
        <v>241</v>
      </c>
      <c r="I8" s="252" t="s">
        <v>242</v>
      </c>
      <c r="J8" s="252" t="s">
        <v>243</v>
      </c>
      <c r="K8" s="252" t="s">
        <v>244</v>
      </c>
      <c r="L8" s="252" t="s">
        <v>38</v>
      </c>
      <c r="M8" s="253" t="s">
        <v>245</v>
      </c>
      <c r="N8" s="253" t="s">
        <v>246</v>
      </c>
      <c r="O8" s="253" t="s">
        <v>247</v>
      </c>
      <c r="P8" s="500"/>
      <c r="Q8" s="498"/>
      <c r="R8" s="295" t="s">
        <v>278</v>
      </c>
      <c r="S8" s="296" t="s">
        <v>279</v>
      </c>
      <c r="T8" s="296" t="s">
        <v>246</v>
      </c>
      <c r="U8" s="296" t="s">
        <v>247</v>
      </c>
    </row>
    <row r="9" spans="1:22" x14ac:dyDescent="0.2">
      <c r="A9" s="254">
        <v>1</v>
      </c>
      <c r="B9" s="475">
        <v>2</v>
      </c>
      <c r="C9" s="476"/>
      <c r="D9" s="476"/>
      <c r="E9" s="476"/>
      <c r="F9" s="476"/>
      <c r="G9" s="255">
        <v>3</v>
      </c>
      <c r="H9" s="255"/>
      <c r="I9" s="255"/>
      <c r="J9" s="255"/>
      <c r="K9" s="255"/>
      <c r="L9" s="255"/>
      <c r="M9" s="256">
        <v>4</v>
      </c>
      <c r="N9" s="256">
        <v>5</v>
      </c>
      <c r="O9" s="256">
        <v>6</v>
      </c>
      <c r="P9" s="257"/>
      <c r="Q9" s="258"/>
      <c r="R9" s="297"/>
      <c r="S9" s="298">
        <v>4</v>
      </c>
      <c r="T9" s="298">
        <v>5</v>
      </c>
      <c r="U9" s="298">
        <v>6</v>
      </c>
    </row>
    <row r="10" spans="1:22" ht="14.25" x14ac:dyDescent="0.2">
      <c r="A10" s="259"/>
      <c r="B10" s="260" t="s">
        <v>38</v>
      </c>
      <c r="C10" s="261"/>
      <c r="D10" s="261"/>
      <c r="E10" s="261"/>
      <c r="F10" s="261"/>
      <c r="G10" s="262">
        <v>106180227.36666664</v>
      </c>
      <c r="H10" s="262">
        <v>34927706.166666664</v>
      </c>
      <c r="I10" s="262">
        <v>8757517.8416666668</v>
      </c>
      <c r="J10" s="262">
        <v>26371829.399999999</v>
      </c>
      <c r="K10" s="262">
        <v>36568937.480000004</v>
      </c>
      <c r="L10" s="262">
        <v>106625990.88833334</v>
      </c>
      <c r="M10" s="262">
        <v>73137874.960000008</v>
      </c>
      <c r="N10" s="262">
        <v>39860140.059999995</v>
      </c>
      <c r="O10" s="262">
        <v>112998015.02</v>
      </c>
      <c r="P10" s="263">
        <v>128070622.19999999</v>
      </c>
      <c r="Q10" s="264">
        <v>136523293.5</v>
      </c>
      <c r="R10" s="299">
        <f>R12</f>
        <v>9142234.370000001</v>
      </c>
      <c r="S10" s="300">
        <f>S12</f>
        <v>63995640.010000005</v>
      </c>
      <c r="T10" s="300">
        <f>T12</f>
        <v>39860139.390000001</v>
      </c>
      <c r="U10" s="300">
        <f>T10+S10+R10</f>
        <v>112998013.77000001</v>
      </c>
      <c r="V10" s="265">
        <f>U10-O10</f>
        <v>-1.2499999850988388</v>
      </c>
    </row>
    <row r="11" spans="1:22" x14ac:dyDescent="0.2">
      <c r="A11" s="250"/>
      <c r="B11" s="266"/>
      <c r="C11" s="267"/>
      <c r="D11" s="267"/>
      <c r="E11" s="268"/>
      <c r="F11" s="267"/>
      <c r="G11" s="269"/>
      <c r="H11" s="269"/>
      <c r="I11" s="269"/>
      <c r="J11" s="269"/>
      <c r="K11" s="269"/>
      <c r="L11" s="269"/>
      <c r="M11" s="269"/>
      <c r="N11" s="269"/>
      <c r="O11" s="269"/>
      <c r="P11" s="270"/>
      <c r="Q11" s="271"/>
      <c r="R11" s="301"/>
      <c r="S11" s="302"/>
      <c r="T11" s="302"/>
      <c r="U11" s="302"/>
      <c r="V11" s="265">
        <f t="shared" ref="V11:V46" si="0">U11-O11</f>
        <v>0</v>
      </c>
    </row>
    <row r="12" spans="1:22" x14ac:dyDescent="0.2">
      <c r="A12" s="272" t="s">
        <v>248</v>
      </c>
      <c r="B12" s="266" t="s">
        <v>249</v>
      </c>
      <c r="C12" s="267"/>
      <c r="D12" s="267"/>
      <c r="E12" s="267"/>
      <c r="F12" s="267"/>
      <c r="G12" s="269">
        <v>106180227.36666664</v>
      </c>
      <c r="H12" s="269">
        <v>34927706.166666664</v>
      </c>
      <c r="I12" s="269">
        <v>8757517.8416666668</v>
      </c>
      <c r="J12" s="269">
        <v>26371829.399999999</v>
      </c>
      <c r="K12" s="269">
        <v>36568937.480000004</v>
      </c>
      <c r="L12" s="269">
        <v>106625990.88833334</v>
      </c>
      <c r="M12" s="269">
        <v>73137874.960000008</v>
      </c>
      <c r="N12" s="269">
        <v>39860140.059999995</v>
      </c>
      <c r="O12" s="269">
        <v>112998015.02000001</v>
      </c>
      <c r="P12" s="270">
        <v>128070622.19999999</v>
      </c>
      <c r="Q12" s="271">
        <v>136523293.5</v>
      </c>
      <c r="R12" s="301">
        <f>R14+R21</f>
        <v>9142234.370000001</v>
      </c>
      <c r="S12" s="302">
        <f>S14+S21</f>
        <v>63995640.010000005</v>
      </c>
      <c r="T12" s="302">
        <f>T14+T21</f>
        <v>39860139.390000001</v>
      </c>
      <c r="U12" s="302">
        <f>T12+S12+R12</f>
        <v>112998013.77000001</v>
      </c>
      <c r="V12" s="265">
        <f t="shared" si="0"/>
        <v>-1.25</v>
      </c>
    </row>
    <row r="13" spans="1:22" x14ac:dyDescent="0.2">
      <c r="A13" s="272"/>
      <c r="B13" s="266"/>
      <c r="C13" s="268"/>
      <c r="D13" s="268"/>
      <c r="E13" s="268"/>
      <c r="F13" s="268"/>
      <c r="G13" s="273"/>
      <c r="H13" s="273"/>
      <c r="I13" s="273"/>
      <c r="J13" s="273"/>
      <c r="K13" s="273"/>
      <c r="L13" s="273"/>
      <c r="M13" s="273"/>
      <c r="N13" s="273"/>
      <c r="O13" s="273"/>
      <c r="P13" s="274"/>
      <c r="Q13" s="275"/>
      <c r="R13" s="303"/>
      <c r="S13" s="304"/>
      <c r="T13" s="304"/>
      <c r="U13" s="304"/>
      <c r="V13" s="265">
        <f t="shared" si="0"/>
        <v>0</v>
      </c>
    </row>
    <row r="14" spans="1:22" ht="13.5" x14ac:dyDescent="0.25">
      <c r="A14" s="272" t="s">
        <v>250</v>
      </c>
      <c r="B14" s="276" t="s">
        <v>251</v>
      </c>
      <c r="C14" s="277"/>
      <c r="D14" s="277"/>
      <c r="E14" s="277"/>
      <c r="F14" s="267"/>
      <c r="G14" s="269">
        <v>25715037.799999997</v>
      </c>
      <c r="H14" s="269">
        <v>8458893.959999999</v>
      </c>
      <c r="I14" s="269">
        <v>2118959.29</v>
      </c>
      <c r="J14" s="269">
        <v>6380704.0800000001</v>
      </c>
      <c r="K14" s="269">
        <v>8847909.8399999999</v>
      </c>
      <c r="L14" s="269">
        <v>25806467.169999998</v>
      </c>
      <c r="M14" s="269">
        <v>17695819.68</v>
      </c>
      <c r="N14" s="269">
        <v>9644221.3199999984</v>
      </c>
      <c r="O14" s="269">
        <v>27340041</v>
      </c>
      <c r="P14" s="270">
        <v>30986881.199999996</v>
      </c>
      <c r="Q14" s="271">
        <v>33032017.799999997</v>
      </c>
      <c r="R14" s="301">
        <f>R18</f>
        <v>2211977.46</v>
      </c>
      <c r="S14" s="302">
        <f>S18</f>
        <v>15483842.08</v>
      </c>
      <c r="T14" s="302">
        <f>T18</f>
        <v>9644221.1600000001</v>
      </c>
      <c r="U14" s="302">
        <f t="shared" ref="U14:U46" si="1">T14+S14+R14</f>
        <v>27340040.700000003</v>
      </c>
      <c r="V14" s="265">
        <f t="shared" si="0"/>
        <v>-0.29999999701976776</v>
      </c>
    </row>
    <row r="15" spans="1:22" x14ac:dyDescent="0.2">
      <c r="A15" s="250"/>
      <c r="B15" s="278"/>
      <c r="C15" s="268"/>
      <c r="D15" s="268"/>
      <c r="E15" s="268"/>
      <c r="F15" s="268"/>
      <c r="G15" s="273"/>
      <c r="H15" s="273"/>
      <c r="I15" s="273"/>
      <c r="J15" s="273"/>
      <c r="K15" s="273"/>
      <c r="L15" s="273"/>
      <c r="M15" s="273"/>
      <c r="N15" s="273"/>
      <c r="O15" s="273"/>
      <c r="P15" s="274"/>
      <c r="Q15" s="275"/>
      <c r="R15" s="303"/>
      <c r="S15" s="304"/>
      <c r="T15" s="304"/>
      <c r="U15" s="304"/>
      <c r="V15" s="265">
        <f t="shared" si="0"/>
        <v>0</v>
      </c>
    </row>
    <row r="16" spans="1:22" x14ac:dyDescent="0.2">
      <c r="A16" s="250"/>
      <c r="B16" s="278" t="s">
        <v>252</v>
      </c>
      <c r="C16" s="279"/>
      <c r="D16" s="268"/>
      <c r="E16" s="279"/>
      <c r="F16" s="268"/>
      <c r="G16" s="273"/>
      <c r="H16" s="273">
        <v>2114723.4899999998</v>
      </c>
      <c r="I16" s="273">
        <v>2118959.29</v>
      </c>
      <c r="J16" s="273">
        <v>2126901.36</v>
      </c>
      <c r="K16" s="273">
        <v>2211977.46</v>
      </c>
      <c r="L16" s="273"/>
      <c r="M16" s="273">
        <v>2211977.46</v>
      </c>
      <c r="N16" s="273">
        <v>2411055.3299999996</v>
      </c>
      <c r="O16" s="273"/>
      <c r="P16" s="274">
        <v>2582240.0999999996</v>
      </c>
      <c r="Q16" s="275">
        <v>2752668.15</v>
      </c>
      <c r="R16" s="303">
        <f>'14.10.22'!K187</f>
        <v>2211977.46</v>
      </c>
      <c r="S16" s="304">
        <f>'ПРОЕКТ с 01.02.2023'!K195</f>
        <v>2211977.44</v>
      </c>
      <c r="T16" s="304">
        <f>ROUND('Проект с 01.09.2023 (9%)'!K195,2)</f>
        <v>2411055.29</v>
      </c>
      <c r="U16" s="304"/>
      <c r="V16" s="265">
        <f t="shared" si="0"/>
        <v>0</v>
      </c>
    </row>
    <row r="17" spans="1:22" x14ac:dyDescent="0.2">
      <c r="A17" s="250"/>
      <c r="B17" s="278"/>
      <c r="C17" s="279"/>
      <c r="D17" s="268"/>
      <c r="E17" s="279"/>
      <c r="F17" s="268"/>
      <c r="G17" s="273"/>
      <c r="H17" s="273"/>
      <c r="I17" s="273"/>
      <c r="J17" s="273"/>
      <c r="K17" s="273"/>
      <c r="L17" s="273"/>
      <c r="M17" s="273"/>
      <c r="N17" s="273"/>
      <c r="O17" s="273"/>
      <c r="P17" s="274"/>
      <c r="Q17" s="275"/>
      <c r="R17" s="303"/>
      <c r="S17" s="304"/>
      <c r="T17" s="304"/>
      <c r="U17" s="304"/>
      <c r="V17" s="265">
        <f t="shared" si="0"/>
        <v>0</v>
      </c>
    </row>
    <row r="18" spans="1:22" x14ac:dyDescent="0.2">
      <c r="A18" s="250"/>
      <c r="B18" s="278" t="s">
        <v>253</v>
      </c>
      <c r="C18" s="268"/>
      <c r="D18" s="268"/>
      <c r="E18" s="268"/>
      <c r="F18" s="268"/>
      <c r="G18" s="273">
        <v>25715037.799999997</v>
      </c>
      <c r="H18" s="273">
        <v>8458893.959999999</v>
      </c>
      <c r="I18" s="273">
        <v>2118959.29</v>
      </c>
      <c r="J18" s="273">
        <v>6380704.0800000001</v>
      </c>
      <c r="K18" s="273">
        <v>8847909.8399999999</v>
      </c>
      <c r="L18" s="273">
        <v>25806467.169999998</v>
      </c>
      <c r="M18" s="273">
        <v>17695819.68</v>
      </c>
      <c r="N18" s="273">
        <v>9644221.3199999984</v>
      </c>
      <c r="O18" s="273">
        <v>27340041</v>
      </c>
      <c r="P18" s="274">
        <v>30986881.199999996</v>
      </c>
      <c r="Q18" s="275">
        <v>33032017.799999997</v>
      </c>
      <c r="R18" s="303">
        <f>R16</f>
        <v>2211977.46</v>
      </c>
      <c r="S18" s="304">
        <f>ROUND(S16*7,2)</f>
        <v>15483842.08</v>
      </c>
      <c r="T18" s="304">
        <f>T16*4</f>
        <v>9644221.1600000001</v>
      </c>
      <c r="U18" s="304">
        <f>T18+S18+R18</f>
        <v>27340040.700000003</v>
      </c>
      <c r="V18" s="265">
        <f t="shared" si="0"/>
        <v>-0.29999999701976776</v>
      </c>
    </row>
    <row r="19" spans="1:22" x14ac:dyDescent="0.2">
      <c r="A19" s="250"/>
      <c r="B19" s="278"/>
      <c r="C19" s="268"/>
      <c r="D19" s="268"/>
      <c r="E19" s="268"/>
      <c r="F19" s="268"/>
      <c r="G19" s="273"/>
      <c r="H19" s="273"/>
      <c r="I19" s="273"/>
      <c r="J19" s="273"/>
      <c r="K19" s="273"/>
      <c r="L19" s="273"/>
      <c r="M19" s="273"/>
      <c r="N19" s="273"/>
      <c r="O19" s="273"/>
      <c r="P19" s="274"/>
      <c r="Q19" s="275"/>
      <c r="R19" s="303"/>
      <c r="S19" s="304"/>
      <c r="T19" s="304"/>
      <c r="U19" s="304"/>
      <c r="V19" s="265">
        <f t="shared" si="0"/>
        <v>0</v>
      </c>
    </row>
    <row r="20" spans="1:22" x14ac:dyDescent="0.2">
      <c r="A20" s="272" t="s">
        <v>254</v>
      </c>
      <c r="B20" s="266" t="s">
        <v>255</v>
      </c>
      <c r="C20" s="268"/>
      <c r="D20" s="268"/>
      <c r="E20" s="268"/>
      <c r="F20" s="268"/>
      <c r="G20" s="273"/>
      <c r="H20" s="273"/>
      <c r="I20" s="273"/>
      <c r="J20" s="273"/>
      <c r="K20" s="273"/>
      <c r="L20" s="273"/>
      <c r="M20" s="273"/>
      <c r="N20" s="273"/>
      <c r="O20" s="273"/>
      <c r="P20" s="274"/>
      <c r="Q20" s="275"/>
      <c r="R20" s="303"/>
      <c r="S20" s="304"/>
      <c r="T20" s="304"/>
      <c r="U20" s="304"/>
      <c r="V20" s="265">
        <f t="shared" si="0"/>
        <v>0</v>
      </c>
    </row>
    <row r="21" spans="1:22" x14ac:dyDescent="0.2">
      <c r="A21" s="250"/>
      <c r="B21" s="266" t="s">
        <v>256</v>
      </c>
      <c r="C21" s="268"/>
      <c r="D21" s="268"/>
      <c r="E21" s="280"/>
      <c r="F21" s="280"/>
      <c r="G21" s="269">
        <v>80465189.566666648</v>
      </c>
      <c r="H21" s="269">
        <v>26468812.206666663</v>
      </c>
      <c r="I21" s="269">
        <v>6638558.5516666668</v>
      </c>
      <c r="J21" s="269">
        <v>19991125.319999997</v>
      </c>
      <c r="K21" s="269">
        <v>27721027.640000001</v>
      </c>
      <c r="L21" s="269">
        <v>80819523.718333334</v>
      </c>
      <c r="M21" s="269">
        <v>55442055.280000001</v>
      </c>
      <c r="N21" s="269">
        <v>30215918.739999995</v>
      </c>
      <c r="O21" s="269">
        <v>85657974.019999996</v>
      </c>
      <c r="P21" s="270">
        <v>97083741</v>
      </c>
      <c r="Q21" s="271">
        <v>103491275.7</v>
      </c>
      <c r="R21" s="301">
        <f>R23+R27+R31+R36+R40</f>
        <v>6930256.9100000001</v>
      </c>
      <c r="S21" s="302">
        <f>S23+S27+S31+S36+S40</f>
        <v>48511797.930000007</v>
      </c>
      <c r="T21" s="302">
        <f>T23+T27+T31+T36+T40</f>
        <v>30215918.23</v>
      </c>
      <c r="U21" s="302">
        <f t="shared" si="1"/>
        <v>85657973.070000008</v>
      </c>
      <c r="V21" s="265">
        <f t="shared" si="0"/>
        <v>-0.94999998807907104</v>
      </c>
    </row>
    <row r="22" spans="1:22" x14ac:dyDescent="0.2">
      <c r="A22" s="250"/>
      <c r="B22" s="266"/>
      <c r="C22" s="268"/>
      <c r="D22" s="268"/>
      <c r="E22" s="267"/>
      <c r="F22" s="268"/>
      <c r="G22" s="273"/>
      <c r="H22" s="273"/>
      <c r="I22" s="273"/>
      <c r="J22" s="273"/>
      <c r="K22" s="273"/>
      <c r="L22" s="273"/>
      <c r="M22" s="273"/>
      <c r="N22" s="273"/>
      <c r="O22" s="273"/>
      <c r="P22" s="274"/>
      <c r="Q22" s="275"/>
      <c r="R22" s="303"/>
      <c r="S22" s="304"/>
      <c r="T22" s="304"/>
      <c r="U22" s="304"/>
      <c r="V22" s="265">
        <f t="shared" si="0"/>
        <v>0</v>
      </c>
    </row>
    <row r="23" spans="1:22" ht="13.5" x14ac:dyDescent="0.25">
      <c r="A23" s="272"/>
      <c r="B23" s="276" t="s">
        <v>257</v>
      </c>
      <c r="C23" s="277"/>
      <c r="D23" s="277"/>
      <c r="E23" s="268"/>
      <c r="F23" s="268"/>
      <c r="G23" s="269">
        <v>30000877.43333333</v>
      </c>
      <c r="H23" s="269">
        <v>9868709.6199999992</v>
      </c>
      <c r="I23" s="269">
        <v>2472119.1716666669</v>
      </c>
      <c r="J23" s="269">
        <v>7444154.7599999998</v>
      </c>
      <c r="K23" s="269">
        <v>10322561.479999999</v>
      </c>
      <c r="L23" s="269">
        <v>30107545.031666666</v>
      </c>
      <c r="M23" s="269">
        <v>20645122.960000001</v>
      </c>
      <c r="N23" s="269">
        <v>11251591.539999999</v>
      </c>
      <c r="O23" s="269">
        <v>31896714.5</v>
      </c>
      <c r="P23" s="270">
        <v>36151361.399999999</v>
      </c>
      <c r="Q23" s="271">
        <v>38537354.100000001</v>
      </c>
      <c r="R23" s="301">
        <f>R25</f>
        <v>2580640.37</v>
      </c>
      <c r="S23" s="302">
        <f>S25</f>
        <v>18064482.43</v>
      </c>
      <c r="T23" s="302">
        <f>T25</f>
        <v>11251591.35</v>
      </c>
      <c r="U23" s="302">
        <f t="shared" si="1"/>
        <v>31896714.150000002</v>
      </c>
      <c r="V23" s="265">
        <f t="shared" si="0"/>
        <v>-0.34999999776482582</v>
      </c>
    </row>
    <row r="24" spans="1:22" x14ac:dyDescent="0.2">
      <c r="A24" s="250"/>
      <c r="B24" s="278"/>
      <c r="C24" s="268"/>
      <c r="D24" s="268"/>
      <c r="E24" s="268"/>
      <c r="F24" s="268"/>
      <c r="G24" s="273"/>
      <c r="H24" s="273"/>
      <c r="I24" s="273"/>
      <c r="J24" s="273"/>
      <c r="K24" s="273"/>
      <c r="L24" s="273"/>
      <c r="M24" s="273"/>
      <c r="N24" s="273"/>
      <c r="O24" s="273"/>
      <c r="P24" s="274"/>
      <c r="Q24" s="275"/>
      <c r="R24" s="303"/>
      <c r="S24" s="304"/>
      <c r="T24" s="304"/>
      <c r="U24" s="304"/>
      <c r="V24" s="265">
        <f t="shared" si="0"/>
        <v>0</v>
      </c>
    </row>
    <row r="25" spans="1:22" x14ac:dyDescent="0.2">
      <c r="A25" s="250"/>
      <c r="B25" s="278" t="s">
        <v>258</v>
      </c>
      <c r="C25" s="268"/>
      <c r="D25" s="268"/>
      <c r="E25" s="268"/>
      <c r="F25" s="268"/>
      <c r="G25" s="273">
        <v>30000877.43333333</v>
      </c>
      <c r="H25" s="273">
        <v>9868709.6199999992</v>
      </c>
      <c r="I25" s="273">
        <v>2472119.1716666669</v>
      </c>
      <c r="J25" s="273">
        <v>7444154.7599999998</v>
      </c>
      <c r="K25" s="273">
        <v>10322561.479999999</v>
      </c>
      <c r="L25" s="273">
        <v>30107545.031666666</v>
      </c>
      <c r="M25" s="273">
        <v>20645122.960000001</v>
      </c>
      <c r="N25" s="273">
        <v>11251591.539999999</v>
      </c>
      <c r="O25" s="273">
        <v>31896714.5</v>
      </c>
      <c r="P25" s="274">
        <v>36151361.399999999</v>
      </c>
      <c r="Q25" s="275">
        <v>38537354.100000001</v>
      </c>
      <c r="R25" s="303">
        <f>ROUND(R16*14/12,2)</f>
        <v>2580640.37</v>
      </c>
      <c r="S25" s="304">
        <f>ROUND(S16*14/12*7,2)</f>
        <v>18064482.43</v>
      </c>
      <c r="T25" s="304">
        <f>ROUND('Проект с 01.09.2023 (9%)'!K200*14/12*4,2)</f>
        <v>11251591.35</v>
      </c>
      <c r="U25" s="304">
        <f>T25+S25+R25</f>
        <v>31896714.150000002</v>
      </c>
      <c r="V25" s="265">
        <f t="shared" si="0"/>
        <v>-0.34999999776482582</v>
      </c>
    </row>
    <row r="26" spans="1:22" x14ac:dyDescent="0.2">
      <c r="A26" s="250"/>
      <c r="B26" s="278"/>
      <c r="C26" s="268"/>
      <c r="D26" s="268"/>
      <c r="E26" s="268"/>
      <c r="F26" s="268"/>
      <c r="G26" s="273"/>
      <c r="H26" s="273"/>
      <c r="I26" s="273"/>
      <c r="J26" s="273"/>
      <c r="K26" s="273"/>
      <c r="L26" s="273"/>
      <c r="M26" s="273"/>
      <c r="N26" s="273"/>
      <c r="O26" s="273"/>
      <c r="P26" s="274"/>
      <c r="Q26" s="275"/>
      <c r="R26" s="303"/>
      <c r="S26" s="304"/>
      <c r="T26" s="304"/>
      <c r="U26" s="304"/>
      <c r="V26" s="265">
        <f t="shared" si="0"/>
        <v>0</v>
      </c>
    </row>
    <row r="27" spans="1:22" ht="13.5" x14ac:dyDescent="0.25">
      <c r="A27" s="250"/>
      <c r="B27" s="276" t="s">
        <v>259</v>
      </c>
      <c r="C27" s="277"/>
      <c r="D27" s="277"/>
      <c r="E27" s="277"/>
      <c r="F27" s="268"/>
      <c r="G27" s="269">
        <v>6066598.1499999985</v>
      </c>
      <c r="H27" s="269">
        <v>1995591.4899999995</v>
      </c>
      <c r="I27" s="269">
        <v>502935.1225</v>
      </c>
      <c r="J27" s="269">
        <v>1514761.92</v>
      </c>
      <c r="K27" s="269">
        <v>2100469.89</v>
      </c>
      <c r="L27" s="269">
        <v>6113758.4224999994</v>
      </c>
      <c r="M27" s="269">
        <v>4200939.78</v>
      </c>
      <c r="N27" s="269">
        <v>2289512.04</v>
      </c>
      <c r="O27" s="269">
        <v>6490451.8200000003</v>
      </c>
      <c r="P27" s="270">
        <v>7356201.75</v>
      </c>
      <c r="Q27" s="271">
        <v>7841711.7000000002</v>
      </c>
      <c r="R27" s="301">
        <f>R29</f>
        <v>525117.47</v>
      </c>
      <c r="S27" s="302">
        <f>S29</f>
        <v>3675822.27</v>
      </c>
      <c r="T27" s="302">
        <f>T29</f>
        <v>2289512</v>
      </c>
      <c r="U27" s="302">
        <f t="shared" si="1"/>
        <v>6490451.7399999993</v>
      </c>
      <c r="V27" s="265">
        <f t="shared" si="0"/>
        <v>-8.0000001005828381E-2</v>
      </c>
    </row>
    <row r="28" spans="1:22" x14ac:dyDescent="0.2">
      <c r="A28" s="250"/>
      <c r="B28" s="278"/>
      <c r="C28" s="268"/>
      <c r="D28" s="268"/>
      <c r="E28" s="268"/>
      <c r="F28" s="268"/>
      <c r="G28" s="273"/>
      <c r="H28" s="273"/>
      <c r="I28" s="273"/>
      <c r="J28" s="273"/>
      <c r="K28" s="273"/>
      <c r="L28" s="273"/>
      <c r="M28" s="273"/>
      <c r="N28" s="273"/>
      <c r="O28" s="273"/>
      <c r="P28" s="274"/>
      <c r="Q28" s="275"/>
      <c r="R28" s="303"/>
      <c r="S28" s="304"/>
      <c r="T28" s="304"/>
      <c r="U28" s="304"/>
      <c r="V28" s="265">
        <f t="shared" si="0"/>
        <v>0</v>
      </c>
    </row>
    <row r="29" spans="1:22" x14ac:dyDescent="0.2">
      <c r="A29" s="250"/>
      <c r="B29" s="278" t="s">
        <v>260</v>
      </c>
      <c r="C29" s="268"/>
      <c r="D29" s="268"/>
      <c r="E29" s="268"/>
      <c r="F29" s="268"/>
      <c r="G29" s="273">
        <v>6066598.1499999985</v>
      </c>
      <c r="H29" s="273">
        <v>1995591.4899999995</v>
      </c>
      <c r="I29" s="273">
        <v>502935.1225</v>
      </c>
      <c r="J29" s="273">
        <v>1514761.92</v>
      </c>
      <c r="K29" s="273">
        <v>2100469.89</v>
      </c>
      <c r="L29" s="273">
        <v>6113758.4224999994</v>
      </c>
      <c r="M29" s="273">
        <v>4200939.78</v>
      </c>
      <c r="N29" s="273">
        <v>2289512.04</v>
      </c>
      <c r="O29" s="273">
        <v>6490451.8200000003</v>
      </c>
      <c r="P29" s="274">
        <v>7356201.75</v>
      </c>
      <c r="Q29" s="275">
        <v>7841711.7000000002</v>
      </c>
      <c r="R29" s="303">
        <f>ROUND('14.10.22'!K191*3/12,2)</f>
        <v>525117.47</v>
      </c>
      <c r="S29" s="304">
        <f>ROUND('ПРОЕКТ с 01.02.2023'!K199*3/12*7,2)</f>
        <v>3675822.27</v>
      </c>
      <c r="T29" s="304">
        <f>ROUND('Проект с 01.09.2023 (9%)'!K199*3/12*4,2)</f>
        <v>2289512</v>
      </c>
      <c r="U29" s="304">
        <f>T29+S29+R29</f>
        <v>6490451.7399999993</v>
      </c>
      <c r="V29" s="265">
        <f t="shared" si="0"/>
        <v>-8.0000001005828381E-2</v>
      </c>
    </row>
    <row r="30" spans="1:22" x14ac:dyDescent="0.2">
      <c r="A30" s="250"/>
      <c r="B30" s="278"/>
      <c r="C30" s="268"/>
      <c r="D30" s="268"/>
      <c r="E30" s="268"/>
      <c r="F30" s="268"/>
      <c r="G30" s="273"/>
      <c r="H30" s="273"/>
      <c r="I30" s="273"/>
      <c r="J30" s="273"/>
      <c r="K30" s="273"/>
      <c r="L30" s="273"/>
      <c r="M30" s="273"/>
      <c r="N30" s="273"/>
      <c r="O30" s="273"/>
      <c r="P30" s="274"/>
      <c r="Q30" s="275"/>
      <c r="R30" s="303"/>
      <c r="S30" s="304"/>
      <c r="T30" s="304"/>
      <c r="U30" s="304"/>
      <c r="V30" s="265">
        <f t="shared" si="0"/>
        <v>0</v>
      </c>
    </row>
    <row r="31" spans="1:22" ht="13.5" x14ac:dyDescent="0.25">
      <c r="A31" s="250"/>
      <c r="B31" s="276" t="s">
        <v>261</v>
      </c>
      <c r="C31" s="268"/>
      <c r="D31" s="268"/>
      <c r="E31" s="268"/>
      <c r="F31" s="268"/>
      <c r="G31" s="269">
        <v>33683114.899999991</v>
      </c>
      <c r="H31" s="269">
        <v>11079971.946666665</v>
      </c>
      <c r="I31" s="269">
        <v>2780604.5533333332</v>
      </c>
      <c r="J31" s="269">
        <v>8373581.9399999985</v>
      </c>
      <c r="K31" s="269">
        <v>11611367.17</v>
      </c>
      <c r="L31" s="269">
        <v>33845525.609999999</v>
      </c>
      <c r="M31" s="269">
        <v>23222734.34</v>
      </c>
      <c r="N31" s="269">
        <v>12656389.610000001</v>
      </c>
      <c r="O31" s="269">
        <v>35879123.950000003</v>
      </c>
      <c r="P31" s="270">
        <v>40664977.350000001</v>
      </c>
      <c r="Q31" s="271">
        <v>43348869.149999999</v>
      </c>
      <c r="R31" s="301">
        <f>R33+R34</f>
        <v>2902841.79</v>
      </c>
      <c r="S31" s="302">
        <f>S33+S34</f>
        <v>20319892.359999999</v>
      </c>
      <c r="T31" s="302">
        <f>T33+T34</f>
        <v>12656389.4</v>
      </c>
      <c r="U31" s="302">
        <f t="shared" si="1"/>
        <v>35879123.549999997</v>
      </c>
      <c r="V31" s="265">
        <f t="shared" si="0"/>
        <v>-0.40000000596046448</v>
      </c>
    </row>
    <row r="32" spans="1:22" ht="13.5" x14ac:dyDescent="0.25">
      <c r="A32" s="250"/>
      <c r="B32" s="276"/>
      <c r="C32" s="268"/>
      <c r="D32" s="268"/>
      <c r="E32" s="268"/>
      <c r="F32" s="268"/>
      <c r="G32" s="269"/>
      <c r="H32" s="269"/>
      <c r="I32" s="269"/>
      <c r="J32" s="269"/>
      <c r="K32" s="269"/>
      <c r="L32" s="269"/>
      <c r="M32" s="269"/>
      <c r="N32" s="269"/>
      <c r="O32" s="269"/>
      <c r="P32" s="270"/>
      <c r="Q32" s="271"/>
      <c r="R32" s="301"/>
      <c r="S32" s="302"/>
      <c r="T32" s="302"/>
      <c r="U32" s="302"/>
      <c r="V32" s="265">
        <f t="shared" si="0"/>
        <v>0</v>
      </c>
    </row>
    <row r="33" spans="1:22" x14ac:dyDescent="0.2">
      <c r="A33" s="250"/>
      <c r="B33" s="278" t="s">
        <v>262</v>
      </c>
      <c r="C33" s="268"/>
      <c r="D33" s="268"/>
      <c r="E33" s="268"/>
      <c r="F33" s="268"/>
      <c r="G33" s="273">
        <v>32355190.133333325</v>
      </c>
      <c r="H33" s="273">
        <v>10643154.613333331</v>
      </c>
      <c r="I33" s="273">
        <v>2682320.6533333333</v>
      </c>
      <c r="J33" s="273">
        <v>8078730.2399999984</v>
      </c>
      <c r="K33" s="273">
        <v>11202506.08</v>
      </c>
      <c r="L33" s="273">
        <v>32606711.586666666</v>
      </c>
      <c r="M33" s="273">
        <v>22405012.16</v>
      </c>
      <c r="N33" s="273">
        <v>12210730.880000001</v>
      </c>
      <c r="O33" s="273">
        <v>34615743.039999999</v>
      </c>
      <c r="P33" s="274">
        <v>39233076</v>
      </c>
      <c r="Q33" s="275">
        <v>41822462.399999999</v>
      </c>
      <c r="R33" s="303">
        <f>ROUND('14.10.22'!K191*16/12,2)</f>
        <v>2800626.52</v>
      </c>
      <c r="S33" s="304">
        <f>ROUND('ПРОЕКТ с 01.02.2023'!K199*16/12*7,2)</f>
        <v>19604385.449999999</v>
      </c>
      <c r="T33" s="304">
        <f>ROUND('Проект с 01.09.2023 (9%)'!K199*16/12*4,2)</f>
        <v>12210730.67</v>
      </c>
      <c r="U33" s="304">
        <f t="shared" si="1"/>
        <v>34615742.640000001</v>
      </c>
      <c r="V33" s="265">
        <f t="shared" si="0"/>
        <v>-0.39999999850988388</v>
      </c>
    </row>
    <row r="34" spans="1:22" x14ac:dyDescent="0.2">
      <c r="A34" s="250"/>
      <c r="B34" s="278" t="s">
        <v>263</v>
      </c>
      <c r="C34" s="268"/>
      <c r="D34" s="268"/>
      <c r="E34" s="268"/>
      <c r="F34" s="268"/>
      <c r="G34" s="273">
        <v>1327924.7666666666</v>
      </c>
      <c r="H34" s="273">
        <v>436817.33333333326</v>
      </c>
      <c r="I34" s="273">
        <v>98283.89999999998</v>
      </c>
      <c r="J34" s="273">
        <v>294851.69999999995</v>
      </c>
      <c r="K34" s="273">
        <v>408861.08999999991</v>
      </c>
      <c r="L34" s="273">
        <v>1238814.0233333332</v>
      </c>
      <c r="M34" s="273">
        <v>817722.18</v>
      </c>
      <c r="N34" s="273">
        <v>445658.73</v>
      </c>
      <c r="O34" s="273">
        <v>1263380.9100000001</v>
      </c>
      <c r="P34" s="274">
        <v>1431901.35</v>
      </c>
      <c r="Q34" s="275">
        <v>1526406.75</v>
      </c>
      <c r="R34" s="303">
        <f>ROUND('14.10.22'!K190*11/12,2)</f>
        <v>102215.27</v>
      </c>
      <c r="S34" s="304">
        <f>ROUND('ПРОЕКТ с 01.02.2023'!K198*11/12*7,2)</f>
        <v>715506.91</v>
      </c>
      <c r="T34" s="304">
        <f>ROUND('Проект с 01.09.2023 (9%)'!K198*11/12*4,2)</f>
        <v>445658.73</v>
      </c>
      <c r="U34" s="304">
        <f t="shared" si="1"/>
        <v>1263380.9100000001</v>
      </c>
      <c r="V34" s="265">
        <f t="shared" si="0"/>
        <v>0</v>
      </c>
    </row>
    <row r="35" spans="1:22" ht="13.5" x14ac:dyDescent="0.25">
      <c r="A35" s="250"/>
      <c r="B35" s="276"/>
      <c r="C35" s="268"/>
      <c r="D35" s="268"/>
      <c r="E35" s="268"/>
      <c r="F35" s="268"/>
      <c r="G35" s="273"/>
      <c r="H35" s="273"/>
      <c r="I35" s="273"/>
      <c r="J35" s="273"/>
      <c r="K35" s="273"/>
      <c r="L35" s="273"/>
      <c r="M35" s="273"/>
      <c r="N35" s="273"/>
      <c r="O35" s="273"/>
      <c r="P35" s="274"/>
      <c r="Q35" s="275"/>
      <c r="R35" s="303"/>
      <c r="S35" s="304"/>
      <c r="T35" s="304"/>
      <c r="U35" s="304"/>
      <c r="V35" s="265">
        <f t="shared" si="0"/>
        <v>0</v>
      </c>
    </row>
    <row r="36" spans="1:22" ht="13.5" x14ac:dyDescent="0.25">
      <c r="A36" s="250"/>
      <c r="B36" s="276" t="s">
        <v>264</v>
      </c>
      <c r="C36" s="268"/>
      <c r="D36" s="268"/>
      <c r="E36" s="268"/>
      <c r="F36" s="268"/>
      <c r="G36" s="269">
        <v>4285839.6333333328</v>
      </c>
      <c r="H36" s="269">
        <v>1409815.66</v>
      </c>
      <c r="I36" s="269">
        <v>353159.88166666665</v>
      </c>
      <c r="J36" s="269">
        <v>1063450.68</v>
      </c>
      <c r="K36" s="269">
        <v>1474651.64</v>
      </c>
      <c r="L36" s="269">
        <v>4301077.8616666663</v>
      </c>
      <c r="M36" s="269">
        <v>2949303.28</v>
      </c>
      <c r="N36" s="269">
        <v>1607370.22</v>
      </c>
      <c r="O36" s="269">
        <v>4556673.5</v>
      </c>
      <c r="P36" s="270">
        <v>5164480.2</v>
      </c>
      <c r="Q36" s="271">
        <v>5505336.2999999998</v>
      </c>
      <c r="R36" s="301">
        <f>R38</f>
        <v>368662.91</v>
      </c>
      <c r="S36" s="302">
        <f>S38</f>
        <v>2580640.35</v>
      </c>
      <c r="T36" s="302">
        <f>T38</f>
        <v>1607370.19</v>
      </c>
      <c r="U36" s="302">
        <f t="shared" si="1"/>
        <v>4556673.45</v>
      </c>
      <c r="V36" s="265">
        <f t="shared" si="0"/>
        <v>-4.9999999813735485E-2</v>
      </c>
    </row>
    <row r="37" spans="1:22" x14ac:dyDescent="0.2">
      <c r="A37" s="250"/>
      <c r="B37" s="278"/>
      <c r="C37" s="268"/>
      <c r="D37" s="268"/>
      <c r="E37" s="268"/>
      <c r="F37" s="268"/>
      <c r="G37" s="273"/>
      <c r="H37" s="273"/>
      <c r="I37" s="273"/>
      <c r="J37" s="273"/>
      <c r="K37" s="273"/>
      <c r="L37" s="273"/>
      <c r="M37" s="273"/>
      <c r="N37" s="273"/>
      <c r="O37" s="273"/>
      <c r="P37" s="274"/>
      <c r="Q37" s="275"/>
      <c r="R37" s="303"/>
      <c r="S37" s="304"/>
      <c r="T37" s="304"/>
      <c r="U37" s="304"/>
      <c r="V37" s="265">
        <f t="shared" si="0"/>
        <v>0</v>
      </c>
    </row>
    <row r="38" spans="1:22" x14ac:dyDescent="0.2">
      <c r="A38" s="250"/>
      <c r="B38" s="278" t="s">
        <v>265</v>
      </c>
      <c r="C38" s="268"/>
      <c r="D38" s="268"/>
      <c r="E38" s="268"/>
      <c r="F38" s="268"/>
      <c r="G38" s="273">
        <v>4285839.5999999996</v>
      </c>
      <c r="H38" s="273">
        <v>1409815.66</v>
      </c>
      <c r="I38" s="273">
        <v>353159.88166666665</v>
      </c>
      <c r="J38" s="273">
        <v>1063450.68</v>
      </c>
      <c r="K38" s="273">
        <v>1474651.64</v>
      </c>
      <c r="L38" s="273">
        <v>4301077.8616666663</v>
      </c>
      <c r="M38" s="273">
        <v>2949303.28</v>
      </c>
      <c r="N38" s="273">
        <v>1607370.22</v>
      </c>
      <c r="O38" s="273">
        <v>4556673.5</v>
      </c>
      <c r="P38" s="274">
        <v>5164480.2</v>
      </c>
      <c r="Q38" s="275">
        <v>5505336.2999999998</v>
      </c>
      <c r="R38" s="303">
        <f>ROUND('14.10.22'!K187*2/12,2)</f>
        <v>368662.91</v>
      </c>
      <c r="S38" s="304">
        <f>ROUND(S16*2/12*7,2)</f>
        <v>2580640.35</v>
      </c>
      <c r="T38" s="304">
        <f>ROUND(T16*2/12*4,2)</f>
        <v>1607370.19</v>
      </c>
      <c r="U38" s="304">
        <f t="shared" si="1"/>
        <v>4556673.45</v>
      </c>
      <c r="V38" s="265">
        <f t="shared" si="0"/>
        <v>-4.9999999813735485E-2</v>
      </c>
    </row>
    <row r="39" spans="1:22" x14ac:dyDescent="0.2">
      <c r="A39" s="250"/>
      <c r="B39" s="278"/>
      <c r="C39" s="268"/>
      <c r="D39" s="268"/>
      <c r="E39" s="268"/>
      <c r="F39" s="268"/>
      <c r="G39" s="273"/>
      <c r="H39" s="273"/>
      <c r="I39" s="273"/>
      <c r="J39" s="273"/>
      <c r="K39" s="273"/>
      <c r="L39" s="273"/>
      <c r="M39" s="273"/>
      <c r="N39" s="273"/>
      <c r="O39" s="273"/>
      <c r="P39" s="274"/>
      <c r="Q39" s="275"/>
      <c r="R39" s="303"/>
      <c r="S39" s="304"/>
      <c r="T39" s="304"/>
      <c r="U39" s="304"/>
      <c r="V39" s="265">
        <f t="shared" si="0"/>
        <v>0</v>
      </c>
    </row>
    <row r="40" spans="1:22" ht="13.5" x14ac:dyDescent="0.25">
      <c r="A40" s="250"/>
      <c r="B40" s="276" t="s">
        <v>266</v>
      </c>
      <c r="C40" s="268"/>
      <c r="D40" s="268"/>
      <c r="E40" s="268"/>
      <c r="F40" s="268"/>
      <c r="G40" s="269">
        <v>6428759.4499999993</v>
      </c>
      <c r="H40" s="269">
        <v>2114723.4899999998</v>
      </c>
      <c r="I40" s="269">
        <v>529739.82250000001</v>
      </c>
      <c r="J40" s="269">
        <v>1595176.02</v>
      </c>
      <c r="K40" s="269">
        <v>2211977.46</v>
      </c>
      <c r="L40" s="269">
        <v>6451616.7924999995</v>
      </c>
      <c r="M40" s="269">
        <v>4423954.92</v>
      </c>
      <c r="N40" s="269">
        <v>2411055.33</v>
      </c>
      <c r="O40" s="269">
        <v>6835010.25</v>
      </c>
      <c r="P40" s="270">
        <v>7746720.2999999998</v>
      </c>
      <c r="Q40" s="271">
        <v>8258004.4500000002</v>
      </c>
      <c r="R40" s="301">
        <f>R43</f>
        <v>552994.37</v>
      </c>
      <c r="S40" s="302">
        <f>S43</f>
        <v>3870960.52</v>
      </c>
      <c r="T40" s="302">
        <f>T43</f>
        <v>2411055.29</v>
      </c>
      <c r="U40" s="302">
        <f t="shared" si="1"/>
        <v>6835010.1800000006</v>
      </c>
      <c r="V40" s="265">
        <f t="shared" si="0"/>
        <v>-6.9999999366700649E-2</v>
      </c>
    </row>
    <row r="41" spans="1:22" ht="13.5" x14ac:dyDescent="0.25">
      <c r="A41" s="250"/>
      <c r="B41" s="276" t="s">
        <v>267</v>
      </c>
      <c r="C41" s="268"/>
      <c r="D41" s="268"/>
      <c r="E41" s="268"/>
      <c r="F41" s="268"/>
      <c r="G41" s="273"/>
      <c r="H41" s="273"/>
      <c r="I41" s="273"/>
      <c r="J41" s="273"/>
      <c r="K41" s="273"/>
      <c r="L41" s="273"/>
      <c r="M41" s="273"/>
      <c r="N41" s="273"/>
      <c r="O41" s="273"/>
      <c r="P41" s="274"/>
      <c r="Q41" s="275"/>
      <c r="R41" s="303"/>
      <c r="S41" s="304"/>
      <c r="T41" s="304"/>
      <c r="U41" s="304"/>
      <c r="V41" s="265">
        <f t="shared" si="0"/>
        <v>0</v>
      </c>
    </row>
    <row r="42" spans="1:22" x14ac:dyDescent="0.2">
      <c r="A42" s="250"/>
      <c r="B42" s="278"/>
      <c r="C42" s="268"/>
      <c r="D42" s="268"/>
      <c r="E42" s="268"/>
      <c r="F42" s="268"/>
      <c r="G42" s="273"/>
      <c r="H42" s="273"/>
      <c r="I42" s="273"/>
      <c r="J42" s="273"/>
      <c r="K42" s="273"/>
      <c r="L42" s="273"/>
      <c r="M42" s="273"/>
      <c r="N42" s="273"/>
      <c r="O42" s="273"/>
      <c r="P42" s="274"/>
      <c r="Q42" s="275"/>
      <c r="R42" s="303"/>
      <c r="S42" s="304"/>
      <c r="T42" s="304"/>
      <c r="U42" s="304"/>
      <c r="V42" s="265">
        <f t="shared" si="0"/>
        <v>0</v>
      </c>
    </row>
    <row r="43" spans="1:22" x14ac:dyDescent="0.2">
      <c r="A43" s="250"/>
      <c r="B43" s="278" t="s">
        <v>260</v>
      </c>
      <c r="C43" s="268"/>
      <c r="D43" s="268"/>
      <c r="E43" s="268"/>
      <c r="F43" s="268"/>
      <c r="G43" s="273">
        <v>6428759.4499999993</v>
      </c>
      <c r="H43" s="273">
        <v>2114723.4899999998</v>
      </c>
      <c r="I43" s="273">
        <v>529739.82250000001</v>
      </c>
      <c r="J43" s="273">
        <v>1595176.02</v>
      </c>
      <c r="K43" s="273">
        <v>2211977.46</v>
      </c>
      <c r="L43" s="273">
        <v>6451616.7924999995</v>
      </c>
      <c r="M43" s="273">
        <v>4423954.92</v>
      </c>
      <c r="N43" s="273">
        <v>2411055.33</v>
      </c>
      <c r="O43" s="273">
        <v>6835010.25</v>
      </c>
      <c r="P43" s="274">
        <v>7746720.2999999998</v>
      </c>
      <c r="Q43" s="275">
        <v>8258004.4500000002</v>
      </c>
      <c r="R43" s="303">
        <f>ROUND('14.10.22'!K187*3/12,2)</f>
        <v>552994.37</v>
      </c>
      <c r="S43" s="304">
        <f>ROUND(S16*3/12*7,2)</f>
        <v>3870960.52</v>
      </c>
      <c r="T43" s="304">
        <f>ROUND(T16*3/12*4,2)</f>
        <v>2411055.29</v>
      </c>
      <c r="U43" s="304">
        <f>T43+S43+R43</f>
        <v>6835010.1800000006</v>
      </c>
      <c r="V43" s="265">
        <f t="shared" si="0"/>
        <v>-6.9999999366700649E-2</v>
      </c>
    </row>
    <row r="44" spans="1:22" ht="13.5" thickBot="1" x14ac:dyDescent="0.25">
      <c r="A44" s="250"/>
      <c r="B44" s="278"/>
      <c r="C44" s="268"/>
      <c r="D44" s="268"/>
      <c r="E44" s="268"/>
      <c r="F44" s="268"/>
      <c r="G44" s="273"/>
      <c r="H44" s="273"/>
      <c r="I44" s="273"/>
      <c r="J44" s="273"/>
      <c r="K44" s="273"/>
      <c r="L44" s="273"/>
      <c r="M44" s="273"/>
      <c r="N44" s="273"/>
      <c r="O44" s="273"/>
      <c r="P44" s="274"/>
      <c r="Q44" s="275"/>
      <c r="R44" s="303"/>
      <c r="S44" s="304"/>
      <c r="T44" s="304"/>
      <c r="U44" s="304"/>
      <c r="V44" s="265">
        <f t="shared" si="0"/>
        <v>0</v>
      </c>
    </row>
    <row r="45" spans="1:22" s="284" customFormat="1" ht="15" x14ac:dyDescent="0.25">
      <c r="A45" s="281" t="s">
        <v>268</v>
      </c>
      <c r="B45" s="477" t="s">
        <v>269</v>
      </c>
      <c r="C45" s="477"/>
      <c r="D45" s="477"/>
      <c r="E45" s="477"/>
      <c r="F45" s="477"/>
      <c r="G45" s="282">
        <v>32066428.664733324</v>
      </c>
      <c r="H45" s="282">
        <f>H10*30.2%</f>
        <v>10548167.262333332</v>
      </c>
      <c r="I45" s="282">
        <f>I10*30.2%</f>
        <v>2644770.3881833334</v>
      </c>
      <c r="J45" s="282">
        <f>J12*30.2%</f>
        <v>7964292.4787999997</v>
      </c>
      <c r="K45" s="282">
        <f>K10*30.2%</f>
        <v>11043819.118960001</v>
      </c>
      <c r="L45" s="282">
        <f t="shared" ref="L45" si="2">H45+I45+J45+K45</f>
        <v>32201049.248276666</v>
      </c>
      <c r="M45" s="282">
        <v>22087638.239999998</v>
      </c>
      <c r="N45" s="282">
        <v>12037762.300000001</v>
      </c>
      <c r="O45" s="282">
        <v>34125400.539999999</v>
      </c>
      <c r="P45" s="282">
        <v>38677327.904399998</v>
      </c>
      <c r="Q45" s="283">
        <v>41230034.637000002</v>
      </c>
      <c r="R45" s="305">
        <f>R10*0.302</f>
        <v>2760954.7797400001</v>
      </c>
      <c r="S45" s="306">
        <f>S10*0.302</f>
        <v>19326683.283020001</v>
      </c>
      <c r="T45" s="306">
        <f>T10*0.302</f>
        <v>12037762.09578</v>
      </c>
      <c r="U45" s="306">
        <f t="shared" si="1"/>
        <v>34125400.158540003</v>
      </c>
      <c r="V45" s="265">
        <f t="shared" si="0"/>
        <v>-0.38145999610424042</v>
      </c>
    </row>
    <row r="46" spans="1:22" s="284" customFormat="1" ht="15.75" thickBot="1" x14ac:dyDescent="0.3">
      <c r="A46" s="285" t="s">
        <v>270</v>
      </c>
      <c r="B46" s="478" t="s">
        <v>271</v>
      </c>
      <c r="C46" s="478"/>
      <c r="D46" s="478"/>
      <c r="E46" s="478"/>
      <c r="F46" s="478"/>
      <c r="G46" s="286">
        <v>138246656.03139997</v>
      </c>
      <c r="H46" s="286">
        <f>H45+H10</f>
        <v>45475873.428999998</v>
      </c>
      <c r="I46" s="286">
        <f>I45+I10</f>
        <v>11402288.22985</v>
      </c>
      <c r="J46" s="286">
        <f>J10+J45</f>
        <v>34336121.878799997</v>
      </c>
      <c r="K46" s="286">
        <f>K10+K45</f>
        <v>47612756.598960005</v>
      </c>
      <c r="L46" s="286">
        <f>H46+I46+J46+K46</f>
        <v>138827040.13661</v>
      </c>
      <c r="M46" s="286">
        <v>95225513.200000003</v>
      </c>
      <c r="N46" s="286">
        <v>51897902.359999999</v>
      </c>
      <c r="O46" s="286">
        <v>147123415.56</v>
      </c>
      <c r="P46" s="286">
        <v>166747950.10439998</v>
      </c>
      <c r="Q46" s="287">
        <v>177753328.13699999</v>
      </c>
      <c r="R46" s="307">
        <f>R10+R45</f>
        <v>11903189.149740001</v>
      </c>
      <c r="S46" s="308">
        <f>S10+S45</f>
        <v>83322323.29302001</v>
      </c>
      <c r="T46" s="308">
        <f>T10+T45</f>
        <v>51897901.485780001</v>
      </c>
      <c r="U46" s="308">
        <f t="shared" si="1"/>
        <v>147123413.92854002</v>
      </c>
      <c r="V46" s="265">
        <f t="shared" si="0"/>
        <v>-1.6314599812030792</v>
      </c>
    </row>
    <row r="47" spans="1:22" ht="14.25" x14ac:dyDescent="0.2">
      <c r="G47" s="288">
        <v>138982.39999999999</v>
      </c>
      <c r="H47" s="288">
        <f>G47-G48</f>
        <v>735.74396860002889</v>
      </c>
      <c r="I47" s="288"/>
      <c r="J47" s="288"/>
      <c r="K47" s="288"/>
      <c r="L47" s="288"/>
      <c r="M47" s="288"/>
      <c r="N47" s="288"/>
      <c r="O47" s="288"/>
      <c r="P47" s="288"/>
      <c r="Q47" s="288"/>
      <c r="R47" s="288"/>
      <c r="S47" s="288"/>
      <c r="T47" s="288"/>
      <c r="U47" s="288"/>
    </row>
    <row r="48" spans="1:22" ht="14.25" x14ac:dyDescent="0.2">
      <c r="G48" s="288">
        <f>G46/1000</f>
        <v>138246.65603139997</v>
      </c>
      <c r="H48" s="288"/>
      <c r="I48" s="288"/>
      <c r="J48" s="288"/>
      <c r="K48" s="288"/>
      <c r="L48" s="288"/>
      <c r="M48" s="288"/>
      <c r="N48" s="288"/>
      <c r="O48" s="288"/>
      <c r="P48" s="288"/>
      <c r="Q48" s="288"/>
      <c r="R48" s="288"/>
      <c r="S48" s="288"/>
      <c r="T48" s="288"/>
      <c r="U48" s="288"/>
    </row>
    <row r="49" spans="7:21" x14ac:dyDescent="0.2">
      <c r="M49" s="289"/>
      <c r="N49" s="289"/>
      <c r="O49" s="289"/>
      <c r="P49" s="289"/>
      <c r="Q49" s="289"/>
      <c r="R49" s="289"/>
      <c r="S49" s="289"/>
      <c r="T49" s="289"/>
      <c r="U49" s="289"/>
    </row>
    <row r="50" spans="7:21" x14ac:dyDescent="0.2">
      <c r="G50" s="244" t="s">
        <v>272</v>
      </c>
      <c r="H50" s="244" t="s">
        <v>273</v>
      </c>
      <c r="I50" s="244" t="s">
        <v>274</v>
      </c>
      <c r="J50" s="244" t="s">
        <v>275</v>
      </c>
      <c r="M50" s="289"/>
      <c r="N50" s="289"/>
      <c r="O50" s="289"/>
      <c r="P50" s="289"/>
      <c r="Q50" s="289"/>
      <c r="R50" s="289"/>
      <c r="S50" s="289"/>
      <c r="T50" s="289"/>
      <c r="U50" s="289"/>
    </row>
    <row r="51" spans="7:21" x14ac:dyDescent="0.2">
      <c r="G51" s="291">
        <v>42</v>
      </c>
      <c r="H51" s="289">
        <v>11913.2</v>
      </c>
      <c r="I51" s="289">
        <v>12389.73</v>
      </c>
      <c r="J51" s="289">
        <v>13504.805700000001</v>
      </c>
      <c r="K51" s="289">
        <v>500354.4</v>
      </c>
      <c r="L51" s="289">
        <v>520368.66</v>
      </c>
      <c r="M51" s="289">
        <v>567201.83940000006</v>
      </c>
      <c r="N51" s="289"/>
      <c r="O51" s="289"/>
      <c r="P51" s="289"/>
      <c r="Q51" s="289"/>
      <c r="R51" s="289"/>
      <c r="S51" s="289">
        <v>567201.83940000006</v>
      </c>
      <c r="T51" s="289"/>
      <c r="U51" s="289"/>
    </row>
    <row r="52" spans="7:21" x14ac:dyDescent="0.2">
      <c r="G52" s="291">
        <v>50</v>
      </c>
      <c r="H52" s="289">
        <v>14825.32</v>
      </c>
      <c r="I52" s="289">
        <v>15418.33</v>
      </c>
      <c r="J52" s="289">
        <v>16805.9797</v>
      </c>
      <c r="K52" s="289">
        <v>741266</v>
      </c>
      <c r="L52" s="289">
        <v>770916.5</v>
      </c>
      <c r="M52" s="289">
        <v>840298.98499999999</v>
      </c>
      <c r="S52" s="289">
        <v>840298.98499999999</v>
      </c>
    </row>
    <row r="53" spans="7:21" x14ac:dyDescent="0.2">
      <c r="K53" s="289">
        <v>240911.59999999998</v>
      </c>
      <c r="L53" s="289">
        <v>250547.84000000003</v>
      </c>
      <c r="M53" s="289">
        <v>273097.14559999993</v>
      </c>
      <c r="S53" s="289">
        <v>273097.14559999993</v>
      </c>
    </row>
    <row r="54" spans="7:21" x14ac:dyDescent="0.2">
      <c r="M54" s="290"/>
      <c r="N54" s="290"/>
      <c r="O54" s="290"/>
      <c r="P54" s="290"/>
      <c r="Q54" s="290"/>
      <c r="R54" s="290"/>
      <c r="S54" s="290"/>
      <c r="T54" s="290"/>
      <c r="U54" s="290"/>
    </row>
  </sheetData>
  <mergeCells count="11">
    <mergeCell ref="R6:U7"/>
    <mergeCell ref="B9:F9"/>
    <mergeCell ref="B45:F45"/>
    <mergeCell ref="B46:F46"/>
    <mergeCell ref="A3:Q3"/>
    <mergeCell ref="B6:F8"/>
    <mergeCell ref="G6:G8"/>
    <mergeCell ref="H6:L7"/>
    <mergeCell ref="M6:O7"/>
    <mergeCell ref="P6:P8"/>
    <mergeCell ref="Q6:Q8"/>
  </mergeCells>
  <pageMargins left="0.25" right="0.25" top="0.75" bottom="0.75" header="0.3" footer="0.3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workbookViewId="0">
      <selection activeCell="E28" sqref="E28"/>
    </sheetView>
  </sheetViews>
  <sheetFormatPr defaultRowHeight="12.75" x14ac:dyDescent="0.2"/>
  <cols>
    <col min="1" max="1" width="26.85546875" customWidth="1"/>
    <col min="2" max="2" width="29.28515625" customWidth="1"/>
    <col min="3" max="3" width="4.85546875" customWidth="1"/>
    <col min="5" max="5" width="20.42578125" customWidth="1"/>
    <col min="6" max="6" width="7.85546875" customWidth="1"/>
    <col min="7" max="7" width="8.85546875" bestFit="1" customWidth="1"/>
    <col min="10" max="10" width="11.28515625" customWidth="1"/>
    <col min="12" max="12" width="7.85546875" customWidth="1"/>
    <col min="13" max="13" width="9.85546875" bestFit="1" customWidth="1"/>
    <col min="14" max="14" width="11.5703125" customWidth="1"/>
    <col min="15" max="15" width="9.85546875" bestFit="1" customWidth="1"/>
    <col min="16" max="16" width="12" bestFit="1" customWidth="1"/>
  </cols>
  <sheetData>
    <row r="1" spans="1:16" ht="89.25" x14ac:dyDescent="0.2">
      <c r="A1" s="50" t="s">
        <v>7</v>
      </c>
      <c r="B1" s="50" t="s">
        <v>9</v>
      </c>
      <c r="C1" s="50" t="s">
        <v>10</v>
      </c>
      <c r="D1" s="50" t="s">
        <v>11</v>
      </c>
      <c r="E1" s="52" t="s">
        <v>14</v>
      </c>
      <c r="F1" s="53" t="s">
        <v>15</v>
      </c>
      <c r="G1" s="55" t="s">
        <v>17</v>
      </c>
      <c r="H1" s="53" t="s">
        <v>18</v>
      </c>
      <c r="I1" s="53" t="s">
        <v>19</v>
      </c>
      <c r="J1" s="56" t="s">
        <v>20</v>
      </c>
      <c r="K1" s="55" t="s">
        <v>21</v>
      </c>
      <c r="L1" s="53" t="s">
        <v>22</v>
      </c>
      <c r="M1" s="55" t="s">
        <v>20</v>
      </c>
      <c r="N1" s="56" t="s">
        <v>23</v>
      </c>
      <c r="O1" s="55" t="s">
        <v>24</v>
      </c>
    </row>
    <row r="2" spans="1:16" ht="25.5" x14ac:dyDescent="0.2">
      <c r="A2" s="71" t="s">
        <v>164</v>
      </c>
      <c r="B2" s="93"/>
      <c r="C2" s="93"/>
      <c r="D2" s="232"/>
      <c r="E2" s="93"/>
      <c r="F2" s="93"/>
      <c r="G2" s="93"/>
      <c r="H2" s="130">
        <v>1.1399999999999999</v>
      </c>
      <c r="I2" s="93"/>
      <c r="J2" s="184"/>
      <c r="K2" s="93"/>
      <c r="L2" s="130"/>
      <c r="M2" s="93"/>
      <c r="N2" s="184"/>
      <c r="O2" s="93"/>
    </row>
    <row r="3" spans="1:16" x14ac:dyDescent="0.2">
      <c r="A3" s="102"/>
      <c r="B3" s="87" t="s">
        <v>133</v>
      </c>
      <c r="C3" s="72">
        <v>1</v>
      </c>
      <c r="D3" s="74">
        <v>20649.54</v>
      </c>
      <c r="E3" s="75" t="s">
        <v>165</v>
      </c>
      <c r="F3" s="83">
        <v>30</v>
      </c>
      <c r="G3" s="78">
        <v>6194.86</v>
      </c>
      <c r="H3" s="78">
        <v>23540.48</v>
      </c>
      <c r="I3" s="78">
        <v>29735.337599999999</v>
      </c>
      <c r="J3" s="79">
        <v>80120.217600000004</v>
      </c>
      <c r="K3" s="78">
        <v>5162.3900000000003</v>
      </c>
      <c r="L3" s="78">
        <v>1.44</v>
      </c>
      <c r="M3" s="78">
        <v>85282.607600000003</v>
      </c>
      <c r="N3" s="79">
        <v>69704.589311999996</v>
      </c>
      <c r="O3" s="78">
        <v>74195.868612000006</v>
      </c>
      <c r="P3" s="78">
        <f>M3*3</f>
        <v>255847.82280000002</v>
      </c>
    </row>
    <row r="4" spans="1:16" x14ac:dyDescent="0.2">
      <c r="A4" s="102"/>
      <c r="B4" s="131" t="s">
        <v>90</v>
      </c>
      <c r="C4" s="72">
        <v>1</v>
      </c>
      <c r="D4" s="74">
        <v>16519.63</v>
      </c>
      <c r="E4" s="105" t="s">
        <v>166</v>
      </c>
      <c r="F4" s="83">
        <v>30</v>
      </c>
      <c r="G4" s="78">
        <v>4955.8900000000003</v>
      </c>
      <c r="H4" s="78">
        <v>18832.38</v>
      </c>
      <c r="I4" s="78">
        <v>16354.433700000001</v>
      </c>
      <c r="J4" s="79">
        <v>56662.333700000003</v>
      </c>
      <c r="K4" s="78">
        <v>4129.91</v>
      </c>
      <c r="L4" s="78">
        <v>0.99</v>
      </c>
      <c r="M4" s="78">
        <v>60792.243700000006</v>
      </c>
      <c r="N4" s="79">
        <v>49296.230319000002</v>
      </c>
      <c r="O4" s="78">
        <v>52889.252019000007</v>
      </c>
      <c r="P4" s="78">
        <f t="shared" ref="P4:P7" si="0">M4*3</f>
        <v>182376.73110000003</v>
      </c>
    </row>
    <row r="5" spans="1:16" x14ac:dyDescent="0.2">
      <c r="A5" s="102"/>
      <c r="B5" s="107" t="s">
        <v>48</v>
      </c>
      <c r="C5" s="109">
        <v>1</v>
      </c>
      <c r="D5" s="74">
        <v>13766.34</v>
      </c>
      <c r="E5" s="105" t="s">
        <v>167</v>
      </c>
      <c r="F5" s="83">
        <v>30</v>
      </c>
      <c r="G5" s="78">
        <v>4129.8999999999996</v>
      </c>
      <c r="H5" s="78">
        <v>15693.63</v>
      </c>
      <c r="I5" s="78">
        <v>12252.042600000001</v>
      </c>
      <c r="J5" s="79">
        <v>45841.912599999996</v>
      </c>
      <c r="K5" s="78">
        <v>3441.59</v>
      </c>
      <c r="L5" s="78">
        <v>0.89</v>
      </c>
      <c r="M5" s="78">
        <v>49283.502599999993</v>
      </c>
      <c r="N5" s="79">
        <v>39882.463961999994</v>
      </c>
      <c r="O5" s="78">
        <v>42876.647261999991</v>
      </c>
      <c r="P5" s="78">
        <f t="shared" si="0"/>
        <v>147850.50779999996</v>
      </c>
    </row>
    <row r="6" spans="1:16" ht="25.5" x14ac:dyDescent="0.2">
      <c r="A6" s="102"/>
      <c r="B6" s="131" t="s">
        <v>136</v>
      </c>
      <c r="C6" s="109">
        <v>1</v>
      </c>
      <c r="D6" s="74">
        <v>16519.63</v>
      </c>
      <c r="E6" s="105" t="s">
        <v>168</v>
      </c>
      <c r="F6" s="83">
        <v>30</v>
      </c>
      <c r="G6" s="78">
        <v>4955.8900000000003</v>
      </c>
      <c r="H6" s="78">
        <v>18832.38</v>
      </c>
      <c r="I6" s="78">
        <v>16354.433700000001</v>
      </c>
      <c r="J6" s="79">
        <v>56662.333700000003</v>
      </c>
      <c r="K6" s="78">
        <v>4129.91</v>
      </c>
      <c r="L6" s="78">
        <v>0.99</v>
      </c>
      <c r="M6" s="78">
        <v>60792.243700000006</v>
      </c>
      <c r="N6" s="79">
        <v>49296.230319000002</v>
      </c>
      <c r="O6" s="78">
        <v>52889.252019000007</v>
      </c>
      <c r="P6" s="78">
        <f t="shared" si="0"/>
        <v>182376.73110000003</v>
      </c>
    </row>
    <row r="7" spans="1:16" x14ac:dyDescent="0.2">
      <c r="A7" s="102"/>
      <c r="B7" s="107" t="s">
        <v>138</v>
      </c>
      <c r="C7" s="109">
        <v>1</v>
      </c>
      <c r="D7" s="74">
        <v>12389.73</v>
      </c>
      <c r="E7" s="105" t="s">
        <v>169</v>
      </c>
      <c r="F7" s="76">
        <v>0</v>
      </c>
      <c r="G7" s="78">
        <v>0</v>
      </c>
      <c r="H7" s="78">
        <v>14124.29</v>
      </c>
      <c r="I7" s="78">
        <v>6690.4542000000001</v>
      </c>
      <c r="J7" s="79">
        <v>33204.474199999997</v>
      </c>
      <c r="K7" s="78">
        <v>3097.43</v>
      </c>
      <c r="L7" s="78">
        <v>0.54</v>
      </c>
      <c r="M7" s="78">
        <v>36301.904199999997</v>
      </c>
      <c r="N7" s="79">
        <v>28887.892553999998</v>
      </c>
      <c r="O7" s="78">
        <v>31582.656653999999</v>
      </c>
      <c r="P7" s="78">
        <f t="shared" si="0"/>
        <v>108905.7126</v>
      </c>
    </row>
    <row r="8" spans="1:16" x14ac:dyDescent="0.2">
      <c r="A8" s="107"/>
      <c r="B8" s="181" t="s">
        <v>140</v>
      </c>
      <c r="C8" s="111">
        <v>5</v>
      </c>
      <c r="D8" s="90">
        <f>SUM(D3:D7)</f>
        <v>79844.87</v>
      </c>
      <c r="E8" s="90"/>
      <c r="F8" s="90"/>
      <c r="G8" s="90">
        <f>SUM(G3:G7)</f>
        <v>20236.54</v>
      </c>
      <c r="H8" s="90">
        <f t="shared" ref="H8:P8" si="1">SUM(H3:H7)</f>
        <v>91023.16</v>
      </c>
      <c r="I8" s="90">
        <f t="shared" si="1"/>
        <v>81386.70180000001</v>
      </c>
      <c r="J8" s="90">
        <f t="shared" si="1"/>
        <v>272491.27179999999</v>
      </c>
      <c r="K8" s="90">
        <f t="shared" si="1"/>
        <v>19961.23</v>
      </c>
      <c r="L8" s="90">
        <f t="shared" si="1"/>
        <v>4.8499999999999996</v>
      </c>
      <c r="M8" s="90">
        <f t="shared" si="1"/>
        <v>292452.50179999997</v>
      </c>
      <c r="N8" s="90">
        <f t="shared" si="1"/>
        <v>237067.40646599996</v>
      </c>
      <c r="O8" s="90">
        <f t="shared" si="1"/>
        <v>254433.67656600001</v>
      </c>
      <c r="P8" s="90">
        <f t="shared" si="1"/>
        <v>877357.50539999991</v>
      </c>
    </row>
    <row r="10" spans="1:16" x14ac:dyDescent="0.2">
      <c r="A10" s="71"/>
      <c r="B10" s="93"/>
      <c r="C10" s="93"/>
      <c r="D10" s="232"/>
      <c r="E10" s="93"/>
      <c r="F10" s="93"/>
      <c r="G10" s="93"/>
      <c r="H10" s="130"/>
      <c r="I10" s="93"/>
      <c r="J10" s="184"/>
      <c r="K10" s="93"/>
      <c r="L10" s="130"/>
      <c r="M10" s="93"/>
      <c r="N10" s="184"/>
      <c r="O10" s="93"/>
    </row>
    <row r="11" spans="1:16" x14ac:dyDescent="0.2">
      <c r="A11" s="102"/>
      <c r="B11" s="87" t="s">
        <v>90</v>
      </c>
      <c r="C11" s="72">
        <v>1</v>
      </c>
      <c r="D11" s="74">
        <v>16519.63</v>
      </c>
      <c r="E11" s="75"/>
      <c r="F11" s="83">
        <v>30</v>
      </c>
      <c r="G11" s="78">
        <v>4955.8900000000003</v>
      </c>
      <c r="H11" s="78">
        <v>18832.38</v>
      </c>
      <c r="I11" s="78">
        <v>16354.433700000001</v>
      </c>
      <c r="J11" s="79">
        <v>56662.333700000003</v>
      </c>
      <c r="K11" s="78">
        <v>4129.91</v>
      </c>
      <c r="L11" s="78">
        <v>0.99</v>
      </c>
      <c r="M11" s="78">
        <v>60792.243700000006</v>
      </c>
      <c r="N11" s="79">
        <v>49296.230319000002</v>
      </c>
      <c r="O11" s="78">
        <v>52889.252019000007</v>
      </c>
      <c r="P11" s="74">
        <f>M11*3</f>
        <v>182376.73110000003</v>
      </c>
    </row>
    <row r="12" spans="1:16" x14ac:dyDescent="0.2">
      <c r="A12" s="102"/>
      <c r="B12" s="131" t="s">
        <v>48</v>
      </c>
      <c r="C12" s="72">
        <v>1</v>
      </c>
      <c r="D12" s="74">
        <v>13766.34</v>
      </c>
      <c r="E12" s="105"/>
      <c r="F12" s="83">
        <v>30</v>
      </c>
      <c r="G12" s="78">
        <v>4129.8999999999996</v>
      </c>
      <c r="H12" s="78">
        <v>15693.63</v>
      </c>
      <c r="I12" s="78">
        <v>12252.042600000001</v>
      </c>
      <c r="J12" s="79">
        <v>45841.912599999996</v>
      </c>
      <c r="K12" s="78">
        <v>3441.59</v>
      </c>
      <c r="L12" s="78">
        <v>0.89</v>
      </c>
      <c r="M12" s="78">
        <v>49283.502599999993</v>
      </c>
      <c r="N12" s="79">
        <v>39882.463961999994</v>
      </c>
      <c r="O12" s="78">
        <v>42876.647261999991</v>
      </c>
      <c r="P12" s="74">
        <f t="shared" ref="P12:P15" si="2">M12*3</f>
        <v>147850.50779999996</v>
      </c>
    </row>
    <row r="13" spans="1:16" ht="25.5" x14ac:dyDescent="0.2">
      <c r="A13" s="102"/>
      <c r="B13" s="131" t="s">
        <v>136</v>
      </c>
      <c r="C13" s="109">
        <v>1</v>
      </c>
      <c r="D13" s="74">
        <v>16519.63</v>
      </c>
      <c r="E13" s="105"/>
      <c r="F13" s="83">
        <v>30</v>
      </c>
      <c r="G13" s="78">
        <v>4955.8900000000003</v>
      </c>
      <c r="H13" s="78">
        <v>18832.38</v>
      </c>
      <c r="I13" s="78">
        <v>16354.433700000001</v>
      </c>
      <c r="J13" s="79">
        <v>56662.333700000003</v>
      </c>
      <c r="K13" s="78">
        <v>4129.91</v>
      </c>
      <c r="L13" s="78">
        <v>0.99</v>
      </c>
      <c r="M13" s="78">
        <v>60792.243700000006</v>
      </c>
      <c r="N13" s="79">
        <v>49296.230319000002</v>
      </c>
      <c r="O13" s="78">
        <v>52889.252019000007</v>
      </c>
      <c r="P13" s="74">
        <f t="shared" si="2"/>
        <v>182376.73110000003</v>
      </c>
    </row>
    <row r="14" spans="1:16" x14ac:dyDescent="0.2">
      <c r="A14" s="102"/>
      <c r="B14" s="131" t="s">
        <v>48</v>
      </c>
      <c r="C14" s="109">
        <v>1</v>
      </c>
      <c r="D14" s="74">
        <v>13766.34</v>
      </c>
      <c r="E14" s="105"/>
      <c r="F14" s="83">
        <v>30</v>
      </c>
      <c r="G14" s="78">
        <v>4129.8999999999996</v>
      </c>
      <c r="H14" s="78">
        <v>15693.63</v>
      </c>
      <c r="I14" s="78">
        <v>12252.042600000001</v>
      </c>
      <c r="J14" s="79">
        <v>45841.912599999996</v>
      </c>
      <c r="K14" s="78">
        <v>3441.59</v>
      </c>
      <c r="L14" s="78">
        <v>0.89</v>
      </c>
      <c r="M14" s="78">
        <v>49283.502599999993</v>
      </c>
      <c r="N14" s="79">
        <v>39882.463961999994</v>
      </c>
      <c r="O14" s="78">
        <v>42876.647261999991</v>
      </c>
      <c r="P14" s="74">
        <f t="shared" si="2"/>
        <v>147850.50779999996</v>
      </c>
    </row>
    <row r="15" spans="1:16" x14ac:dyDescent="0.2">
      <c r="B15" s="119" t="s">
        <v>45</v>
      </c>
      <c r="C15" s="73">
        <v>1</v>
      </c>
      <c r="D15" s="74">
        <v>17896.259999999998</v>
      </c>
      <c r="E15" s="75"/>
      <c r="F15" s="83">
        <v>30</v>
      </c>
      <c r="G15" s="78">
        <f>ROUND((D15*F15/100),2)</f>
        <v>5368.88</v>
      </c>
      <c r="H15" s="78">
        <f>ROUND(D15*1.14,2)</f>
        <v>20401.740000000002</v>
      </c>
      <c r="I15" s="78">
        <f>D15*L15</f>
        <v>27560.240399999999</v>
      </c>
      <c r="J15" s="79">
        <f>D15+G15+H15+I15</f>
        <v>71227.1204</v>
      </c>
      <c r="K15" s="78">
        <f>ROUND(D15*Q$13,2)</f>
        <v>0</v>
      </c>
      <c r="L15" s="78">
        <v>1.54</v>
      </c>
      <c r="M15" s="78">
        <f>D15+G15+H15+I15+K15</f>
        <v>71227.1204</v>
      </c>
      <c r="N15" s="79">
        <f>J15*0.87</f>
        <v>61967.594747999996</v>
      </c>
      <c r="O15" s="78">
        <f t="shared" ref="O15" si="3">M15*0.87</f>
        <v>61967.594747999996</v>
      </c>
      <c r="P15" s="74">
        <f t="shared" si="2"/>
        <v>213681.36119999998</v>
      </c>
    </row>
    <row r="16" spans="1:16" x14ac:dyDescent="0.2">
      <c r="J16" s="85">
        <f>SUM(J11:J15)</f>
        <v>276235.61300000001</v>
      </c>
      <c r="K16" s="85">
        <f t="shared" ref="K16:P16" si="4">SUM(K11:K15)</f>
        <v>15143</v>
      </c>
      <c r="L16" s="85">
        <f t="shared" si="4"/>
        <v>5.3000000000000007</v>
      </c>
      <c r="M16" s="85">
        <f t="shared" si="4"/>
        <v>291378.61300000001</v>
      </c>
      <c r="N16" s="85">
        <f t="shared" si="4"/>
        <v>240324.98331000001</v>
      </c>
      <c r="O16" s="85">
        <f t="shared" si="4"/>
        <v>253499.39330999998</v>
      </c>
      <c r="P16" s="85">
        <f t="shared" si="4"/>
        <v>874135.83899999992</v>
      </c>
    </row>
  </sheetData>
  <pageMargins left="0.31496062992125984" right="0.31496062992125984" top="0.35433070866141736" bottom="0.35433070866141736" header="0.31496062992125984" footer="0.31496062992125984"/>
  <pageSetup paperSize="9"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6"/>
  <sheetViews>
    <sheetView topLeftCell="N1" workbookViewId="0">
      <selection activeCell="R13" sqref="R13"/>
    </sheetView>
  </sheetViews>
  <sheetFormatPr defaultColWidth="9.140625" defaultRowHeight="12.75" x14ac:dyDescent="0.2"/>
  <cols>
    <col min="1" max="1" width="53.42578125" style="244" customWidth="1"/>
    <col min="2" max="2" width="0" style="244" hidden="1" customWidth="1"/>
    <col min="3" max="3" width="12.140625" style="244" hidden="1" customWidth="1"/>
    <col min="4" max="4" width="16.140625" style="244" hidden="1" customWidth="1"/>
    <col min="5" max="5" width="10.7109375" style="244" hidden="1" customWidth="1"/>
    <col min="6" max="6" width="13.85546875" style="244" hidden="1" customWidth="1"/>
    <col min="7" max="7" width="15.85546875" style="244" hidden="1" customWidth="1"/>
    <col min="8" max="8" width="11.140625" style="244" hidden="1" customWidth="1"/>
    <col min="9" max="10" width="15.85546875" style="244" hidden="1" customWidth="1"/>
    <col min="11" max="11" width="11.28515625" style="244" hidden="1" customWidth="1"/>
    <col min="12" max="12" width="14.7109375" style="244" hidden="1" customWidth="1"/>
    <col min="13" max="13" width="16.140625" style="244" hidden="1" customWidth="1"/>
    <col min="14" max="14" width="12" style="244" customWidth="1"/>
    <col min="15" max="15" width="14" style="244" customWidth="1"/>
    <col min="16" max="16" width="16" style="244" customWidth="1"/>
    <col min="17" max="17" width="11.28515625" style="244" customWidth="1"/>
    <col min="18" max="18" width="14.7109375" style="244" customWidth="1"/>
    <col min="19" max="21" width="16.140625" style="244" customWidth="1"/>
    <col min="22" max="22" width="12" style="244" customWidth="1"/>
    <col min="23" max="23" width="14" style="244" customWidth="1"/>
    <col min="24" max="24" width="16" style="244" customWidth="1"/>
    <col min="25" max="25" width="12.42578125" style="244" customWidth="1"/>
    <col min="26" max="26" width="16.28515625" style="244" customWidth="1"/>
    <col min="27" max="16384" width="9.140625" style="244"/>
  </cols>
  <sheetData>
    <row r="2" spans="1:26" ht="15.75" x14ac:dyDescent="0.25">
      <c r="A2" s="516" t="s">
        <v>341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</row>
    <row r="3" spans="1:26" ht="15.75" thickBot="1" x14ac:dyDescent="0.3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</row>
    <row r="4" spans="1:26" ht="66" customHeight="1" thickBot="1" x14ac:dyDescent="0.25">
      <c r="A4" s="517" t="s">
        <v>282</v>
      </c>
      <c r="B4" s="520" t="s">
        <v>328</v>
      </c>
      <c r="C4" s="521"/>
      <c r="D4" s="522"/>
      <c r="E4" s="520" t="s">
        <v>328</v>
      </c>
      <c r="F4" s="521"/>
      <c r="G4" s="522"/>
      <c r="H4" s="520" t="s">
        <v>329</v>
      </c>
      <c r="I4" s="521"/>
      <c r="J4" s="522"/>
      <c r="K4" s="520" t="s">
        <v>330</v>
      </c>
      <c r="L4" s="521"/>
      <c r="M4" s="522"/>
      <c r="N4" s="523" t="s">
        <v>342</v>
      </c>
      <c r="O4" s="524"/>
      <c r="P4" s="525"/>
      <c r="Q4" s="523" t="s">
        <v>343</v>
      </c>
      <c r="R4" s="524"/>
      <c r="S4" s="525"/>
      <c r="T4" s="503" t="s">
        <v>344</v>
      </c>
      <c r="U4" s="504"/>
      <c r="V4" s="523" t="s">
        <v>345</v>
      </c>
      <c r="W4" s="524"/>
      <c r="X4" s="525"/>
      <c r="Y4" s="503" t="s">
        <v>346</v>
      </c>
      <c r="Z4" s="504"/>
    </row>
    <row r="5" spans="1:26" ht="24" customHeight="1" x14ac:dyDescent="0.2">
      <c r="A5" s="518"/>
      <c r="B5" s="514" t="s">
        <v>331</v>
      </c>
      <c r="C5" s="515" t="s">
        <v>332</v>
      </c>
      <c r="D5" s="513" t="s">
        <v>333</v>
      </c>
      <c r="E5" s="514" t="s">
        <v>331</v>
      </c>
      <c r="F5" s="515" t="s">
        <v>334</v>
      </c>
      <c r="G5" s="513" t="s">
        <v>333</v>
      </c>
      <c r="H5" s="514" t="s">
        <v>331</v>
      </c>
      <c r="I5" s="515" t="s">
        <v>335</v>
      </c>
      <c r="J5" s="513" t="s">
        <v>333</v>
      </c>
      <c r="K5" s="514" t="s">
        <v>331</v>
      </c>
      <c r="L5" s="515" t="s">
        <v>335</v>
      </c>
      <c r="M5" s="513" t="s">
        <v>333</v>
      </c>
      <c r="N5" s="505" t="s">
        <v>331</v>
      </c>
      <c r="O5" s="511" t="s">
        <v>335</v>
      </c>
      <c r="P5" s="509" t="s">
        <v>333</v>
      </c>
      <c r="Q5" s="505" t="s">
        <v>331</v>
      </c>
      <c r="R5" s="511" t="s">
        <v>335</v>
      </c>
      <c r="S5" s="509" t="s">
        <v>333</v>
      </c>
      <c r="T5" s="505" t="s">
        <v>331</v>
      </c>
      <c r="U5" s="507" t="s">
        <v>333</v>
      </c>
      <c r="V5" s="505" t="s">
        <v>331</v>
      </c>
      <c r="W5" s="511" t="s">
        <v>335</v>
      </c>
      <c r="X5" s="509" t="s">
        <v>333</v>
      </c>
      <c r="Y5" s="505" t="s">
        <v>331</v>
      </c>
      <c r="Z5" s="507" t="s">
        <v>333</v>
      </c>
    </row>
    <row r="6" spans="1:26" ht="27" customHeight="1" thickBot="1" x14ac:dyDescent="0.25">
      <c r="A6" s="519"/>
      <c r="B6" s="506"/>
      <c r="C6" s="512"/>
      <c r="D6" s="510"/>
      <c r="E6" s="506"/>
      <c r="F6" s="512"/>
      <c r="G6" s="510"/>
      <c r="H6" s="506"/>
      <c r="I6" s="512"/>
      <c r="J6" s="510"/>
      <c r="K6" s="506"/>
      <c r="L6" s="512"/>
      <c r="M6" s="510"/>
      <c r="N6" s="506"/>
      <c r="O6" s="512"/>
      <c r="P6" s="510"/>
      <c r="Q6" s="506"/>
      <c r="R6" s="512"/>
      <c r="S6" s="510"/>
      <c r="T6" s="506"/>
      <c r="U6" s="508"/>
      <c r="V6" s="506"/>
      <c r="W6" s="512"/>
      <c r="X6" s="510"/>
      <c r="Y6" s="506"/>
      <c r="Z6" s="508"/>
    </row>
    <row r="7" spans="1:26" ht="15" x14ac:dyDescent="0.25">
      <c r="A7" s="360" t="s">
        <v>34</v>
      </c>
      <c r="B7" s="361">
        <v>1</v>
      </c>
      <c r="C7" s="362">
        <v>30546.62</v>
      </c>
      <c r="D7" s="363">
        <f>B7*C7</f>
        <v>30546.62</v>
      </c>
      <c r="E7" s="361">
        <v>1</v>
      </c>
      <c r="F7" s="362">
        <v>31768.48</v>
      </c>
      <c r="G7" s="363">
        <f>F7*E7</f>
        <v>31768.48</v>
      </c>
      <c r="H7" s="361">
        <v>1</v>
      </c>
      <c r="I7" s="362">
        <v>30546.62</v>
      </c>
      <c r="J7" s="363">
        <f>I7*H7</f>
        <v>30546.62</v>
      </c>
      <c r="K7" s="361">
        <v>1</v>
      </c>
      <c r="L7" s="362">
        <v>30546.62</v>
      </c>
      <c r="M7" s="363">
        <f>L7*K7</f>
        <v>30546.62</v>
      </c>
      <c r="N7" s="388">
        <f>K7</f>
        <v>1</v>
      </c>
      <c r="O7" s="394">
        <f>'Проекты Шт.расп. для Постановл'!C6</f>
        <v>33039.22</v>
      </c>
      <c r="P7" s="390">
        <f t="shared" ref="P7:P28" si="0">O7*N7</f>
        <v>33039.22</v>
      </c>
      <c r="Q7" s="388">
        <f>N7</f>
        <v>1</v>
      </c>
      <c r="R7" s="394">
        <f>'Проекты Шт.расп. для Постановл'!F6</f>
        <v>33039.22</v>
      </c>
      <c r="S7" s="390">
        <f t="shared" ref="S7:S28" si="1">R7*Q7</f>
        <v>33039.22</v>
      </c>
      <c r="T7" s="399">
        <f>Q7-N7</f>
        <v>0</v>
      </c>
      <c r="U7" s="390">
        <f>S7-P7</f>
        <v>0</v>
      </c>
      <c r="V7" s="388">
        <v>1</v>
      </c>
      <c r="W7" s="394">
        <f t="shared" ref="W7:W28" si="2">ROUND(R7*1.09,2)</f>
        <v>36012.75</v>
      </c>
      <c r="X7" s="390">
        <f>V7*W7</f>
        <v>36012.75</v>
      </c>
      <c r="Y7" s="399">
        <f>V7-Q7</f>
        <v>0</v>
      </c>
      <c r="Z7" s="390">
        <f>X7-S7</f>
        <v>2973.5299999999988</v>
      </c>
    </row>
    <row r="8" spans="1:26" ht="15" x14ac:dyDescent="0.25">
      <c r="A8" s="364" t="s">
        <v>291</v>
      </c>
      <c r="B8" s="365">
        <v>1</v>
      </c>
      <c r="C8" s="366">
        <v>16546.099999999999</v>
      </c>
      <c r="D8" s="363">
        <f t="shared" ref="D8:D28" si="3">B8*C8</f>
        <v>16546.099999999999</v>
      </c>
      <c r="E8" s="365">
        <v>1</v>
      </c>
      <c r="F8" s="366">
        <v>17207.939999999999</v>
      </c>
      <c r="G8" s="363">
        <f t="shared" ref="G8:G28" si="4">F8*E8</f>
        <v>17207.939999999999</v>
      </c>
      <c r="H8" s="367">
        <v>1</v>
      </c>
      <c r="I8" s="368">
        <v>16546.099999999999</v>
      </c>
      <c r="J8" s="369">
        <f t="shared" ref="J8:J28" si="5">I8*H8</f>
        <v>16546.099999999999</v>
      </c>
      <c r="K8" s="367">
        <v>1</v>
      </c>
      <c r="L8" s="368">
        <v>16546.099999999999</v>
      </c>
      <c r="M8" s="369">
        <f t="shared" ref="M8:M28" si="6">L8*K8</f>
        <v>16546.099999999999</v>
      </c>
      <c r="N8" s="389">
        <f t="shared" ref="N8:N27" si="7">K8</f>
        <v>1</v>
      </c>
      <c r="O8" s="395">
        <f>'Проекты Шт.расп. для Постановл'!C7</f>
        <v>17896.259999999998</v>
      </c>
      <c r="P8" s="390">
        <f t="shared" si="0"/>
        <v>17896.259999999998</v>
      </c>
      <c r="Q8" s="389">
        <f t="shared" ref="Q8:Q13" si="8">N8</f>
        <v>1</v>
      </c>
      <c r="R8" s="395">
        <f>'Проекты Шт.расп. для Постановл'!F7</f>
        <v>17896.259999999998</v>
      </c>
      <c r="S8" s="390">
        <f t="shared" si="1"/>
        <v>17896.259999999998</v>
      </c>
      <c r="T8" s="400">
        <f t="shared" ref="T8:T28" si="9">Q8-N8</f>
        <v>0</v>
      </c>
      <c r="U8" s="390">
        <f t="shared" ref="U8:U28" si="10">S8-P8</f>
        <v>0</v>
      </c>
      <c r="V8" s="389">
        <v>1</v>
      </c>
      <c r="W8" s="402">
        <f t="shared" si="2"/>
        <v>19506.919999999998</v>
      </c>
      <c r="X8" s="390">
        <f t="shared" ref="X8:X28" si="11">V8*W8</f>
        <v>19506.919999999998</v>
      </c>
      <c r="Y8" s="400">
        <f t="shared" ref="Y8:Y29" si="12">V8-Q8</f>
        <v>0</v>
      </c>
      <c r="Z8" s="390">
        <f t="shared" ref="Z8:Z29" si="13">X8-S8</f>
        <v>1610.6599999999999</v>
      </c>
    </row>
    <row r="9" spans="1:26" ht="15" x14ac:dyDescent="0.25">
      <c r="A9" s="364" t="s">
        <v>336</v>
      </c>
      <c r="B9" s="365">
        <v>1</v>
      </c>
      <c r="C9" s="366">
        <v>21637.17</v>
      </c>
      <c r="D9" s="363">
        <f t="shared" si="3"/>
        <v>21637.17</v>
      </c>
      <c r="E9" s="365">
        <v>1</v>
      </c>
      <c r="F9" s="366">
        <v>22502.66</v>
      </c>
      <c r="G9" s="363">
        <f t="shared" si="4"/>
        <v>22502.66</v>
      </c>
      <c r="H9" s="367">
        <v>1</v>
      </c>
      <c r="I9" s="368">
        <v>21637.17</v>
      </c>
      <c r="J9" s="369">
        <f t="shared" si="5"/>
        <v>21637.17</v>
      </c>
      <c r="K9" s="367">
        <v>1</v>
      </c>
      <c r="L9" s="368">
        <v>21637.17</v>
      </c>
      <c r="M9" s="369">
        <f t="shared" si="6"/>
        <v>21637.17</v>
      </c>
      <c r="N9" s="389">
        <f t="shared" si="7"/>
        <v>1</v>
      </c>
      <c r="O9" s="395">
        <f>'Проекты Шт.расп. для Постановл'!C10</f>
        <v>23402.77</v>
      </c>
      <c r="P9" s="390">
        <f t="shared" si="0"/>
        <v>23402.77</v>
      </c>
      <c r="Q9" s="389">
        <f t="shared" si="8"/>
        <v>1</v>
      </c>
      <c r="R9" s="395">
        <f>'Проекты Шт.расп. для Постановл'!F10</f>
        <v>23402.77</v>
      </c>
      <c r="S9" s="390">
        <f t="shared" si="1"/>
        <v>23402.77</v>
      </c>
      <c r="T9" s="400">
        <f t="shared" si="9"/>
        <v>0</v>
      </c>
      <c r="U9" s="390">
        <f t="shared" si="10"/>
        <v>0</v>
      </c>
      <c r="V9" s="389">
        <v>1</v>
      </c>
      <c r="W9" s="402">
        <f t="shared" si="2"/>
        <v>25509.02</v>
      </c>
      <c r="X9" s="390">
        <f t="shared" si="11"/>
        <v>25509.02</v>
      </c>
      <c r="Y9" s="400">
        <f t="shared" si="12"/>
        <v>0</v>
      </c>
      <c r="Z9" s="390">
        <f t="shared" si="13"/>
        <v>2106.25</v>
      </c>
    </row>
    <row r="10" spans="1:26" s="376" customFormat="1" ht="15" x14ac:dyDescent="0.25">
      <c r="A10" s="364" t="s">
        <v>296</v>
      </c>
      <c r="B10" s="370">
        <v>2</v>
      </c>
      <c r="C10" s="371">
        <v>24437.31</v>
      </c>
      <c r="D10" s="372">
        <f t="shared" si="3"/>
        <v>48874.62</v>
      </c>
      <c r="E10" s="370">
        <v>2</v>
      </c>
      <c r="F10" s="371">
        <v>25414.799999999999</v>
      </c>
      <c r="G10" s="372">
        <f t="shared" si="4"/>
        <v>50829.599999999999</v>
      </c>
      <c r="H10" s="373">
        <v>2</v>
      </c>
      <c r="I10" s="374">
        <v>24437.31</v>
      </c>
      <c r="J10" s="375">
        <f t="shared" si="5"/>
        <v>48874.62</v>
      </c>
      <c r="K10" s="373">
        <v>2</v>
      </c>
      <c r="L10" s="374">
        <v>28001.06</v>
      </c>
      <c r="M10" s="375">
        <f t="shared" si="6"/>
        <v>56002.12</v>
      </c>
      <c r="N10" s="389">
        <f t="shared" si="7"/>
        <v>2</v>
      </c>
      <c r="O10" s="396">
        <f>'Проекты Шт.расп. для Постановл'!C16</f>
        <v>30285.94</v>
      </c>
      <c r="P10" s="391">
        <f t="shared" si="0"/>
        <v>60571.88</v>
      </c>
      <c r="Q10" s="389">
        <f t="shared" si="8"/>
        <v>2</v>
      </c>
      <c r="R10" s="396">
        <f>'Проекты Шт.расп. для Постановл'!F16</f>
        <v>30285.94</v>
      </c>
      <c r="S10" s="391">
        <f t="shared" si="1"/>
        <v>60571.88</v>
      </c>
      <c r="T10" s="400">
        <f t="shared" si="9"/>
        <v>0</v>
      </c>
      <c r="U10" s="390">
        <f t="shared" si="10"/>
        <v>0</v>
      </c>
      <c r="V10" s="389">
        <v>2</v>
      </c>
      <c r="W10" s="402">
        <f t="shared" si="2"/>
        <v>33011.67</v>
      </c>
      <c r="X10" s="390">
        <f t="shared" si="11"/>
        <v>66023.34</v>
      </c>
      <c r="Y10" s="400">
        <f t="shared" si="12"/>
        <v>0</v>
      </c>
      <c r="Z10" s="390">
        <f t="shared" si="13"/>
        <v>5451.4599999999991</v>
      </c>
    </row>
    <row r="11" spans="1:26" ht="15" x14ac:dyDescent="0.25">
      <c r="A11" s="364" t="s">
        <v>58</v>
      </c>
      <c r="B11" s="365">
        <v>9</v>
      </c>
      <c r="C11" s="366">
        <v>21637.17</v>
      </c>
      <c r="D11" s="363">
        <f t="shared" si="3"/>
        <v>194734.52999999997</v>
      </c>
      <c r="E11" s="365">
        <v>9</v>
      </c>
      <c r="F11" s="366">
        <v>22502.66</v>
      </c>
      <c r="G11" s="363">
        <f t="shared" si="4"/>
        <v>202523.94</v>
      </c>
      <c r="H11" s="367">
        <v>9</v>
      </c>
      <c r="I11" s="368">
        <v>21637.17</v>
      </c>
      <c r="J11" s="369">
        <f t="shared" si="5"/>
        <v>194734.52999999997</v>
      </c>
      <c r="K11" s="367">
        <v>9</v>
      </c>
      <c r="L11" s="368">
        <v>21637.17</v>
      </c>
      <c r="M11" s="369">
        <f t="shared" si="6"/>
        <v>194734.52999999997</v>
      </c>
      <c r="N11" s="389">
        <f t="shared" si="7"/>
        <v>9</v>
      </c>
      <c r="O11" s="395">
        <f>'Проекты Шт.расп. для Постановл'!C19</f>
        <v>23402.77</v>
      </c>
      <c r="P11" s="390">
        <f t="shared" si="0"/>
        <v>210624.93</v>
      </c>
      <c r="Q11" s="389">
        <f t="shared" si="8"/>
        <v>9</v>
      </c>
      <c r="R11" s="395">
        <f>'Проекты Шт.расп. для Постановл'!F19</f>
        <v>23402.77</v>
      </c>
      <c r="S11" s="390">
        <f t="shared" si="1"/>
        <v>210624.93</v>
      </c>
      <c r="T11" s="400">
        <f t="shared" si="9"/>
        <v>0</v>
      </c>
      <c r="U11" s="390">
        <f t="shared" si="10"/>
        <v>0</v>
      </c>
      <c r="V11" s="389">
        <v>9</v>
      </c>
      <c r="W11" s="402">
        <f t="shared" si="2"/>
        <v>25509.02</v>
      </c>
      <c r="X11" s="390">
        <f t="shared" si="11"/>
        <v>229581.18</v>
      </c>
      <c r="Y11" s="400">
        <f t="shared" si="12"/>
        <v>0</v>
      </c>
      <c r="Z11" s="390">
        <f t="shared" si="13"/>
        <v>18956.25</v>
      </c>
    </row>
    <row r="12" spans="1:26" ht="15" x14ac:dyDescent="0.25">
      <c r="A12" s="364" t="s">
        <v>294</v>
      </c>
      <c r="B12" s="365">
        <v>1</v>
      </c>
      <c r="C12" s="366">
        <v>19600.740000000002</v>
      </c>
      <c r="D12" s="363">
        <f t="shared" si="3"/>
        <v>19600.740000000002</v>
      </c>
      <c r="E12" s="365">
        <v>1</v>
      </c>
      <c r="F12" s="366">
        <v>20384.77</v>
      </c>
      <c r="G12" s="363">
        <f t="shared" si="4"/>
        <v>20384.77</v>
      </c>
      <c r="H12" s="367">
        <v>1</v>
      </c>
      <c r="I12" s="368">
        <v>19600.740000000002</v>
      </c>
      <c r="J12" s="369">
        <f t="shared" si="5"/>
        <v>19600.740000000002</v>
      </c>
      <c r="K12" s="367">
        <v>1</v>
      </c>
      <c r="L12" s="368">
        <v>19600.740000000002</v>
      </c>
      <c r="M12" s="369">
        <f t="shared" si="6"/>
        <v>19600.740000000002</v>
      </c>
      <c r="N12" s="389">
        <f t="shared" si="7"/>
        <v>1</v>
      </c>
      <c r="O12" s="395">
        <f>'Проекты Шт.расп. для Постановл'!C11</f>
        <v>21200.16</v>
      </c>
      <c r="P12" s="390">
        <f t="shared" si="0"/>
        <v>21200.16</v>
      </c>
      <c r="Q12" s="389">
        <f t="shared" si="8"/>
        <v>1</v>
      </c>
      <c r="R12" s="395">
        <f>'Проекты Шт.расп. для Постановл'!F11</f>
        <v>21200.16</v>
      </c>
      <c r="S12" s="390">
        <f t="shared" si="1"/>
        <v>21200.16</v>
      </c>
      <c r="T12" s="400">
        <f t="shared" si="9"/>
        <v>0</v>
      </c>
      <c r="U12" s="390">
        <f t="shared" si="10"/>
        <v>0</v>
      </c>
      <c r="V12" s="389">
        <v>1</v>
      </c>
      <c r="W12" s="402">
        <f t="shared" si="2"/>
        <v>23108.17</v>
      </c>
      <c r="X12" s="390">
        <f t="shared" si="11"/>
        <v>23108.17</v>
      </c>
      <c r="Y12" s="400">
        <f t="shared" si="12"/>
        <v>0</v>
      </c>
      <c r="Z12" s="390">
        <f t="shared" si="13"/>
        <v>1908.0099999999984</v>
      </c>
    </row>
    <row r="13" spans="1:26" ht="15" x14ac:dyDescent="0.25">
      <c r="A13" s="364" t="s">
        <v>297</v>
      </c>
      <c r="B13" s="365">
        <v>2</v>
      </c>
      <c r="C13" s="366">
        <v>22146.33</v>
      </c>
      <c r="D13" s="363">
        <f t="shared" si="3"/>
        <v>44292.66</v>
      </c>
      <c r="E13" s="365">
        <v>2</v>
      </c>
      <c r="F13" s="366">
        <v>23032.18</v>
      </c>
      <c r="G13" s="363">
        <f t="shared" si="4"/>
        <v>46064.36</v>
      </c>
      <c r="H13" s="367">
        <v>2</v>
      </c>
      <c r="I13" s="368">
        <v>22146.33</v>
      </c>
      <c r="J13" s="369">
        <f t="shared" si="5"/>
        <v>44292.66</v>
      </c>
      <c r="K13" s="367">
        <v>2</v>
      </c>
      <c r="L13" s="368">
        <v>22146.33</v>
      </c>
      <c r="M13" s="369">
        <f t="shared" si="6"/>
        <v>44292.66</v>
      </c>
      <c r="N13" s="389">
        <f t="shared" si="7"/>
        <v>2</v>
      </c>
      <c r="O13" s="395">
        <f>'Проекты Шт.расп. для Постановл'!C17</f>
        <v>23953.47</v>
      </c>
      <c r="P13" s="390">
        <f t="shared" si="0"/>
        <v>47906.94</v>
      </c>
      <c r="Q13" s="389">
        <f t="shared" si="8"/>
        <v>2</v>
      </c>
      <c r="R13" s="395">
        <f>'Проекты Шт.расп. для Постановл'!F17</f>
        <v>23953.47</v>
      </c>
      <c r="S13" s="390">
        <f t="shared" si="1"/>
        <v>47906.94</v>
      </c>
      <c r="T13" s="400">
        <f t="shared" si="9"/>
        <v>0</v>
      </c>
      <c r="U13" s="390">
        <f t="shared" si="10"/>
        <v>0</v>
      </c>
      <c r="V13" s="389">
        <v>2</v>
      </c>
      <c r="W13" s="402">
        <f t="shared" si="2"/>
        <v>26109.279999999999</v>
      </c>
      <c r="X13" s="390">
        <f t="shared" si="11"/>
        <v>52218.559999999998</v>
      </c>
      <c r="Y13" s="400">
        <f t="shared" si="12"/>
        <v>0</v>
      </c>
      <c r="Z13" s="390">
        <f t="shared" si="13"/>
        <v>4311.6199999999953</v>
      </c>
    </row>
    <row r="14" spans="1:26" s="246" customFormat="1" ht="15" x14ac:dyDescent="0.25">
      <c r="A14" s="377" t="s">
        <v>298</v>
      </c>
      <c r="B14" s="367">
        <v>6</v>
      </c>
      <c r="C14" s="368">
        <v>19600.740000000002</v>
      </c>
      <c r="D14" s="369">
        <f t="shared" si="3"/>
        <v>117604.44</v>
      </c>
      <c r="E14" s="367">
        <v>6</v>
      </c>
      <c r="F14" s="368">
        <v>20384.77</v>
      </c>
      <c r="G14" s="369">
        <f t="shared" si="4"/>
        <v>122308.62</v>
      </c>
      <c r="H14" s="367">
        <v>6</v>
      </c>
      <c r="I14" s="368">
        <v>19600.740000000002</v>
      </c>
      <c r="J14" s="369">
        <f t="shared" si="5"/>
        <v>117604.44</v>
      </c>
      <c r="K14" s="367">
        <v>6</v>
      </c>
      <c r="L14" s="368">
        <v>19600.740000000002</v>
      </c>
      <c r="M14" s="369">
        <f t="shared" si="6"/>
        <v>117604.44</v>
      </c>
      <c r="N14" s="389">
        <v>7</v>
      </c>
      <c r="O14" s="397">
        <f>'Проекты Шт.расп. для Постановл'!D47</f>
        <v>21200.16</v>
      </c>
      <c r="P14" s="392">
        <f t="shared" si="0"/>
        <v>148401.12</v>
      </c>
      <c r="Q14" s="389">
        <v>7</v>
      </c>
      <c r="R14" s="397">
        <f>'Проекты Шт.расп. для Постановл'!G47</f>
        <v>21200.16</v>
      </c>
      <c r="S14" s="392">
        <f t="shared" si="1"/>
        <v>148401.12</v>
      </c>
      <c r="T14" s="400">
        <f t="shared" si="9"/>
        <v>0</v>
      </c>
      <c r="U14" s="390">
        <f t="shared" si="10"/>
        <v>0</v>
      </c>
      <c r="V14" s="389">
        <v>7</v>
      </c>
      <c r="W14" s="402">
        <f t="shared" si="2"/>
        <v>23108.17</v>
      </c>
      <c r="X14" s="390">
        <f t="shared" si="11"/>
        <v>161757.19</v>
      </c>
      <c r="Y14" s="400">
        <f t="shared" si="12"/>
        <v>0</v>
      </c>
      <c r="Z14" s="390">
        <f t="shared" si="13"/>
        <v>13356.070000000007</v>
      </c>
    </row>
    <row r="15" spans="1:26" ht="15" x14ac:dyDescent="0.25">
      <c r="A15" s="364" t="s">
        <v>120</v>
      </c>
      <c r="B15" s="365">
        <v>1</v>
      </c>
      <c r="C15" s="366">
        <v>19091.66</v>
      </c>
      <c r="D15" s="363">
        <f t="shared" si="3"/>
        <v>19091.66</v>
      </c>
      <c r="E15" s="365">
        <v>1</v>
      </c>
      <c r="F15" s="366">
        <v>19855.330000000002</v>
      </c>
      <c r="G15" s="363">
        <f t="shared" si="4"/>
        <v>19855.330000000002</v>
      </c>
      <c r="H15" s="367">
        <v>1</v>
      </c>
      <c r="I15" s="368">
        <v>19091.66</v>
      </c>
      <c r="J15" s="369">
        <f t="shared" si="5"/>
        <v>19091.66</v>
      </c>
      <c r="K15" s="367">
        <v>1</v>
      </c>
      <c r="L15" s="368">
        <v>19091.66</v>
      </c>
      <c r="M15" s="369">
        <f t="shared" si="6"/>
        <v>19091.66</v>
      </c>
      <c r="N15" s="389">
        <f t="shared" si="7"/>
        <v>1</v>
      </c>
      <c r="O15" s="395">
        <f>'Проекты Шт.расп. для Постановл'!C71</f>
        <v>20649.54</v>
      </c>
      <c r="P15" s="390">
        <f t="shared" si="0"/>
        <v>20649.54</v>
      </c>
      <c r="Q15" s="389">
        <f t="shared" ref="Q15" si="14">N15</f>
        <v>1</v>
      </c>
      <c r="R15" s="395">
        <f>'Проекты Шт.расп. для Постановл'!F71</f>
        <v>20649.54</v>
      </c>
      <c r="S15" s="390">
        <f t="shared" si="1"/>
        <v>20649.54</v>
      </c>
      <c r="T15" s="400">
        <f t="shared" si="9"/>
        <v>0</v>
      </c>
      <c r="U15" s="390">
        <f t="shared" si="10"/>
        <v>0</v>
      </c>
      <c r="V15" s="389">
        <v>1</v>
      </c>
      <c r="W15" s="402">
        <f t="shared" si="2"/>
        <v>22508</v>
      </c>
      <c r="X15" s="390">
        <f t="shared" si="11"/>
        <v>22508</v>
      </c>
      <c r="Y15" s="400">
        <f t="shared" si="12"/>
        <v>0</v>
      </c>
      <c r="Z15" s="390">
        <f t="shared" si="13"/>
        <v>1858.4599999999991</v>
      </c>
    </row>
    <row r="16" spans="1:26" s="378" customFormat="1" ht="15" x14ac:dyDescent="0.25">
      <c r="A16" s="364" t="s">
        <v>90</v>
      </c>
      <c r="B16" s="365">
        <v>30</v>
      </c>
      <c r="C16" s="366">
        <v>16546.099999999999</v>
      </c>
      <c r="D16" s="363">
        <f t="shared" si="3"/>
        <v>496382.99999999994</v>
      </c>
      <c r="E16" s="365">
        <v>30</v>
      </c>
      <c r="F16" s="366">
        <v>17207.939999999999</v>
      </c>
      <c r="G16" s="363">
        <f t="shared" si="4"/>
        <v>516238.19999999995</v>
      </c>
      <c r="H16" s="367">
        <v>30</v>
      </c>
      <c r="I16" s="368">
        <v>16546.099999999999</v>
      </c>
      <c r="J16" s="369">
        <f t="shared" si="5"/>
        <v>496382.99999999994</v>
      </c>
      <c r="K16" s="367">
        <v>34</v>
      </c>
      <c r="L16" s="368">
        <v>16546.099999999999</v>
      </c>
      <c r="M16" s="369">
        <f t="shared" si="6"/>
        <v>562567.39999999991</v>
      </c>
      <c r="N16" s="389">
        <v>32</v>
      </c>
      <c r="O16" s="395">
        <f>'Проекты Шт.расп. для Постановл'!C65</f>
        <v>17896.259999999998</v>
      </c>
      <c r="P16" s="390">
        <f t="shared" si="0"/>
        <v>572680.31999999995</v>
      </c>
      <c r="Q16" s="389">
        <f>32+1+1</f>
        <v>34</v>
      </c>
      <c r="R16" s="395">
        <f>'Проекты Шт.расп. для Постановл'!F65</f>
        <v>17896.259999999998</v>
      </c>
      <c r="S16" s="390">
        <f t="shared" si="1"/>
        <v>608472.84</v>
      </c>
      <c r="T16" s="400">
        <f t="shared" si="9"/>
        <v>2</v>
      </c>
      <c r="U16" s="390">
        <f t="shared" si="10"/>
        <v>35792.520000000019</v>
      </c>
      <c r="V16" s="389">
        <v>34</v>
      </c>
      <c r="W16" s="402">
        <f t="shared" si="2"/>
        <v>19506.919999999998</v>
      </c>
      <c r="X16" s="390">
        <f t="shared" si="11"/>
        <v>663235.27999999991</v>
      </c>
      <c r="Y16" s="400">
        <f t="shared" si="12"/>
        <v>0</v>
      </c>
      <c r="Z16" s="390">
        <f t="shared" si="13"/>
        <v>54762.439999999944</v>
      </c>
    </row>
    <row r="17" spans="1:26" ht="15" x14ac:dyDescent="0.25">
      <c r="A17" s="364" t="s">
        <v>337</v>
      </c>
      <c r="B17" s="365">
        <v>1</v>
      </c>
      <c r="C17" s="366">
        <v>16546.099999999999</v>
      </c>
      <c r="D17" s="363">
        <f t="shared" si="3"/>
        <v>16546.099999999999</v>
      </c>
      <c r="E17" s="365">
        <v>1</v>
      </c>
      <c r="F17" s="366">
        <v>17207.939999999999</v>
      </c>
      <c r="G17" s="363">
        <f t="shared" si="4"/>
        <v>17207.939999999999</v>
      </c>
      <c r="H17" s="367">
        <v>1</v>
      </c>
      <c r="I17" s="368">
        <v>16546.099999999999</v>
      </c>
      <c r="J17" s="369">
        <f t="shared" si="5"/>
        <v>16546.099999999999</v>
      </c>
      <c r="K17" s="367">
        <v>1</v>
      </c>
      <c r="L17" s="368">
        <v>16546.099999999999</v>
      </c>
      <c r="M17" s="369">
        <f t="shared" si="6"/>
        <v>16546.099999999999</v>
      </c>
      <c r="N17" s="389">
        <f t="shared" si="7"/>
        <v>1</v>
      </c>
      <c r="O17" s="395">
        <f>'Проекты Шт.расп. для Постановл'!C77</f>
        <v>17896.259999999998</v>
      </c>
      <c r="P17" s="390">
        <f t="shared" si="0"/>
        <v>17896.259999999998</v>
      </c>
      <c r="Q17" s="389">
        <f t="shared" ref="Q17" si="15">N17</f>
        <v>1</v>
      </c>
      <c r="R17" s="395">
        <f>'Проекты Шт.расп. для Постановл'!F77</f>
        <v>17896.259999999998</v>
      </c>
      <c r="S17" s="390">
        <f t="shared" si="1"/>
        <v>17896.259999999998</v>
      </c>
      <c r="T17" s="400">
        <f t="shared" si="9"/>
        <v>0</v>
      </c>
      <c r="U17" s="390">
        <f t="shared" si="10"/>
        <v>0</v>
      </c>
      <c r="V17" s="389">
        <v>1</v>
      </c>
      <c r="W17" s="402">
        <f t="shared" si="2"/>
        <v>19506.919999999998</v>
      </c>
      <c r="X17" s="390">
        <f t="shared" si="11"/>
        <v>19506.919999999998</v>
      </c>
      <c r="Y17" s="400">
        <f t="shared" si="12"/>
        <v>0</v>
      </c>
      <c r="Z17" s="390">
        <f t="shared" si="13"/>
        <v>1610.6599999999999</v>
      </c>
    </row>
    <row r="18" spans="1:26" ht="15" x14ac:dyDescent="0.25">
      <c r="A18" s="364" t="s">
        <v>304</v>
      </c>
      <c r="B18" s="365">
        <v>8</v>
      </c>
      <c r="C18" s="366">
        <v>16546.099999999999</v>
      </c>
      <c r="D18" s="363">
        <f t="shared" si="3"/>
        <v>132368.79999999999</v>
      </c>
      <c r="E18" s="365">
        <v>8</v>
      </c>
      <c r="F18" s="366">
        <v>17207.939999999999</v>
      </c>
      <c r="G18" s="363">
        <f t="shared" si="4"/>
        <v>137663.51999999999</v>
      </c>
      <c r="H18" s="367">
        <v>8</v>
      </c>
      <c r="I18" s="368">
        <v>16546.099999999999</v>
      </c>
      <c r="J18" s="369">
        <f t="shared" si="5"/>
        <v>132368.79999999999</v>
      </c>
      <c r="K18" s="367">
        <v>8</v>
      </c>
      <c r="L18" s="368">
        <v>16546.099999999999</v>
      </c>
      <c r="M18" s="369">
        <f t="shared" si="6"/>
        <v>132368.79999999999</v>
      </c>
      <c r="N18" s="389">
        <f t="shared" si="7"/>
        <v>8</v>
      </c>
      <c r="O18" s="395">
        <f>'Проекты Шт.расп. для Постановл'!C41</f>
        <v>17896.259999999998</v>
      </c>
      <c r="P18" s="390">
        <f t="shared" si="0"/>
        <v>143170.07999999999</v>
      </c>
      <c r="Q18" s="389">
        <f>8+1</f>
        <v>9</v>
      </c>
      <c r="R18" s="395">
        <f>'Проекты Шт.расп. для Постановл'!F41</f>
        <v>17896.259999999998</v>
      </c>
      <c r="S18" s="390">
        <f t="shared" si="1"/>
        <v>161066.34</v>
      </c>
      <c r="T18" s="400">
        <f t="shared" si="9"/>
        <v>1</v>
      </c>
      <c r="U18" s="390">
        <f t="shared" si="10"/>
        <v>17896.260000000009</v>
      </c>
      <c r="V18" s="389">
        <v>9</v>
      </c>
      <c r="W18" s="402">
        <f t="shared" si="2"/>
        <v>19506.919999999998</v>
      </c>
      <c r="X18" s="390">
        <f t="shared" si="11"/>
        <v>175562.27999999997</v>
      </c>
      <c r="Y18" s="400">
        <f t="shared" si="12"/>
        <v>0</v>
      </c>
      <c r="Z18" s="390">
        <f t="shared" si="13"/>
        <v>14495.939999999973</v>
      </c>
    </row>
    <row r="19" spans="1:26" ht="15" x14ac:dyDescent="0.25">
      <c r="A19" s="364" t="str">
        <f>'Проекты Шт.расп. для Постановл'!A12</f>
        <v>Главный специалист-бухгалтер</v>
      </c>
      <c r="B19" s="365"/>
      <c r="C19" s="366"/>
      <c r="D19" s="363"/>
      <c r="E19" s="365"/>
      <c r="F19" s="366"/>
      <c r="G19" s="363"/>
      <c r="H19" s="367"/>
      <c r="I19" s="368"/>
      <c r="J19" s="369"/>
      <c r="K19" s="367"/>
      <c r="L19" s="368"/>
      <c r="M19" s="369"/>
      <c r="N19" s="389">
        <v>3</v>
      </c>
      <c r="O19" s="395">
        <f>'Проекты Шт.расп. для Постановл'!C12</f>
        <v>17896.259999999998</v>
      </c>
      <c r="P19" s="390">
        <f t="shared" si="0"/>
        <v>53688.78</v>
      </c>
      <c r="Q19" s="389">
        <v>3</v>
      </c>
      <c r="R19" s="395">
        <f>'Проекты Шт.расп. для Постановл'!F12</f>
        <v>17896.259999999998</v>
      </c>
      <c r="S19" s="390">
        <f t="shared" si="1"/>
        <v>53688.78</v>
      </c>
      <c r="T19" s="400">
        <f t="shared" si="9"/>
        <v>0</v>
      </c>
      <c r="U19" s="390">
        <f t="shared" si="10"/>
        <v>0</v>
      </c>
      <c r="V19" s="389">
        <v>3</v>
      </c>
      <c r="W19" s="402">
        <f t="shared" si="2"/>
        <v>19506.919999999998</v>
      </c>
      <c r="X19" s="390">
        <f t="shared" si="11"/>
        <v>58520.759999999995</v>
      </c>
      <c r="Y19" s="400">
        <f t="shared" si="12"/>
        <v>0</v>
      </c>
      <c r="Z19" s="390">
        <f t="shared" si="13"/>
        <v>4831.9799999999959</v>
      </c>
    </row>
    <row r="20" spans="1:26" ht="15" x14ac:dyDescent="0.25">
      <c r="A20" s="364" t="str">
        <f>'Проекты Шт.расп. для Постановл'!A72</f>
        <v>Главный специалист по закупкам</v>
      </c>
      <c r="B20" s="365"/>
      <c r="C20" s="366"/>
      <c r="D20" s="363"/>
      <c r="E20" s="365"/>
      <c r="F20" s="366"/>
      <c r="G20" s="363"/>
      <c r="H20" s="367"/>
      <c r="I20" s="368"/>
      <c r="J20" s="369"/>
      <c r="K20" s="367"/>
      <c r="L20" s="368"/>
      <c r="M20" s="369"/>
      <c r="N20" s="389">
        <v>1</v>
      </c>
      <c r="O20" s="395">
        <f>'Проекты Шт.расп. для Постановл'!C72</f>
        <v>17896.259999999998</v>
      </c>
      <c r="P20" s="390">
        <f t="shared" si="0"/>
        <v>17896.259999999998</v>
      </c>
      <c r="Q20" s="389">
        <v>1</v>
      </c>
      <c r="R20" s="395">
        <f>'Проекты Шт.расп. для Постановл'!F72</f>
        <v>17896.259999999998</v>
      </c>
      <c r="S20" s="390">
        <f t="shared" si="1"/>
        <v>17896.259999999998</v>
      </c>
      <c r="T20" s="400">
        <f t="shared" si="9"/>
        <v>0</v>
      </c>
      <c r="U20" s="390">
        <f t="shared" si="10"/>
        <v>0</v>
      </c>
      <c r="V20" s="389">
        <v>1</v>
      </c>
      <c r="W20" s="402">
        <f t="shared" si="2"/>
        <v>19506.919999999998</v>
      </c>
      <c r="X20" s="390">
        <f t="shared" si="11"/>
        <v>19506.919999999998</v>
      </c>
      <c r="Y20" s="400">
        <f t="shared" si="12"/>
        <v>0</v>
      </c>
      <c r="Z20" s="390">
        <f t="shared" si="13"/>
        <v>1610.6599999999999</v>
      </c>
    </row>
    <row r="21" spans="1:26" s="379" customFormat="1" ht="15" x14ac:dyDescent="0.25">
      <c r="A21" s="377" t="s">
        <v>48</v>
      </c>
      <c r="B21" s="367">
        <v>17</v>
      </c>
      <c r="C21" s="368">
        <v>14255.12</v>
      </c>
      <c r="D21" s="369">
        <f t="shared" si="3"/>
        <v>242337.04</v>
      </c>
      <c r="E21" s="367">
        <v>17</v>
      </c>
      <c r="F21" s="368">
        <v>14825.32</v>
      </c>
      <c r="G21" s="369">
        <f t="shared" si="4"/>
        <v>252030.44</v>
      </c>
      <c r="H21" s="367">
        <v>18</v>
      </c>
      <c r="I21" s="368">
        <v>14255.12</v>
      </c>
      <c r="J21" s="369">
        <f t="shared" si="5"/>
        <v>256592.16</v>
      </c>
      <c r="K21" s="367">
        <v>15</v>
      </c>
      <c r="L21" s="368">
        <v>14255.12</v>
      </c>
      <c r="M21" s="369">
        <f t="shared" si="6"/>
        <v>213826.80000000002</v>
      </c>
      <c r="N21" s="389">
        <v>13</v>
      </c>
      <c r="O21" s="397">
        <f>'Проекты Шт.расп. для Постановл'!C66</f>
        <v>15418.33</v>
      </c>
      <c r="P21" s="390">
        <f t="shared" si="0"/>
        <v>200438.29</v>
      </c>
      <c r="Q21" s="389">
        <v>13</v>
      </c>
      <c r="R21" s="397">
        <f>'Проекты Шт.расп. для Постановл'!F66</f>
        <v>15418.33</v>
      </c>
      <c r="S21" s="390">
        <f t="shared" si="1"/>
        <v>200438.29</v>
      </c>
      <c r="T21" s="400">
        <f t="shared" si="9"/>
        <v>0</v>
      </c>
      <c r="U21" s="390">
        <f t="shared" si="10"/>
        <v>0</v>
      </c>
      <c r="V21" s="389">
        <v>13</v>
      </c>
      <c r="W21" s="402">
        <f t="shared" si="2"/>
        <v>16805.98</v>
      </c>
      <c r="X21" s="390">
        <f t="shared" si="11"/>
        <v>218477.74</v>
      </c>
      <c r="Y21" s="400">
        <f t="shared" si="12"/>
        <v>0</v>
      </c>
      <c r="Z21" s="390">
        <f t="shared" si="13"/>
        <v>18039.449999999983</v>
      </c>
    </row>
    <row r="22" spans="1:26" s="379" customFormat="1" ht="15" x14ac:dyDescent="0.25">
      <c r="A22" s="377" t="str">
        <f>'Проекты Шт.расп. для Постановл'!A13</f>
        <v>Ведущий специалист-бухгалтер</v>
      </c>
      <c r="B22" s="367"/>
      <c r="C22" s="368"/>
      <c r="D22" s="369"/>
      <c r="E22" s="367"/>
      <c r="F22" s="368"/>
      <c r="G22" s="369"/>
      <c r="H22" s="367"/>
      <c r="I22" s="368"/>
      <c r="J22" s="369"/>
      <c r="K22" s="367"/>
      <c r="L22" s="368"/>
      <c r="M22" s="369"/>
      <c r="N22" s="389">
        <v>1</v>
      </c>
      <c r="O22" s="397">
        <f>'Проекты Шт.расп. для Постановл'!C13</f>
        <v>15418.33</v>
      </c>
      <c r="P22" s="390">
        <f t="shared" si="0"/>
        <v>15418.33</v>
      </c>
      <c r="Q22" s="389">
        <v>1</v>
      </c>
      <c r="R22" s="397">
        <f>'Проекты Шт.расп. для Постановл'!F13</f>
        <v>15418.33</v>
      </c>
      <c r="S22" s="390">
        <f t="shared" si="1"/>
        <v>15418.33</v>
      </c>
      <c r="T22" s="400">
        <f t="shared" si="9"/>
        <v>0</v>
      </c>
      <c r="U22" s="390">
        <f t="shared" si="10"/>
        <v>0</v>
      </c>
      <c r="V22" s="389">
        <v>1</v>
      </c>
      <c r="W22" s="402">
        <f t="shared" si="2"/>
        <v>16805.98</v>
      </c>
      <c r="X22" s="390">
        <f t="shared" si="11"/>
        <v>16805.98</v>
      </c>
      <c r="Y22" s="400">
        <f t="shared" si="12"/>
        <v>0</v>
      </c>
      <c r="Z22" s="390">
        <f t="shared" si="13"/>
        <v>1387.6499999999996</v>
      </c>
    </row>
    <row r="23" spans="1:26" ht="15" x14ac:dyDescent="0.25">
      <c r="A23" s="364" t="s">
        <v>133</v>
      </c>
      <c r="B23" s="365">
        <v>6</v>
      </c>
      <c r="C23" s="366">
        <v>19091.66</v>
      </c>
      <c r="D23" s="363">
        <f t="shared" si="3"/>
        <v>114549.95999999999</v>
      </c>
      <c r="E23" s="365">
        <v>6</v>
      </c>
      <c r="F23" s="366">
        <v>19855.330000000002</v>
      </c>
      <c r="G23" s="363">
        <f t="shared" si="4"/>
        <v>119131.98000000001</v>
      </c>
      <c r="H23" s="367">
        <v>6</v>
      </c>
      <c r="I23" s="368">
        <v>19091.66</v>
      </c>
      <c r="J23" s="369">
        <f t="shared" si="5"/>
        <v>114549.95999999999</v>
      </c>
      <c r="K23" s="367">
        <v>6</v>
      </c>
      <c r="L23" s="368">
        <v>19091.66</v>
      </c>
      <c r="M23" s="369">
        <f t="shared" si="6"/>
        <v>114549.95999999999</v>
      </c>
      <c r="N23" s="389">
        <f t="shared" si="7"/>
        <v>6</v>
      </c>
      <c r="O23" s="395">
        <f>'Проекты Шт.расп. для Постановл'!C85</f>
        <v>20649.54</v>
      </c>
      <c r="P23" s="390">
        <f t="shared" si="0"/>
        <v>123897.24</v>
      </c>
      <c r="Q23" s="389">
        <f>6-1</f>
        <v>5</v>
      </c>
      <c r="R23" s="395">
        <f>'Проекты Шт.расп. для Постановл'!F85</f>
        <v>20649.54</v>
      </c>
      <c r="S23" s="390">
        <f t="shared" si="1"/>
        <v>103247.70000000001</v>
      </c>
      <c r="T23" s="400">
        <f t="shared" si="9"/>
        <v>-1</v>
      </c>
      <c r="U23" s="390">
        <f t="shared" si="10"/>
        <v>-20649.539999999994</v>
      </c>
      <c r="V23" s="389">
        <v>5</v>
      </c>
      <c r="W23" s="402">
        <f t="shared" si="2"/>
        <v>22508</v>
      </c>
      <c r="X23" s="390">
        <f t="shared" si="11"/>
        <v>112540</v>
      </c>
      <c r="Y23" s="400">
        <f t="shared" si="12"/>
        <v>0</v>
      </c>
      <c r="Z23" s="390">
        <f t="shared" si="13"/>
        <v>9292.2999999999884</v>
      </c>
    </row>
    <row r="24" spans="1:26" ht="15" x14ac:dyDescent="0.25">
      <c r="A24" s="364" t="s">
        <v>338</v>
      </c>
      <c r="B24" s="365">
        <v>11</v>
      </c>
      <c r="C24" s="366">
        <v>15273.33</v>
      </c>
      <c r="D24" s="363">
        <f t="shared" si="3"/>
        <v>168006.63</v>
      </c>
      <c r="E24" s="365">
        <v>11</v>
      </c>
      <c r="F24" s="366">
        <v>15884.26</v>
      </c>
      <c r="G24" s="363">
        <f t="shared" si="4"/>
        <v>174726.86000000002</v>
      </c>
      <c r="H24" s="367">
        <v>11</v>
      </c>
      <c r="I24" s="368">
        <v>15273.33</v>
      </c>
      <c r="J24" s="369">
        <f t="shared" si="5"/>
        <v>168006.63</v>
      </c>
      <c r="K24" s="367">
        <v>11</v>
      </c>
      <c r="L24" s="368">
        <v>15273.33</v>
      </c>
      <c r="M24" s="369">
        <f t="shared" si="6"/>
        <v>168006.63</v>
      </c>
      <c r="N24" s="389">
        <v>10</v>
      </c>
      <c r="O24" s="395">
        <f>'Проекты Шт.расп. для Постановл'!C93</f>
        <v>16519.63</v>
      </c>
      <c r="P24" s="390">
        <f t="shared" si="0"/>
        <v>165196.30000000002</v>
      </c>
      <c r="Q24" s="389">
        <f>10-1</f>
        <v>9</v>
      </c>
      <c r="R24" s="395">
        <f>'Проекты Шт.расп. для Постановл'!F93</f>
        <v>16519.63</v>
      </c>
      <c r="S24" s="390">
        <f t="shared" si="1"/>
        <v>148676.67000000001</v>
      </c>
      <c r="T24" s="400">
        <f t="shared" si="9"/>
        <v>-1</v>
      </c>
      <c r="U24" s="390">
        <f t="shared" si="10"/>
        <v>-16519.630000000005</v>
      </c>
      <c r="V24" s="389">
        <v>9</v>
      </c>
      <c r="W24" s="402">
        <f t="shared" si="2"/>
        <v>18006.400000000001</v>
      </c>
      <c r="X24" s="390">
        <f t="shared" si="11"/>
        <v>162057.60000000001</v>
      </c>
      <c r="Y24" s="400">
        <f t="shared" si="12"/>
        <v>0</v>
      </c>
      <c r="Z24" s="390">
        <f t="shared" si="13"/>
        <v>13380.929999999993</v>
      </c>
    </row>
    <row r="25" spans="1:26" ht="15" x14ac:dyDescent="0.25">
      <c r="A25" s="364" t="s">
        <v>339</v>
      </c>
      <c r="B25" s="365">
        <v>6</v>
      </c>
      <c r="C25" s="366">
        <v>15273.33</v>
      </c>
      <c r="D25" s="363">
        <f t="shared" si="3"/>
        <v>91639.98</v>
      </c>
      <c r="E25" s="365">
        <v>6</v>
      </c>
      <c r="F25" s="366">
        <v>15884.26</v>
      </c>
      <c r="G25" s="363">
        <f t="shared" si="4"/>
        <v>95305.56</v>
      </c>
      <c r="H25" s="367">
        <v>5</v>
      </c>
      <c r="I25" s="368">
        <v>15273.33</v>
      </c>
      <c r="J25" s="369">
        <f t="shared" si="5"/>
        <v>76366.649999999994</v>
      </c>
      <c r="K25" s="367">
        <v>5</v>
      </c>
      <c r="L25" s="368">
        <v>15273.33</v>
      </c>
      <c r="M25" s="369">
        <f t="shared" si="6"/>
        <v>76366.649999999994</v>
      </c>
      <c r="N25" s="389">
        <f t="shared" si="7"/>
        <v>5</v>
      </c>
      <c r="O25" s="395">
        <f>'Проекты Шт.расп. для Постановл'!C94</f>
        <v>16519.63</v>
      </c>
      <c r="P25" s="390">
        <f t="shared" si="0"/>
        <v>82598.150000000009</v>
      </c>
      <c r="Q25" s="389">
        <f>5-1</f>
        <v>4</v>
      </c>
      <c r="R25" s="395">
        <f>'Проекты Шт.расп. для Постановл'!F94</f>
        <v>16519.63</v>
      </c>
      <c r="S25" s="390">
        <f t="shared" si="1"/>
        <v>66078.52</v>
      </c>
      <c r="T25" s="400">
        <f t="shared" si="9"/>
        <v>-1</v>
      </c>
      <c r="U25" s="390">
        <f t="shared" si="10"/>
        <v>-16519.630000000005</v>
      </c>
      <c r="V25" s="389">
        <v>4</v>
      </c>
      <c r="W25" s="402">
        <f t="shared" si="2"/>
        <v>18006.400000000001</v>
      </c>
      <c r="X25" s="390">
        <f t="shared" si="11"/>
        <v>72025.600000000006</v>
      </c>
      <c r="Y25" s="400">
        <f t="shared" si="12"/>
        <v>0</v>
      </c>
      <c r="Z25" s="390">
        <f t="shared" si="13"/>
        <v>5947.0800000000017</v>
      </c>
    </row>
    <row r="26" spans="1:26" ht="15" x14ac:dyDescent="0.25">
      <c r="A26" s="364" t="s">
        <v>340</v>
      </c>
      <c r="B26" s="365">
        <v>9</v>
      </c>
      <c r="C26" s="366">
        <v>12727.76</v>
      </c>
      <c r="D26" s="363">
        <f t="shared" si="3"/>
        <v>114549.84</v>
      </c>
      <c r="E26" s="365">
        <v>9</v>
      </c>
      <c r="F26" s="366">
        <v>13236.87</v>
      </c>
      <c r="G26" s="363">
        <f t="shared" si="4"/>
        <v>119131.83</v>
      </c>
      <c r="H26" s="367">
        <v>9</v>
      </c>
      <c r="I26" s="368">
        <v>12727.76</v>
      </c>
      <c r="J26" s="369">
        <f t="shared" si="5"/>
        <v>114549.84</v>
      </c>
      <c r="K26" s="367">
        <v>9</v>
      </c>
      <c r="L26" s="368">
        <v>12727.76</v>
      </c>
      <c r="M26" s="369">
        <f t="shared" si="6"/>
        <v>114549.84</v>
      </c>
      <c r="N26" s="389">
        <f t="shared" si="7"/>
        <v>9</v>
      </c>
      <c r="O26" s="395">
        <f>'Проекты Шт.расп. для Постановл'!C101</f>
        <v>13766.34</v>
      </c>
      <c r="P26" s="390">
        <f t="shared" si="0"/>
        <v>123897.06</v>
      </c>
      <c r="Q26" s="389">
        <f>9-1+1</f>
        <v>9</v>
      </c>
      <c r="R26" s="395">
        <f>'Проекты Шт.расп. для Постановл'!F101</f>
        <v>13766.34</v>
      </c>
      <c r="S26" s="390">
        <f t="shared" si="1"/>
        <v>123897.06</v>
      </c>
      <c r="T26" s="400">
        <f t="shared" si="9"/>
        <v>0</v>
      </c>
      <c r="U26" s="390">
        <f t="shared" si="10"/>
        <v>0</v>
      </c>
      <c r="V26" s="389">
        <v>9</v>
      </c>
      <c r="W26" s="402">
        <f t="shared" si="2"/>
        <v>15005.31</v>
      </c>
      <c r="X26" s="390">
        <f t="shared" si="11"/>
        <v>135047.79</v>
      </c>
      <c r="Y26" s="400">
        <f t="shared" si="12"/>
        <v>0</v>
      </c>
      <c r="Z26" s="390">
        <f t="shared" si="13"/>
        <v>11150.73000000001</v>
      </c>
    </row>
    <row r="27" spans="1:26" ht="15" x14ac:dyDescent="0.25">
      <c r="A27" s="364" t="s">
        <v>115</v>
      </c>
      <c r="B27" s="365">
        <v>1</v>
      </c>
      <c r="C27" s="366">
        <v>11455</v>
      </c>
      <c r="D27" s="363">
        <f t="shared" si="3"/>
        <v>11455</v>
      </c>
      <c r="E27" s="365">
        <v>1</v>
      </c>
      <c r="F27" s="366">
        <v>11913.2</v>
      </c>
      <c r="G27" s="363">
        <f t="shared" si="4"/>
        <v>11913.2</v>
      </c>
      <c r="H27" s="365">
        <v>1</v>
      </c>
      <c r="I27" s="366">
        <v>11455</v>
      </c>
      <c r="J27" s="363">
        <f t="shared" si="5"/>
        <v>11455</v>
      </c>
      <c r="K27" s="365">
        <v>1</v>
      </c>
      <c r="L27" s="366">
        <v>11455</v>
      </c>
      <c r="M27" s="363">
        <f t="shared" si="6"/>
        <v>11455</v>
      </c>
      <c r="N27" s="388">
        <f t="shared" si="7"/>
        <v>1</v>
      </c>
      <c r="O27" s="395">
        <f>'Проекты Шт.расп. для Постановл'!C89</f>
        <v>12389.73</v>
      </c>
      <c r="P27" s="390">
        <f t="shared" si="0"/>
        <v>12389.73</v>
      </c>
      <c r="Q27" s="388">
        <v>1</v>
      </c>
      <c r="R27" s="395">
        <f>'Проекты Шт.расп. для Постановл'!F89</f>
        <v>12389.73</v>
      </c>
      <c r="S27" s="390">
        <f t="shared" si="1"/>
        <v>12389.73</v>
      </c>
      <c r="T27" s="400">
        <f t="shared" si="9"/>
        <v>0</v>
      </c>
      <c r="U27" s="390">
        <f t="shared" si="10"/>
        <v>0</v>
      </c>
      <c r="V27" s="388">
        <v>1</v>
      </c>
      <c r="W27" s="402">
        <f t="shared" si="2"/>
        <v>13504.81</v>
      </c>
      <c r="X27" s="390">
        <f t="shared" si="11"/>
        <v>13504.81</v>
      </c>
      <c r="Y27" s="400">
        <f t="shared" si="12"/>
        <v>0</v>
      </c>
      <c r="Z27" s="390">
        <f t="shared" si="13"/>
        <v>1115.08</v>
      </c>
    </row>
    <row r="28" spans="1:26" ht="15.75" thickBot="1" x14ac:dyDescent="0.3">
      <c r="A28" s="380" t="s">
        <v>307</v>
      </c>
      <c r="B28" s="381">
        <v>9</v>
      </c>
      <c r="C28" s="382">
        <v>11455</v>
      </c>
      <c r="D28" s="363">
        <f t="shared" si="3"/>
        <v>103095</v>
      </c>
      <c r="E28" s="381">
        <v>9</v>
      </c>
      <c r="F28" s="382">
        <v>11913.2</v>
      </c>
      <c r="G28" s="383">
        <f t="shared" si="4"/>
        <v>107218.8</v>
      </c>
      <c r="H28" s="381">
        <v>9</v>
      </c>
      <c r="I28" s="382">
        <v>11455</v>
      </c>
      <c r="J28" s="363">
        <f t="shared" si="5"/>
        <v>103095</v>
      </c>
      <c r="K28" s="381">
        <v>9</v>
      </c>
      <c r="L28" s="382">
        <v>11455</v>
      </c>
      <c r="M28" s="383">
        <f t="shared" si="6"/>
        <v>103095</v>
      </c>
      <c r="N28" s="388">
        <v>8</v>
      </c>
      <c r="O28" s="398">
        <f>'Проекты Шт.расп. для Постановл'!C89</f>
        <v>12389.73</v>
      </c>
      <c r="P28" s="393">
        <f t="shared" si="0"/>
        <v>99117.84</v>
      </c>
      <c r="Q28" s="388">
        <v>8</v>
      </c>
      <c r="R28" s="398">
        <f>'Проекты Шт.расп. для Постановл'!F89</f>
        <v>12389.73</v>
      </c>
      <c r="S28" s="393">
        <f t="shared" si="1"/>
        <v>99117.84</v>
      </c>
      <c r="T28" s="401">
        <f t="shared" si="9"/>
        <v>0</v>
      </c>
      <c r="U28" s="393">
        <f t="shared" si="10"/>
        <v>0</v>
      </c>
      <c r="V28" s="388">
        <v>8</v>
      </c>
      <c r="W28" s="403">
        <f t="shared" si="2"/>
        <v>13504.81</v>
      </c>
      <c r="X28" s="390">
        <f t="shared" si="11"/>
        <v>108038.48</v>
      </c>
      <c r="Y28" s="401">
        <f t="shared" si="12"/>
        <v>0</v>
      </c>
      <c r="Z28" s="393">
        <f t="shared" si="13"/>
        <v>8920.64</v>
      </c>
    </row>
    <row r="29" spans="1:26" ht="15.75" thickBot="1" x14ac:dyDescent="0.3">
      <c r="A29" s="385" t="s">
        <v>38</v>
      </c>
      <c r="B29" s="386">
        <v>123</v>
      </c>
      <c r="C29" s="386"/>
      <c r="D29" s="387">
        <f>SUM(D7:D28)</f>
        <v>2003859.89</v>
      </c>
      <c r="E29" s="386">
        <f>SUM(E7:E28)</f>
        <v>122</v>
      </c>
      <c r="F29" s="386"/>
      <c r="G29" s="387">
        <f>SUM(G7:G28)</f>
        <v>2084014.03</v>
      </c>
      <c r="H29" s="386">
        <v>123</v>
      </c>
      <c r="I29" s="386"/>
      <c r="J29" s="387">
        <f>SUM(J7:J28)</f>
        <v>2002841.6799999995</v>
      </c>
      <c r="K29" s="386">
        <f>SUM(K7:K28)</f>
        <v>123</v>
      </c>
      <c r="L29" s="386"/>
      <c r="M29" s="387">
        <f>SUM(M7:M28)</f>
        <v>2033388.22</v>
      </c>
      <c r="N29" s="405">
        <f>SUM(N7:N28)</f>
        <v>123</v>
      </c>
      <c r="O29" s="406"/>
      <c r="P29" s="404">
        <f>SUM(P7:P28)</f>
        <v>2211977.46</v>
      </c>
      <c r="Q29" s="405">
        <f>SUM(Q7:Q28)</f>
        <v>123</v>
      </c>
      <c r="R29" s="406"/>
      <c r="S29" s="404">
        <f>SUM(S7:S28)</f>
        <v>2211977.44</v>
      </c>
      <c r="T29" s="408">
        <f>SUM(T7:T28)</f>
        <v>0</v>
      </c>
      <c r="U29" s="407">
        <f>SUM(U7:U28)</f>
        <v>-1.9999999974970706E-2</v>
      </c>
      <c r="V29" s="405">
        <v>123</v>
      </c>
      <c r="W29" s="406"/>
      <c r="X29" s="404">
        <f>SUM(X7:X28)</f>
        <v>2411055.2899999996</v>
      </c>
      <c r="Y29" s="408">
        <f t="shared" si="12"/>
        <v>0</v>
      </c>
      <c r="Z29" s="404">
        <f t="shared" si="13"/>
        <v>199077.84999999963</v>
      </c>
    </row>
    <row r="31" spans="1:26" x14ac:dyDescent="0.2">
      <c r="C31" s="384"/>
      <c r="J31" s="289"/>
      <c r="M31" s="289"/>
      <c r="O31" s="384"/>
      <c r="P31" s="289"/>
      <c r="S31" s="289"/>
      <c r="T31" s="289"/>
      <c r="U31" s="289"/>
      <c r="W31" s="384"/>
      <c r="X31" s="289"/>
      <c r="Y31" s="289"/>
      <c r="Z31" s="289"/>
    </row>
    <row r="32" spans="1:26" x14ac:dyDescent="0.2">
      <c r="F32" s="289"/>
      <c r="J32" s="289"/>
      <c r="L32" s="289"/>
      <c r="M32" s="289"/>
      <c r="P32" s="289"/>
      <c r="R32" s="289"/>
      <c r="S32" s="289"/>
      <c r="T32" s="289"/>
      <c r="U32" s="289"/>
      <c r="X32" s="289"/>
      <c r="Y32" s="289"/>
      <c r="Z32" s="289"/>
    </row>
    <row r="33" spans="6:26" x14ac:dyDescent="0.2">
      <c r="I33" s="289"/>
      <c r="P33" s="289"/>
      <c r="X33" s="289"/>
      <c r="Y33" s="289"/>
      <c r="Z33" s="289"/>
    </row>
    <row r="34" spans="6:26" x14ac:dyDescent="0.2">
      <c r="F34" s="289"/>
      <c r="M34" s="289"/>
      <c r="P34" s="289"/>
      <c r="S34" s="289"/>
      <c r="T34" s="289"/>
      <c r="U34" s="289"/>
      <c r="X34" s="289"/>
      <c r="Y34" s="289"/>
      <c r="Z34" s="289"/>
    </row>
    <row r="35" spans="6:26" x14ac:dyDescent="0.2">
      <c r="P35" s="289"/>
      <c r="X35" s="289"/>
      <c r="Y35" s="289"/>
      <c r="Z35" s="289"/>
    </row>
    <row r="37" spans="6:26" x14ac:dyDescent="0.2">
      <c r="M37" s="289"/>
      <c r="N37" s="289"/>
      <c r="S37" s="289"/>
      <c r="T37" s="289"/>
      <c r="U37" s="289"/>
      <c r="V37" s="289"/>
    </row>
    <row r="38" spans="6:26" x14ac:dyDescent="0.2">
      <c r="N38" s="289"/>
      <c r="V38" s="289"/>
    </row>
    <row r="39" spans="6:26" x14ac:dyDescent="0.2">
      <c r="N39" s="289"/>
      <c r="V39" s="289"/>
    </row>
    <row r="40" spans="6:26" x14ac:dyDescent="0.2">
      <c r="N40" s="289"/>
      <c r="V40" s="289"/>
    </row>
    <row r="41" spans="6:26" x14ac:dyDescent="0.2">
      <c r="N41" s="289"/>
      <c r="V41" s="289"/>
    </row>
    <row r="42" spans="6:26" x14ac:dyDescent="0.2">
      <c r="N42" s="289"/>
      <c r="V42" s="289"/>
    </row>
    <row r="43" spans="6:26" x14ac:dyDescent="0.2">
      <c r="N43" s="289"/>
      <c r="V43" s="289"/>
    </row>
    <row r="44" spans="6:26" x14ac:dyDescent="0.2">
      <c r="N44" s="289"/>
      <c r="V44" s="289"/>
    </row>
    <row r="45" spans="6:26" x14ac:dyDescent="0.2">
      <c r="N45" s="289"/>
      <c r="V45" s="289"/>
    </row>
    <row r="46" spans="6:26" x14ac:dyDescent="0.2">
      <c r="N46" s="289"/>
      <c r="V46" s="289"/>
    </row>
    <row r="47" spans="6:26" x14ac:dyDescent="0.2">
      <c r="N47" s="289"/>
      <c r="V47" s="289"/>
    </row>
    <row r="48" spans="6:26" x14ac:dyDescent="0.2">
      <c r="N48" s="289"/>
      <c r="V48" s="289"/>
    </row>
    <row r="49" spans="14:22" x14ac:dyDescent="0.2">
      <c r="N49" s="289"/>
      <c r="V49" s="289"/>
    </row>
    <row r="50" spans="14:22" x14ac:dyDescent="0.2">
      <c r="N50" s="289"/>
      <c r="V50" s="289"/>
    </row>
    <row r="51" spans="14:22" x14ac:dyDescent="0.2">
      <c r="N51" s="289"/>
      <c r="V51" s="289"/>
    </row>
    <row r="52" spans="14:22" x14ac:dyDescent="0.2">
      <c r="N52" s="289"/>
      <c r="V52" s="289"/>
    </row>
    <row r="53" spans="14:22" x14ac:dyDescent="0.2">
      <c r="N53" s="289"/>
      <c r="V53" s="289"/>
    </row>
    <row r="54" spans="14:22" x14ac:dyDescent="0.2">
      <c r="N54" s="289"/>
      <c r="V54" s="289"/>
    </row>
    <row r="55" spans="14:22" x14ac:dyDescent="0.2">
      <c r="N55" s="289"/>
      <c r="V55" s="289"/>
    </row>
    <row r="56" spans="14:22" x14ac:dyDescent="0.2">
      <c r="N56" s="289"/>
      <c r="V56" s="289"/>
    </row>
  </sheetData>
  <mergeCells count="36">
    <mergeCell ref="A2:Z2"/>
    <mergeCell ref="A4:A6"/>
    <mergeCell ref="B4:D4"/>
    <mergeCell ref="E4:G4"/>
    <mergeCell ref="H4:J4"/>
    <mergeCell ref="K4:M4"/>
    <mergeCell ref="N4:P4"/>
    <mergeCell ref="Q4:S4"/>
    <mergeCell ref="V4:X4"/>
    <mergeCell ref="Y4:Z4"/>
    <mergeCell ref="L5:L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W5:W6"/>
    <mergeCell ref="X5:X6"/>
    <mergeCell ref="Y5:Y6"/>
    <mergeCell ref="Z5:Z6"/>
    <mergeCell ref="M5:M6"/>
    <mergeCell ref="N5:N6"/>
    <mergeCell ref="O5:O6"/>
    <mergeCell ref="P5:P6"/>
    <mergeCell ref="Q5:Q6"/>
    <mergeCell ref="R5:R6"/>
    <mergeCell ref="T4:U4"/>
    <mergeCell ref="T5:T6"/>
    <mergeCell ref="U5:U6"/>
    <mergeCell ref="S5:S6"/>
    <mergeCell ref="V5:V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7"/>
  <sheetViews>
    <sheetView topLeftCell="A121" zoomScaleNormal="100" workbookViewId="0">
      <selection activeCell="G138" sqref="G138"/>
    </sheetView>
  </sheetViews>
  <sheetFormatPr defaultRowHeight="12.75" x14ac:dyDescent="0.2"/>
  <cols>
    <col min="1" max="1" width="69.140625" customWidth="1"/>
    <col min="2" max="2" width="13.85546875" style="85" customWidth="1"/>
    <col min="3" max="3" width="15.85546875" style="85" customWidth="1"/>
    <col min="4" max="4" width="13.28515625" style="85" bestFit="1" customWidth="1"/>
    <col min="5" max="5" width="14.7109375" style="85" customWidth="1"/>
    <col min="6" max="6" width="15.85546875" style="85" customWidth="1"/>
    <col min="7" max="7" width="13.28515625" style="85" bestFit="1" customWidth="1"/>
    <col min="8" max="8" width="14.7109375" style="85" customWidth="1"/>
    <col min="9" max="9" width="15.85546875" style="85" customWidth="1"/>
    <col min="10" max="10" width="13.28515625" style="85" bestFit="1" customWidth="1"/>
    <col min="11" max="11" width="14.7109375" style="85" customWidth="1"/>
    <col min="12" max="12" width="13.140625" style="85" bestFit="1" customWidth="1"/>
    <col min="13" max="13" width="13.28515625" style="85" bestFit="1" customWidth="1"/>
  </cols>
  <sheetData>
    <row r="1" spans="1:13" ht="12.75" customHeight="1" x14ac:dyDescent="0.2">
      <c r="A1" s="526" t="s">
        <v>347</v>
      </c>
      <c r="B1" s="527"/>
      <c r="C1" s="527"/>
      <c r="D1" s="527"/>
      <c r="E1" s="527"/>
      <c r="F1" s="527"/>
      <c r="G1" s="527"/>
      <c r="H1" s="527"/>
      <c r="I1" s="527"/>
      <c r="J1" s="527"/>
      <c r="K1" s="527"/>
      <c r="L1" s="527"/>
      <c r="M1" s="527"/>
    </row>
    <row r="2" spans="1:13" ht="13.5" customHeight="1" thickBot="1" x14ac:dyDescent="0.25">
      <c r="A2" s="409"/>
    </row>
    <row r="3" spans="1:13" ht="40.5" customHeight="1" thickBot="1" x14ac:dyDescent="0.25">
      <c r="A3" s="544" t="s">
        <v>282</v>
      </c>
      <c r="B3" s="531" t="s">
        <v>284</v>
      </c>
      <c r="C3" s="532"/>
      <c r="D3" s="533"/>
      <c r="E3" s="531" t="s">
        <v>323</v>
      </c>
      <c r="F3" s="532"/>
      <c r="G3" s="533"/>
      <c r="H3" s="531" t="s">
        <v>283</v>
      </c>
      <c r="I3" s="532"/>
      <c r="J3" s="533"/>
      <c r="K3" s="531" t="s">
        <v>285</v>
      </c>
      <c r="L3" s="532"/>
      <c r="M3" s="534"/>
    </row>
    <row r="4" spans="1:13" ht="100.5" thickBot="1" x14ac:dyDescent="0.25">
      <c r="A4" s="545"/>
      <c r="B4" s="324" t="s">
        <v>286</v>
      </c>
      <c r="C4" s="309" t="s">
        <v>287</v>
      </c>
      <c r="D4" s="309" t="s">
        <v>289</v>
      </c>
      <c r="E4" s="324" t="s">
        <v>286</v>
      </c>
      <c r="F4" s="309" t="s">
        <v>287</v>
      </c>
      <c r="G4" s="309" t="s">
        <v>324</v>
      </c>
      <c r="H4" s="324" t="s">
        <v>286</v>
      </c>
      <c r="I4" s="309" t="s">
        <v>287</v>
      </c>
      <c r="J4" s="309" t="s">
        <v>325</v>
      </c>
      <c r="K4" s="324" t="s">
        <v>286</v>
      </c>
      <c r="L4" s="325" t="s">
        <v>287</v>
      </c>
      <c r="M4" s="310" t="s">
        <v>288</v>
      </c>
    </row>
    <row r="5" spans="1:13" x14ac:dyDescent="0.2">
      <c r="A5" s="346">
        <v>1</v>
      </c>
      <c r="B5" s="347">
        <v>2</v>
      </c>
      <c r="C5" s="348">
        <v>3</v>
      </c>
      <c r="D5" s="349">
        <v>4</v>
      </c>
      <c r="E5" s="347">
        <v>5</v>
      </c>
      <c r="F5" s="348">
        <v>6</v>
      </c>
      <c r="G5" s="349">
        <v>7</v>
      </c>
      <c r="H5" s="347">
        <v>8</v>
      </c>
      <c r="I5" s="348">
        <v>9</v>
      </c>
      <c r="J5" s="349">
        <v>10</v>
      </c>
      <c r="K5" s="347">
        <v>11</v>
      </c>
      <c r="L5" s="351">
        <v>12</v>
      </c>
      <c r="M5" s="350">
        <v>13</v>
      </c>
    </row>
    <row r="6" spans="1:13" ht="15" x14ac:dyDescent="0.25">
      <c r="A6" s="311" t="s">
        <v>290</v>
      </c>
      <c r="B6" s="326">
        <v>1</v>
      </c>
      <c r="C6" s="330">
        <v>33039.22</v>
      </c>
      <c r="D6" s="334">
        <v>33039.22</v>
      </c>
      <c r="E6" s="326">
        <v>1</v>
      </c>
      <c r="F6" s="326">
        <v>33039.22</v>
      </c>
      <c r="G6" s="334">
        <v>33039.22</v>
      </c>
      <c r="H6" s="326">
        <f>E6-B6</f>
        <v>0</v>
      </c>
      <c r="I6" s="326">
        <f>F6-C6</f>
        <v>0</v>
      </c>
      <c r="J6" s="334">
        <f>G6-D6</f>
        <v>0</v>
      </c>
      <c r="K6" s="326">
        <v>1</v>
      </c>
      <c r="L6" s="327">
        <f xml:space="preserve"> ROUND(F6*1.09,2)</f>
        <v>36012.75</v>
      </c>
      <c r="M6" s="312">
        <f>L6*K6</f>
        <v>36012.75</v>
      </c>
    </row>
    <row r="7" spans="1:13" ht="15.75" thickBot="1" x14ac:dyDescent="0.3">
      <c r="A7" s="313" t="s">
        <v>291</v>
      </c>
      <c r="B7" s="328">
        <v>1</v>
      </c>
      <c r="C7" s="326">
        <v>17896.259999999998</v>
      </c>
      <c r="D7" s="334">
        <v>17896.259999999998</v>
      </c>
      <c r="E7" s="328">
        <v>1</v>
      </c>
      <c r="F7" s="326">
        <v>17896.259999999998</v>
      </c>
      <c r="G7" s="334">
        <v>17896.259999999998</v>
      </c>
      <c r="H7" s="328">
        <f t="shared" ref="H7:H68" si="0">E7-B7</f>
        <v>0</v>
      </c>
      <c r="I7" s="326">
        <f t="shared" ref="I7:I68" si="1">F7-C7</f>
        <v>0</v>
      </c>
      <c r="J7" s="334">
        <f t="shared" ref="J7:J68" si="2">G7-D7</f>
        <v>0</v>
      </c>
      <c r="K7" s="328">
        <v>1</v>
      </c>
      <c r="L7" s="327">
        <f t="shared" ref="L7:L68" si="3" xml:space="preserve"> ROUND(F7*1.09,2)</f>
        <v>19506.919999999998</v>
      </c>
      <c r="M7" s="312">
        <f t="shared" ref="M7:M68" si="4">L7*K7</f>
        <v>19506.919999999998</v>
      </c>
    </row>
    <row r="8" spans="1:13" ht="15" thickBot="1" x14ac:dyDescent="0.25">
      <c r="A8" s="314" t="s">
        <v>292</v>
      </c>
      <c r="B8" s="329">
        <f>SUM(B6:B7)</f>
        <v>2</v>
      </c>
      <c r="C8" s="329"/>
      <c r="D8" s="335">
        <f t="shared" ref="D8:M8" si="5">SUM(D6:D7)</f>
        <v>50935.479999999996</v>
      </c>
      <c r="E8" s="329">
        <f t="shared" si="5"/>
        <v>2</v>
      </c>
      <c r="F8" s="329"/>
      <c r="G8" s="335">
        <f t="shared" si="5"/>
        <v>50935.479999999996</v>
      </c>
      <c r="H8" s="329">
        <f t="shared" si="5"/>
        <v>0</v>
      </c>
      <c r="I8" s="329"/>
      <c r="J8" s="335">
        <f t="shared" si="5"/>
        <v>0</v>
      </c>
      <c r="K8" s="329">
        <f t="shared" si="5"/>
        <v>2</v>
      </c>
      <c r="L8" s="329"/>
      <c r="M8" s="320">
        <f t="shared" si="5"/>
        <v>55519.67</v>
      </c>
    </row>
    <row r="9" spans="1:13" ht="15" customHeight="1" x14ac:dyDescent="0.2">
      <c r="A9" s="535" t="s">
        <v>39</v>
      </c>
      <c r="B9" s="536"/>
      <c r="C9" s="536"/>
      <c r="D9" s="536"/>
      <c r="E9" s="536"/>
      <c r="F9" s="536"/>
      <c r="G9" s="536"/>
      <c r="H9" s="536"/>
      <c r="I9" s="536"/>
      <c r="J9" s="536"/>
      <c r="K9" s="536"/>
      <c r="L9" s="536"/>
      <c r="M9" s="537"/>
    </row>
    <row r="10" spans="1:13" ht="15" x14ac:dyDescent="0.25">
      <c r="A10" s="315" t="s">
        <v>293</v>
      </c>
      <c r="B10" s="330">
        <v>1</v>
      </c>
      <c r="C10" s="343">
        <v>23402.77</v>
      </c>
      <c r="D10" s="336">
        <v>23402.77</v>
      </c>
      <c r="E10" s="330">
        <v>1</v>
      </c>
      <c r="F10" s="343">
        <v>23402.77</v>
      </c>
      <c r="G10" s="336">
        <v>23402.77</v>
      </c>
      <c r="H10" s="330">
        <f t="shared" si="0"/>
        <v>0</v>
      </c>
      <c r="I10" s="343">
        <f t="shared" si="1"/>
        <v>0</v>
      </c>
      <c r="J10" s="336">
        <f t="shared" si="2"/>
        <v>0</v>
      </c>
      <c r="K10" s="330">
        <v>1</v>
      </c>
      <c r="L10" s="327">
        <f t="shared" si="3"/>
        <v>25509.02</v>
      </c>
      <c r="M10" s="312">
        <f t="shared" si="4"/>
        <v>25509.02</v>
      </c>
    </row>
    <row r="11" spans="1:13" ht="15" x14ac:dyDescent="0.25">
      <c r="A11" s="315" t="s">
        <v>294</v>
      </c>
      <c r="B11" s="330">
        <v>1</v>
      </c>
      <c r="C11" s="343">
        <v>21200.16</v>
      </c>
      <c r="D11" s="336">
        <v>21200.16</v>
      </c>
      <c r="E11" s="330">
        <v>1</v>
      </c>
      <c r="F11" s="343">
        <v>21200.16</v>
      </c>
      <c r="G11" s="336">
        <v>21200.16</v>
      </c>
      <c r="H11" s="330">
        <f t="shared" si="0"/>
        <v>0</v>
      </c>
      <c r="I11" s="343">
        <f t="shared" si="1"/>
        <v>0</v>
      </c>
      <c r="J11" s="336">
        <f t="shared" si="2"/>
        <v>0</v>
      </c>
      <c r="K11" s="330">
        <v>1</v>
      </c>
      <c r="L11" s="327">
        <f t="shared" si="3"/>
        <v>23108.17</v>
      </c>
      <c r="M11" s="312">
        <f t="shared" si="4"/>
        <v>23108.17</v>
      </c>
    </row>
    <row r="12" spans="1:13" ht="15" x14ac:dyDescent="0.25">
      <c r="A12" s="315" t="s">
        <v>182</v>
      </c>
      <c r="B12" s="330">
        <v>3</v>
      </c>
      <c r="C12" s="343">
        <v>17896.259999999998</v>
      </c>
      <c r="D12" s="336">
        <v>53688.78</v>
      </c>
      <c r="E12" s="330">
        <v>3</v>
      </c>
      <c r="F12" s="343">
        <v>17896.259999999998</v>
      </c>
      <c r="G12" s="336">
        <v>53688.78</v>
      </c>
      <c r="H12" s="330">
        <f t="shared" si="0"/>
        <v>0</v>
      </c>
      <c r="I12" s="343">
        <f t="shared" si="1"/>
        <v>0</v>
      </c>
      <c r="J12" s="336">
        <f t="shared" si="2"/>
        <v>0</v>
      </c>
      <c r="K12" s="330">
        <v>3</v>
      </c>
      <c r="L12" s="327">
        <f t="shared" si="3"/>
        <v>19506.919999999998</v>
      </c>
      <c r="M12" s="312">
        <f t="shared" si="4"/>
        <v>58520.759999999995</v>
      </c>
    </row>
    <row r="13" spans="1:13" ht="15.75" thickBot="1" x14ac:dyDescent="0.3">
      <c r="A13" s="316" t="s">
        <v>183</v>
      </c>
      <c r="B13" s="331">
        <v>1</v>
      </c>
      <c r="C13" s="343">
        <v>15418.33</v>
      </c>
      <c r="D13" s="336">
        <v>15418.33</v>
      </c>
      <c r="E13" s="331">
        <v>1</v>
      </c>
      <c r="F13" s="343">
        <v>15418.33</v>
      </c>
      <c r="G13" s="336">
        <v>15418.33</v>
      </c>
      <c r="H13" s="331">
        <f t="shared" si="0"/>
        <v>0</v>
      </c>
      <c r="I13" s="343">
        <f t="shared" si="1"/>
        <v>0</v>
      </c>
      <c r="J13" s="336">
        <f t="shared" si="2"/>
        <v>0</v>
      </c>
      <c r="K13" s="331">
        <v>1</v>
      </c>
      <c r="L13" s="327">
        <f t="shared" si="3"/>
        <v>16805.98</v>
      </c>
      <c r="M13" s="312">
        <f t="shared" si="4"/>
        <v>16805.98</v>
      </c>
    </row>
    <row r="14" spans="1:13" ht="15" thickBot="1" x14ac:dyDescent="0.25">
      <c r="A14" s="314" t="s">
        <v>295</v>
      </c>
      <c r="B14" s="329">
        <f>SUM(B10:B13)</f>
        <v>6</v>
      </c>
      <c r="C14" s="329"/>
      <c r="D14" s="335">
        <f t="shared" ref="D14:M14" si="6">SUM(D10:D13)</f>
        <v>113710.04</v>
      </c>
      <c r="E14" s="329">
        <f t="shared" si="6"/>
        <v>6</v>
      </c>
      <c r="F14" s="329"/>
      <c r="G14" s="335">
        <f t="shared" si="6"/>
        <v>113710.04</v>
      </c>
      <c r="H14" s="329">
        <f t="shared" si="6"/>
        <v>0</v>
      </c>
      <c r="I14" s="329"/>
      <c r="J14" s="335">
        <f t="shared" si="6"/>
        <v>0</v>
      </c>
      <c r="K14" s="329">
        <f t="shared" si="6"/>
        <v>6</v>
      </c>
      <c r="L14" s="329"/>
      <c r="M14" s="320">
        <f t="shared" si="6"/>
        <v>123943.93</v>
      </c>
    </row>
    <row r="15" spans="1:13" ht="14.25" customHeight="1" x14ac:dyDescent="0.2">
      <c r="A15" s="535" t="s">
        <v>52</v>
      </c>
      <c r="B15" s="536"/>
      <c r="C15" s="536"/>
      <c r="D15" s="536"/>
      <c r="E15" s="536"/>
      <c r="F15" s="536"/>
      <c r="G15" s="536"/>
      <c r="H15" s="536">
        <f t="shared" si="0"/>
        <v>0</v>
      </c>
      <c r="I15" s="536">
        <f t="shared" si="1"/>
        <v>0</v>
      </c>
      <c r="J15" s="536">
        <f t="shared" si="2"/>
        <v>0</v>
      </c>
      <c r="K15" s="536"/>
      <c r="L15" s="536">
        <f t="shared" si="3"/>
        <v>0</v>
      </c>
      <c r="M15" s="537">
        <f t="shared" si="4"/>
        <v>0</v>
      </c>
    </row>
    <row r="16" spans="1:13" ht="15" x14ac:dyDescent="0.25">
      <c r="A16" s="317" t="s">
        <v>296</v>
      </c>
      <c r="B16" s="330">
        <v>1</v>
      </c>
      <c r="C16" s="330">
        <v>30285.94</v>
      </c>
      <c r="D16" s="337">
        <v>30285.94</v>
      </c>
      <c r="E16" s="330">
        <v>1</v>
      </c>
      <c r="F16" s="330">
        <v>30285.94</v>
      </c>
      <c r="G16" s="337">
        <v>30285.94</v>
      </c>
      <c r="H16" s="330">
        <f t="shared" si="0"/>
        <v>0</v>
      </c>
      <c r="I16" s="330">
        <f t="shared" si="1"/>
        <v>0</v>
      </c>
      <c r="J16" s="337">
        <f t="shared" si="2"/>
        <v>0</v>
      </c>
      <c r="K16" s="330">
        <v>1</v>
      </c>
      <c r="L16" s="327">
        <f t="shared" si="3"/>
        <v>33011.67</v>
      </c>
      <c r="M16" s="312">
        <f t="shared" si="4"/>
        <v>33011.67</v>
      </c>
    </row>
    <row r="17" spans="1:13" ht="15" x14ac:dyDescent="0.25">
      <c r="A17" s="317" t="s">
        <v>297</v>
      </c>
      <c r="B17" s="330">
        <v>1</v>
      </c>
      <c r="C17" s="330">
        <v>23953.47</v>
      </c>
      <c r="D17" s="337">
        <v>23953.47</v>
      </c>
      <c r="E17" s="330">
        <v>1</v>
      </c>
      <c r="F17" s="330">
        <v>23953.47</v>
      </c>
      <c r="G17" s="337">
        <v>23953.47</v>
      </c>
      <c r="H17" s="330">
        <f t="shared" si="0"/>
        <v>0</v>
      </c>
      <c r="I17" s="330">
        <f t="shared" si="1"/>
        <v>0</v>
      </c>
      <c r="J17" s="337">
        <f t="shared" si="2"/>
        <v>0</v>
      </c>
      <c r="K17" s="330">
        <v>1</v>
      </c>
      <c r="L17" s="327">
        <f t="shared" si="3"/>
        <v>26109.279999999999</v>
      </c>
      <c r="M17" s="312">
        <f t="shared" si="4"/>
        <v>26109.279999999999</v>
      </c>
    </row>
    <row r="18" spans="1:13" ht="15" customHeight="1" x14ac:dyDescent="0.2">
      <c r="A18" s="538" t="s">
        <v>56</v>
      </c>
      <c r="B18" s="539"/>
      <c r="C18" s="539"/>
      <c r="D18" s="539"/>
      <c r="E18" s="539"/>
      <c r="F18" s="539"/>
      <c r="G18" s="539"/>
      <c r="H18" s="539"/>
      <c r="I18" s="539"/>
      <c r="J18" s="539"/>
      <c r="K18" s="539"/>
      <c r="L18" s="539"/>
      <c r="M18" s="540"/>
    </row>
    <row r="19" spans="1:13" ht="15" x14ac:dyDescent="0.25">
      <c r="A19" s="317" t="s">
        <v>58</v>
      </c>
      <c r="B19" s="330">
        <v>1</v>
      </c>
      <c r="C19" s="330">
        <v>23402.77</v>
      </c>
      <c r="D19" s="337">
        <v>23402.77</v>
      </c>
      <c r="E19" s="330">
        <v>1</v>
      </c>
      <c r="F19" s="330">
        <v>23402.77</v>
      </c>
      <c r="G19" s="337">
        <f t="shared" ref="G19:G20" si="7">E19*F19</f>
        <v>23402.77</v>
      </c>
      <c r="H19" s="330">
        <f t="shared" si="0"/>
        <v>0</v>
      </c>
      <c r="I19" s="330">
        <f t="shared" si="1"/>
        <v>0</v>
      </c>
      <c r="J19" s="337">
        <f t="shared" si="2"/>
        <v>0</v>
      </c>
      <c r="K19" s="330">
        <v>1</v>
      </c>
      <c r="L19" s="327">
        <f t="shared" si="3"/>
        <v>25509.02</v>
      </c>
      <c r="M19" s="312">
        <f t="shared" si="4"/>
        <v>25509.02</v>
      </c>
    </row>
    <row r="20" spans="1:13" ht="15" x14ac:dyDescent="0.25">
      <c r="A20" s="317" t="s">
        <v>298</v>
      </c>
      <c r="B20" s="330">
        <v>1</v>
      </c>
      <c r="C20" s="330">
        <v>21200.16</v>
      </c>
      <c r="D20" s="337">
        <v>21200.16</v>
      </c>
      <c r="E20" s="330">
        <v>1</v>
      </c>
      <c r="F20" s="330">
        <v>21200.16</v>
      </c>
      <c r="G20" s="337">
        <f t="shared" si="7"/>
        <v>21200.16</v>
      </c>
      <c r="H20" s="330">
        <f t="shared" si="0"/>
        <v>0</v>
      </c>
      <c r="I20" s="330">
        <f t="shared" si="1"/>
        <v>0</v>
      </c>
      <c r="J20" s="337">
        <f t="shared" si="2"/>
        <v>0</v>
      </c>
      <c r="K20" s="330">
        <v>1</v>
      </c>
      <c r="L20" s="327">
        <f t="shared" si="3"/>
        <v>23108.17</v>
      </c>
      <c r="M20" s="312">
        <f t="shared" si="4"/>
        <v>23108.17</v>
      </c>
    </row>
    <row r="21" spans="1:13" ht="15" x14ac:dyDescent="0.25">
      <c r="A21" s="317" t="s">
        <v>45</v>
      </c>
      <c r="B21" s="330">
        <v>8</v>
      </c>
      <c r="C21" s="330">
        <v>17896.259999999998</v>
      </c>
      <c r="D21" s="337">
        <v>143170.07999999999</v>
      </c>
      <c r="E21" s="330">
        <v>9</v>
      </c>
      <c r="F21" s="330">
        <v>17896.259999999998</v>
      </c>
      <c r="G21" s="337">
        <f>E21*F21</f>
        <v>161066.34</v>
      </c>
      <c r="H21" s="330">
        <f t="shared" si="0"/>
        <v>1</v>
      </c>
      <c r="I21" s="330">
        <f t="shared" si="1"/>
        <v>0</v>
      </c>
      <c r="J21" s="337">
        <f t="shared" si="2"/>
        <v>17896.260000000009</v>
      </c>
      <c r="K21" s="330">
        <v>9</v>
      </c>
      <c r="L21" s="327">
        <f t="shared" si="3"/>
        <v>19506.919999999998</v>
      </c>
      <c r="M21" s="312">
        <f t="shared" si="4"/>
        <v>175562.27999999997</v>
      </c>
    </row>
    <row r="22" spans="1:13" ht="15.75" thickBot="1" x14ac:dyDescent="0.3">
      <c r="A22" s="318" t="s">
        <v>48</v>
      </c>
      <c r="B22" s="331">
        <v>2</v>
      </c>
      <c r="C22" s="330">
        <v>15418.33</v>
      </c>
      <c r="D22" s="337">
        <v>30836.66</v>
      </c>
      <c r="E22" s="331">
        <v>2</v>
      </c>
      <c r="F22" s="330">
        <v>15418.33</v>
      </c>
      <c r="G22" s="337">
        <f>E22*F22</f>
        <v>30836.66</v>
      </c>
      <c r="H22" s="331">
        <f t="shared" si="0"/>
        <v>0</v>
      </c>
      <c r="I22" s="330">
        <f t="shared" si="1"/>
        <v>0</v>
      </c>
      <c r="J22" s="337">
        <f t="shared" si="2"/>
        <v>0</v>
      </c>
      <c r="K22" s="331">
        <v>2</v>
      </c>
      <c r="L22" s="327">
        <f t="shared" si="3"/>
        <v>16805.98</v>
      </c>
      <c r="M22" s="312">
        <f t="shared" si="4"/>
        <v>33611.96</v>
      </c>
    </row>
    <row r="23" spans="1:13" ht="15" thickBot="1" x14ac:dyDescent="0.25">
      <c r="A23" s="319" t="s">
        <v>295</v>
      </c>
      <c r="B23" s="329">
        <f>SUM(B19:B22)</f>
        <v>12</v>
      </c>
      <c r="C23" s="329"/>
      <c r="D23" s="335">
        <f t="shared" ref="D23:M23" si="8">SUM(D19:D22)</f>
        <v>218609.66999999998</v>
      </c>
      <c r="E23" s="329">
        <f t="shared" si="8"/>
        <v>13</v>
      </c>
      <c r="F23" s="329"/>
      <c r="G23" s="335">
        <f t="shared" si="8"/>
        <v>236505.93</v>
      </c>
      <c r="H23" s="329">
        <f t="shared" si="8"/>
        <v>1</v>
      </c>
      <c r="I23" s="329"/>
      <c r="J23" s="335">
        <f t="shared" si="8"/>
        <v>17896.260000000009</v>
      </c>
      <c r="K23" s="329">
        <f t="shared" si="8"/>
        <v>13</v>
      </c>
      <c r="L23" s="329"/>
      <c r="M23" s="320">
        <f t="shared" si="8"/>
        <v>257791.42999999996</v>
      </c>
    </row>
    <row r="24" spans="1:13" ht="15" customHeight="1" x14ac:dyDescent="0.2">
      <c r="A24" s="541" t="s">
        <v>299</v>
      </c>
      <c r="B24" s="542"/>
      <c r="C24" s="542"/>
      <c r="D24" s="542"/>
      <c r="E24" s="542"/>
      <c r="F24" s="542"/>
      <c r="G24" s="542"/>
      <c r="H24" s="542"/>
      <c r="I24" s="542"/>
      <c r="J24" s="542"/>
      <c r="K24" s="542"/>
      <c r="L24" s="542"/>
      <c r="M24" s="543"/>
    </row>
    <row r="25" spans="1:13" ht="15" x14ac:dyDescent="0.25">
      <c r="A25" s="317" t="s">
        <v>58</v>
      </c>
      <c r="B25" s="330">
        <v>1</v>
      </c>
      <c r="C25" s="330">
        <v>23402.77</v>
      </c>
      <c r="D25" s="337">
        <v>23402.77</v>
      </c>
      <c r="E25" s="330">
        <v>1</v>
      </c>
      <c r="F25" s="330">
        <v>23402.77</v>
      </c>
      <c r="G25" s="337">
        <f>E25*F25</f>
        <v>23402.77</v>
      </c>
      <c r="H25" s="330">
        <f t="shared" si="0"/>
        <v>0</v>
      </c>
      <c r="I25" s="330">
        <f t="shared" si="1"/>
        <v>0</v>
      </c>
      <c r="J25" s="337">
        <f t="shared" si="2"/>
        <v>0</v>
      </c>
      <c r="K25" s="330">
        <v>1</v>
      </c>
      <c r="L25" s="327">
        <f t="shared" si="3"/>
        <v>25509.02</v>
      </c>
      <c r="M25" s="312">
        <f t="shared" si="4"/>
        <v>25509.02</v>
      </c>
    </row>
    <row r="26" spans="1:13" ht="15" x14ac:dyDescent="0.25">
      <c r="A26" s="317" t="s">
        <v>298</v>
      </c>
      <c r="B26" s="330">
        <v>1</v>
      </c>
      <c r="C26" s="330">
        <v>21200.16</v>
      </c>
      <c r="D26" s="337">
        <v>21200.16</v>
      </c>
      <c r="E26" s="330">
        <v>1</v>
      </c>
      <c r="F26" s="330">
        <v>21200.16</v>
      </c>
      <c r="G26" s="337">
        <f t="shared" ref="G26:G28" si="9">E26*F26</f>
        <v>21200.16</v>
      </c>
      <c r="H26" s="330">
        <f t="shared" si="0"/>
        <v>0</v>
      </c>
      <c r="I26" s="330">
        <f t="shared" si="1"/>
        <v>0</v>
      </c>
      <c r="J26" s="337">
        <f t="shared" si="2"/>
        <v>0</v>
      </c>
      <c r="K26" s="330">
        <v>1</v>
      </c>
      <c r="L26" s="327">
        <f t="shared" si="3"/>
        <v>23108.17</v>
      </c>
      <c r="M26" s="312">
        <f t="shared" si="4"/>
        <v>23108.17</v>
      </c>
    </row>
    <row r="27" spans="1:13" ht="15" x14ac:dyDescent="0.25">
      <c r="A27" s="317" t="s">
        <v>45</v>
      </c>
      <c r="B27" s="330">
        <v>4</v>
      </c>
      <c r="C27" s="330">
        <v>17896.259999999998</v>
      </c>
      <c r="D27" s="337">
        <v>71585.039999999994</v>
      </c>
      <c r="E27" s="330">
        <v>4</v>
      </c>
      <c r="F27" s="330">
        <v>17896.259999999998</v>
      </c>
      <c r="G27" s="337">
        <f t="shared" si="9"/>
        <v>71585.039999999994</v>
      </c>
      <c r="H27" s="330">
        <f t="shared" si="0"/>
        <v>0</v>
      </c>
      <c r="I27" s="330">
        <f t="shared" si="1"/>
        <v>0</v>
      </c>
      <c r="J27" s="337">
        <f t="shared" si="2"/>
        <v>0</v>
      </c>
      <c r="K27" s="330">
        <v>4</v>
      </c>
      <c r="L27" s="327">
        <f t="shared" si="3"/>
        <v>19506.919999999998</v>
      </c>
      <c r="M27" s="312">
        <f t="shared" si="4"/>
        <v>78027.679999999993</v>
      </c>
    </row>
    <row r="28" spans="1:13" ht="15.75" thickBot="1" x14ac:dyDescent="0.3">
      <c r="A28" s="318" t="s">
        <v>48</v>
      </c>
      <c r="B28" s="331">
        <v>1</v>
      </c>
      <c r="C28" s="330">
        <v>15418.33</v>
      </c>
      <c r="D28" s="337">
        <v>15418.33</v>
      </c>
      <c r="E28" s="331">
        <v>1</v>
      </c>
      <c r="F28" s="330">
        <v>15418.33</v>
      </c>
      <c r="G28" s="337">
        <f t="shared" si="9"/>
        <v>15418.33</v>
      </c>
      <c r="H28" s="331">
        <f t="shared" si="0"/>
        <v>0</v>
      </c>
      <c r="I28" s="330">
        <f t="shared" si="1"/>
        <v>0</v>
      </c>
      <c r="J28" s="337">
        <f t="shared" si="2"/>
        <v>0</v>
      </c>
      <c r="K28" s="331">
        <v>1</v>
      </c>
      <c r="L28" s="327">
        <f t="shared" si="3"/>
        <v>16805.98</v>
      </c>
      <c r="M28" s="312">
        <f t="shared" si="4"/>
        <v>16805.98</v>
      </c>
    </row>
    <row r="29" spans="1:13" ht="15" thickBot="1" x14ac:dyDescent="0.25">
      <c r="A29" s="319" t="s">
        <v>295</v>
      </c>
      <c r="B29" s="329">
        <f>SUM(B25:B28)</f>
        <v>7</v>
      </c>
      <c r="C29" s="329"/>
      <c r="D29" s="335">
        <f t="shared" ref="D29:M29" si="10">SUM(D25:D28)</f>
        <v>131606.29999999999</v>
      </c>
      <c r="E29" s="329">
        <f t="shared" si="10"/>
        <v>7</v>
      </c>
      <c r="F29" s="329"/>
      <c r="G29" s="335">
        <f t="shared" si="10"/>
        <v>131606.29999999999</v>
      </c>
      <c r="H29" s="329">
        <f t="shared" si="10"/>
        <v>0</v>
      </c>
      <c r="I29" s="329"/>
      <c r="J29" s="335">
        <f t="shared" si="10"/>
        <v>0</v>
      </c>
      <c r="K29" s="329">
        <f t="shared" si="10"/>
        <v>7</v>
      </c>
      <c r="L29" s="329"/>
      <c r="M29" s="320">
        <f t="shared" si="10"/>
        <v>143450.85</v>
      </c>
    </row>
    <row r="30" spans="1:13" ht="15" thickBot="1" x14ac:dyDescent="0.25">
      <c r="A30" s="321" t="s">
        <v>300</v>
      </c>
      <c r="B30" s="332">
        <f>B29+B23+B17+B16</f>
        <v>21</v>
      </c>
      <c r="C30" s="332"/>
      <c r="D30" s="338">
        <f t="shared" ref="D30:M30" si="11">D29+D23+D17+D16</f>
        <v>404455.37999999995</v>
      </c>
      <c r="E30" s="332">
        <f t="shared" si="11"/>
        <v>22</v>
      </c>
      <c r="F30" s="332"/>
      <c r="G30" s="338">
        <f t="shared" si="11"/>
        <v>422351.63999999996</v>
      </c>
      <c r="H30" s="332">
        <f t="shared" si="11"/>
        <v>1</v>
      </c>
      <c r="I30" s="332"/>
      <c r="J30" s="338">
        <f t="shared" si="11"/>
        <v>17896.260000000009</v>
      </c>
      <c r="K30" s="332">
        <f t="shared" si="11"/>
        <v>22</v>
      </c>
      <c r="L30" s="332"/>
      <c r="M30" s="322">
        <f t="shared" si="11"/>
        <v>460363.22999999992</v>
      </c>
    </row>
    <row r="31" spans="1:13" ht="15" customHeight="1" x14ac:dyDescent="0.2">
      <c r="A31" s="546" t="s">
        <v>74</v>
      </c>
      <c r="B31" s="547"/>
      <c r="C31" s="547"/>
      <c r="D31" s="547"/>
      <c r="E31" s="547"/>
      <c r="F31" s="547"/>
      <c r="G31" s="547"/>
      <c r="H31" s="547"/>
      <c r="I31" s="547"/>
      <c r="J31" s="547"/>
      <c r="K31" s="547"/>
      <c r="L31" s="547"/>
      <c r="M31" s="548"/>
    </row>
    <row r="32" spans="1:13" ht="15" x14ac:dyDescent="0.25">
      <c r="A32" s="317" t="s">
        <v>58</v>
      </c>
      <c r="B32" s="330">
        <v>1</v>
      </c>
      <c r="C32" s="330">
        <v>23402.77</v>
      </c>
      <c r="D32" s="337">
        <v>23402.77</v>
      </c>
      <c r="E32" s="330">
        <v>1</v>
      </c>
      <c r="F32" s="330">
        <v>23402.77</v>
      </c>
      <c r="G32" s="337">
        <v>23402.77</v>
      </c>
      <c r="H32" s="330">
        <f t="shared" si="0"/>
        <v>0</v>
      </c>
      <c r="I32" s="330">
        <f t="shared" si="1"/>
        <v>0</v>
      </c>
      <c r="J32" s="337">
        <f t="shared" si="2"/>
        <v>0</v>
      </c>
      <c r="K32" s="330">
        <v>1</v>
      </c>
      <c r="L32" s="327">
        <f t="shared" si="3"/>
        <v>25509.02</v>
      </c>
      <c r="M32" s="312">
        <f t="shared" si="4"/>
        <v>25509.02</v>
      </c>
    </row>
    <row r="33" spans="1:13" ht="15.75" thickBot="1" x14ac:dyDescent="0.3">
      <c r="A33" s="318" t="s">
        <v>301</v>
      </c>
      <c r="B33" s="331">
        <v>1</v>
      </c>
      <c r="C33" s="330">
        <v>17896.259999999998</v>
      </c>
      <c r="D33" s="337">
        <v>17896.259999999998</v>
      </c>
      <c r="E33" s="331">
        <v>1</v>
      </c>
      <c r="F33" s="330">
        <v>17896.259999999998</v>
      </c>
      <c r="G33" s="337">
        <v>17896.259999999998</v>
      </c>
      <c r="H33" s="331">
        <f t="shared" si="0"/>
        <v>0</v>
      </c>
      <c r="I33" s="330">
        <f t="shared" si="1"/>
        <v>0</v>
      </c>
      <c r="J33" s="337">
        <f t="shared" si="2"/>
        <v>0</v>
      </c>
      <c r="K33" s="331">
        <v>1</v>
      </c>
      <c r="L33" s="327">
        <f t="shared" si="3"/>
        <v>19506.919999999998</v>
      </c>
      <c r="M33" s="312">
        <f t="shared" si="4"/>
        <v>19506.919999999998</v>
      </c>
    </row>
    <row r="34" spans="1:13" ht="15" thickBot="1" x14ac:dyDescent="0.25">
      <c r="A34" s="319" t="s">
        <v>295</v>
      </c>
      <c r="B34" s="329">
        <f>SUM(B32:B33)</f>
        <v>2</v>
      </c>
      <c r="C34" s="329"/>
      <c r="D34" s="335">
        <f t="shared" ref="D34:M34" si="12">SUM(D32:D33)</f>
        <v>41299.03</v>
      </c>
      <c r="E34" s="329">
        <f t="shared" si="12"/>
        <v>2</v>
      </c>
      <c r="F34" s="329"/>
      <c r="G34" s="335">
        <f t="shared" si="12"/>
        <v>41299.03</v>
      </c>
      <c r="H34" s="329">
        <f t="shared" si="12"/>
        <v>0</v>
      </c>
      <c r="I34" s="329"/>
      <c r="J34" s="335">
        <f t="shared" si="12"/>
        <v>0</v>
      </c>
      <c r="K34" s="329">
        <f t="shared" si="12"/>
        <v>2</v>
      </c>
      <c r="L34" s="329"/>
      <c r="M34" s="320">
        <f t="shared" si="12"/>
        <v>45015.94</v>
      </c>
    </row>
    <row r="35" spans="1:13" ht="14.25" customHeight="1" x14ac:dyDescent="0.2">
      <c r="A35" s="528" t="s">
        <v>302</v>
      </c>
      <c r="B35" s="529"/>
      <c r="C35" s="529"/>
      <c r="D35" s="529"/>
      <c r="E35" s="529"/>
      <c r="F35" s="529"/>
      <c r="G35" s="529"/>
      <c r="H35" s="529"/>
      <c r="I35" s="529"/>
      <c r="J35" s="529"/>
      <c r="K35" s="529"/>
      <c r="L35" s="529"/>
      <c r="M35" s="530"/>
    </row>
    <row r="36" spans="1:13" ht="15" x14ac:dyDescent="0.25">
      <c r="A36" s="317" t="s">
        <v>296</v>
      </c>
      <c r="B36" s="330">
        <v>1</v>
      </c>
      <c r="C36" s="330">
        <v>30285.94</v>
      </c>
      <c r="D36" s="337">
        <v>30285.94</v>
      </c>
      <c r="E36" s="330">
        <v>1</v>
      </c>
      <c r="F36" s="330">
        <v>30285.94</v>
      </c>
      <c r="G36" s="337">
        <v>30285.94</v>
      </c>
      <c r="H36" s="330">
        <f t="shared" si="0"/>
        <v>0</v>
      </c>
      <c r="I36" s="330">
        <f t="shared" si="1"/>
        <v>0</v>
      </c>
      <c r="J36" s="337">
        <f t="shared" si="2"/>
        <v>0</v>
      </c>
      <c r="K36" s="330">
        <v>1</v>
      </c>
      <c r="L36" s="327">
        <f t="shared" si="3"/>
        <v>33011.67</v>
      </c>
      <c r="M36" s="312">
        <f t="shared" si="4"/>
        <v>33011.67</v>
      </c>
    </row>
    <row r="37" spans="1:13" ht="15" x14ac:dyDescent="0.25">
      <c r="A37" s="317" t="s">
        <v>303</v>
      </c>
      <c r="B37" s="330">
        <v>1</v>
      </c>
      <c r="C37" s="330">
        <v>23953.47</v>
      </c>
      <c r="D37" s="337">
        <v>23953.47</v>
      </c>
      <c r="E37" s="330">
        <v>1</v>
      </c>
      <c r="F37" s="330">
        <v>23953.47</v>
      </c>
      <c r="G37" s="337">
        <v>23953.47</v>
      </c>
      <c r="H37" s="330">
        <f t="shared" si="0"/>
        <v>0</v>
      </c>
      <c r="I37" s="330">
        <f t="shared" si="1"/>
        <v>0</v>
      </c>
      <c r="J37" s="337">
        <f t="shared" si="2"/>
        <v>0</v>
      </c>
      <c r="K37" s="330">
        <v>1</v>
      </c>
      <c r="L37" s="327">
        <f t="shared" si="3"/>
        <v>26109.279999999999</v>
      </c>
      <c r="M37" s="312">
        <f t="shared" si="4"/>
        <v>26109.279999999999</v>
      </c>
    </row>
    <row r="38" spans="1:13" ht="15" customHeight="1" x14ac:dyDescent="0.2">
      <c r="A38" s="538" t="s">
        <v>80</v>
      </c>
      <c r="B38" s="539"/>
      <c r="C38" s="539"/>
      <c r="D38" s="539"/>
      <c r="E38" s="539"/>
      <c r="F38" s="539"/>
      <c r="G38" s="539"/>
      <c r="H38" s="539"/>
      <c r="I38" s="539"/>
      <c r="J38" s="539"/>
      <c r="K38" s="539"/>
      <c r="L38" s="539"/>
      <c r="M38" s="540"/>
    </row>
    <row r="39" spans="1:13" ht="15" x14ac:dyDescent="0.25">
      <c r="A39" s="317" t="s">
        <v>58</v>
      </c>
      <c r="B39" s="330">
        <v>1</v>
      </c>
      <c r="C39" s="330">
        <v>23402.77</v>
      </c>
      <c r="D39" s="337">
        <v>23402.77</v>
      </c>
      <c r="E39" s="330">
        <v>1</v>
      </c>
      <c r="F39" s="330">
        <v>23402.77</v>
      </c>
      <c r="G39" s="337">
        <f>E39*F39</f>
        <v>23402.77</v>
      </c>
      <c r="H39" s="330">
        <f t="shared" si="0"/>
        <v>0</v>
      </c>
      <c r="I39" s="330">
        <f t="shared" si="1"/>
        <v>0</v>
      </c>
      <c r="J39" s="337">
        <f t="shared" si="2"/>
        <v>0</v>
      </c>
      <c r="K39" s="330">
        <v>1</v>
      </c>
      <c r="L39" s="327">
        <f t="shared" si="3"/>
        <v>25509.02</v>
      </c>
      <c r="M39" s="312">
        <f t="shared" si="4"/>
        <v>25509.02</v>
      </c>
    </row>
    <row r="40" spans="1:13" ht="15" x14ac:dyDescent="0.25">
      <c r="A40" s="317" t="s">
        <v>298</v>
      </c>
      <c r="B40" s="330">
        <v>1</v>
      </c>
      <c r="C40" s="330">
        <v>21200.16</v>
      </c>
      <c r="D40" s="337">
        <v>21200.16</v>
      </c>
      <c r="E40" s="330">
        <v>1</v>
      </c>
      <c r="F40" s="330">
        <v>21200.16</v>
      </c>
      <c r="G40" s="337">
        <f t="shared" ref="G40:G43" si="13">E40*F40</f>
        <v>21200.16</v>
      </c>
      <c r="H40" s="330">
        <f t="shared" si="0"/>
        <v>0</v>
      </c>
      <c r="I40" s="330">
        <f t="shared" si="1"/>
        <v>0</v>
      </c>
      <c r="J40" s="337">
        <f t="shared" si="2"/>
        <v>0</v>
      </c>
      <c r="K40" s="330">
        <v>1</v>
      </c>
      <c r="L40" s="327">
        <f t="shared" si="3"/>
        <v>23108.17</v>
      </c>
      <c r="M40" s="312">
        <f t="shared" si="4"/>
        <v>23108.17</v>
      </c>
    </row>
    <row r="41" spans="1:13" ht="15" x14ac:dyDescent="0.25">
      <c r="A41" s="317" t="s">
        <v>304</v>
      </c>
      <c r="B41" s="330">
        <v>8</v>
      </c>
      <c r="C41" s="330">
        <v>17896.259999999998</v>
      </c>
      <c r="D41" s="337">
        <v>143170.07999999999</v>
      </c>
      <c r="E41" s="330">
        <v>9</v>
      </c>
      <c r="F41" s="330">
        <v>17896.259999999998</v>
      </c>
      <c r="G41" s="337">
        <f t="shared" si="13"/>
        <v>161066.34</v>
      </c>
      <c r="H41" s="330">
        <f t="shared" si="0"/>
        <v>1</v>
      </c>
      <c r="I41" s="330">
        <f t="shared" si="1"/>
        <v>0</v>
      </c>
      <c r="J41" s="337">
        <f t="shared" si="2"/>
        <v>17896.260000000009</v>
      </c>
      <c r="K41" s="330">
        <v>9</v>
      </c>
      <c r="L41" s="327">
        <f t="shared" si="3"/>
        <v>19506.919999999998</v>
      </c>
      <c r="M41" s="312">
        <f t="shared" si="4"/>
        <v>175562.27999999997</v>
      </c>
    </row>
    <row r="42" spans="1:13" ht="15" x14ac:dyDescent="0.25">
      <c r="A42" s="317" t="s">
        <v>90</v>
      </c>
      <c r="B42" s="330">
        <v>4</v>
      </c>
      <c r="C42" s="330">
        <v>17896.259999999998</v>
      </c>
      <c r="D42" s="337">
        <v>71585.039999999994</v>
      </c>
      <c r="E42" s="330">
        <v>5</v>
      </c>
      <c r="F42" s="330">
        <v>17896.259999999998</v>
      </c>
      <c r="G42" s="337">
        <f t="shared" si="13"/>
        <v>89481.299999999988</v>
      </c>
      <c r="H42" s="330">
        <f t="shared" si="0"/>
        <v>1</v>
      </c>
      <c r="I42" s="330">
        <f t="shared" si="1"/>
        <v>0</v>
      </c>
      <c r="J42" s="337">
        <f t="shared" si="2"/>
        <v>17896.259999999995</v>
      </c>
      <c r="K42" s="330">
        <v>5</v>
      </c>
      <c r="L42" s="327">
        <f t="shared" si="3"/>
        <v>19506.919999999998</v>
      </c>
      <c r="M42" s="312">
        <f t="shared" si="4"/>
        <v>97534.599999999991</v>
      </c>
    </row>
    <row r="43" spans="1:13" ht="15.75" thickBot="1" x14ac:dyDescent="0.3">
      <c r="A43" s="318" t="s">
        <v>48</v>
      </c>
      <c r="B43" s="331">
        <v>1</v>
      </c>
      <c r="C43" s="331">
        <v>15418.33</v>
      </c>
      <c r="D43" s="339">
        <v>15418.33</v>
      </c>
      <c r="E43" s="331">
        <v>1</v>
      </c>
      <c r="F43" s="331">
        <v>15418.33</v>
      </c>
      <c r="G43" s="337">
        <f t="shared" si="13"/>
        <v>15418.33</v>
      </c>
      <c r="H43" s="331">
        <f t="shared" si="0"/>
        <v>0</v>
      </c>
      <c r="I43" s="331">
        <f t="shared" si="1"/>
        <v>0</v>
      </c>
      <c r="J43" s="337">
        <f t="shared" si="2"/>
        <v>0</v>
      </c>
      <c r="K43" s="331">
        <v>1</v>
      </c>
      <c r="L43" s="327">
        <f t="shared" si="3"/>
        <v>16805.98</v>
      </c>
      <c r="M43" s="312">
        <f t="shared" si="4"/>
        <v>16805.98</v>
      </c>
    </row>
    <row r="44" spans="1:13" ht="15" thickBot="1" x14ac:dyDescent="0.25">
      <c r="A44" s="319" t="s">
        <v>295</v>
      </c>
      <c r="B44" s="329">
        <f>SUM(B39:B43)</f>
        <v>15</v>
      </c>
      <c r="C44" s="329"/>
      <c r="D44" s="335">
        <f t="shared" ref="D44:M44" si="14">SUM(D39:D43)</f>
        <v>274776.38</v>
      </c>
      <c r="E44" s="329">
        <f t="shared" si="14"/>
        <v>17</v>
      </c>
      <c r="F44" s="329"/>
      <c r="G44" s="335">
        <f t="shared" si="14"/>
        <v>310568.89999999997</v>
      </c>
      <c r="H44" s="329">
        <f t="shared" si="14"/>
        <v>2</v>
      </c>
      <c r="I44" s="329"/>
      <c r="J44" s="335">
        <f t="shared" si="14"/>
        <v>35792.520000000004</v>
      </c>
      <c r="K44" s="329">
        <f t="shared" si="14"/>
        <v>17</v>
      </c>
      <c r="L44" s="329"/>
      <c r="M44" s="320">
        <f t="shared" si="14"/>
        <v>338520.04999999993</v>
      </c>
    </row>
    <row r="45" spans="1:13" ht="15" customHeight="1" x14ac:dyDescent="0.25">
      <c r="A45" s="549" t="s">
        <v>305</v>
      </c>
      <c r="B45" s="550"/>
      <c r="C45" s="550"/>
      <c r="D45" s="550"/>
      <c r="E45" s="550"/>
      <c r="F45" s="550"/>
      <c r="G45" s="550"/>
      <c r="H45" s="550"/>
      <c r="I45" s="550"/>
      <c r="J45" s="550"/>
      <c r="K45" s="550"/>
      <c r="L45" s="550"/>
      <c r="M45" s="551"/>
    </row>
    <row r="46" spans="1:13" ht="15" x14ac:dyDescent="0.25">
      <c r="A46" s="317" t="s">
        <v>58</v>
      </c>
      <c r="B46" s="330">
        <v>1</v>
      </c>
      <c r="C46" s="330">
        <v>23402.77</v>
      </c>
      <c r="D46" s="337">
        <v>23402.77</v>
      </c>
      <c r="E46" s="330">
        <v>1</v>
      </c>
      <c r="F46" s="330">
        <v>23402.77</v>
      </c>
      <c r="G46" s="337">
        <f>F46*E46</f>
        <v>23402.77</v>
      </c>
      <c r="H46" s="330">
        <f t="shared" si="0"/>
        <v>0</v>
      </c>
      <c r="I46" s="330">
        <f t="shared" si="1"/>
        <v>0</v>
      </c>
      <c r="J46" s="337">
        <f t="shared" si="2"/>
        <v>0</v>
      </c>
      <c r="K46" s="330">
        <v>1</v>
      </c>
      <c r="L46" s="327">
        <f t="shared" si="3"/>
        <v>25509.02</v>
      </c>
      <c r="M46" s="312">
        <f t="shared" si="4"/>
        <v>25509.02</v>
      </c>
    </row>
    <row r="47" spans="1:13" ht="15" x14ac:dyDescent="0.25">
      <c r="A47" s="317" t="s">
        <v>298</v>
      </c>
      <c r="B47" s="330">
        <v>1</v>
      </c>
      <c r="C47" s="330">
        <v>21200.16</v>
      </c>
      <c r="D47" s="337">
        <v>21200.16</v>
      </c>
      <c r="E47" s="330">
        <v>1</v>
      </c>
      <c r="F47" s="330">
        <v>21200.16</v>
      </c>
      <c r="G47" s="337">
        <f t="shared" ref="G47:G49" si="15">F47*E47</f>
        <v>21200.16</v>
      </c>
      <c r="H47" s="330">
        <f t="shared" si="0"/>
        <v>0</v>
      </c>
      <c r="I47" s="330">
        <f t="shared" si="1"/>
        <v>0</v>
      </c>
      <c r="J47" s="337">
        <f t="shared" si="2"/>
        <v>0</v>
      </c>
      <c r="K47" s="330">
        <v>1</v>
      </c>
      <c r="L47" s="327">
        <f t="shared" si="3"/>
        <v>23108.17</v>
      </c>
      <c r="M47" s="312">
        <f t="shared" si="4"/>
        <v>23108.17</v>
      </c>
    </row>
    <row r="48" spans="1:13" ht="15" x14ac:dyDescent="0.25">
      <c r="A48" s="317" t="s">
        <v>45</v>
      </c>
      <c r="B48" s="330">
        <v>4</v>
      </c>
      <c r="C48" s="330">
        <v>17896.259999999998</v>
      </c>
      <c r="D48" s="337">
        <v>71585.039999999994</v>
      </c>
      <c r="E48" s="330">
        <v>4</v>
      </c>
      <c r="F48" s="330">
        <v>17896.259999999998</v>
      </c>
      <c r="G48" s="337">
        <f t="shared" si="15"/>
        <v>71585.039999999994</v>
      </c>
      <c r="H48" s="330">
        <f t="shared" si="0"/>
        <v>0</v>
      </c>
      <c r="I48" s="330">
        <f t="shared" si="1"/>
        <v>0</v>
      </c>
      <c r="J48" s="337">
        <f t="shared" si="2"/>
        <v>0</v>
      </c>
      <c r="K48" s="330">
        <v>4</v>
      </c>
      <c r="L48" s="327">
        <f t="shared" si="3"/>
        <v>19506.919999999998</v>
      </c>
      <c r="M48" s="312">
        <f t="shared" si="4"/>
        <v>78027.679999999993</v>
      </c>
    </row>
    <row r="49" spans="1:13" ht="15.75" thickBot="1" x14ac:dyDescent="0.3">
      <c r="A49" s="318" t="s">
        <v>48</v>
      </c>
      <c r="B49" s="331">
        <v>2</v>
      </c>
      <c r="C49" s="331">
        <v>15418.33</v>
      </c>
      <c r="D49" s="339">
        <v>30836.66</v>
      </c>
      <c r="E49" s="331">
        <v>2</v>
      </c>
      <c r="F49" s="331">
        <v>15418.33</v>
      </c>
      <c r="G49" s="337">
        <f t="shared" si="15"/>
        <v>30836.66</v>
      </c>
      <c r="H49" s="331">
        <f t="shared" si="0"/>
        <v>0</v>
      </c>
      <c r="I49" s="331">
        <f t="shared" si="1"/>
        <v>0</v>
      </c>
      <c r="J49" s="337">
        <f t="shared" si="2"/>
        <v>0</v>
      </c>
      <c r="K49" s="331">
        <v>2</v>
      </c>
      <c r="L49" s="327">
        <f t="shared" si="3"/>
        <v>16805.98</v>
      </c>
      <c r="M49" s="312">
        <f t="shared" si="4"/>
        <v>33611.96</v>
      </c>
    </row>
    <row r="50" spans="1:13" ht="15" thickBot="1" x14ac:dyDescent="0.25">
      <c r="A50" s="319" t="s">
        <v>295</v>
      </c>
      <c r="B50" s="329">
        <f>SUM(B46:B49)</f>
        <v>8</v>
      </c>
      <c r="C50" s="329"/>
      <c r="D50" s="335">
        <f t="shared" ref="D50:M50" si="16">SUM(D46:D49)</f>
        <v>147024.63</v>
      </c>
      <c r="E50" s="329">
        <f t="shared" si="16"/>
        <v>8</v>
      </c>
      <c r="F50" s="329"/>
      <c r="G50" s="335">
        <f t="shared" si="16"/>
        <v>147024.63</v>
      </c>
      <c r="H50" s="329">
        <f t="shared" si="16"/>
        <v>0</v>
      </c>
      <c r="I50" s="329"/>
      <c r="J50" s="335">
        <f t="shared" si="16"/>
        <v>0</v>
      </c>
      <c r="K50" s="329">
        <f t="shared" si="16"/>
        <v>8</v>
      </c>
      <c r="L50" s="329"/>
      <c r="M50" s="320">
        <f t="shared" si="16"/>
        <v>160256.82999999999</v>
      </c>
    </row>
    <row r="51" spans="1:13" ht="15" thickBot="1" x14ac:dyDescent="0.25">
      <c r="A51" s="321" t="s">
        <v>300</v>
      </c>
      <c r="B51" s="332">
        <f>B50+B44+B37+B36</f>
        <v>25</v>
      </c>
      <c r="C51" s="332"/>
      <c r="D51" s="338">
        <f t="shared" ref="D51:M51" si="17">D50+D44+D37+D36</f>
        <v>476040.42</v>
      </c>
      <c r="E51" s="332">
        <f t="shared" si="17"/>
        <v>27</v>
      </c>
      <c r="F51" s="332"/>
      <c r="G51" s="338">
        <f t="shared" si="17"/>
        <v>511832.94</v>
      </c>
      <c r="H51" s="332">
        <f t="shared" si="17"/>
        <v>2</v>
      </c>
      <c r="I51" s="332"/>
      <c r="J51" s="338">
        <f t="shared" si="17"/>
        <v>35792.520000000004</v>
      </c>
      <c r="K51" s="332">
        <f t="shared" si="17"/>
        <v>27</v>
      </c>
      <c r="L51" s="332"/>
      <c r="M51" s="322">
        <f t="shared" si="17"/>
        <v>557897.82999999996</v>
      </c>
    </row>
    <row r="52" spans="1:13" ht="15" customHeight="1" x14ac:dyDescent="0.2">
      <c r="A52" s="528" t="s">
        <v>93</v>
      </c>
      <c r="B52" s="529"/>
      <c r="C52" s="529"/>
      <c r="D52" s="529"/>
      <c r="E52" s="529"/>
      <c r="F52" s="529"/>
      <c r="G52" s="529"/>
      <c r="H52" s="529"/>
      <c r="I52" s="529"/>
      <c r="J52" s="529"/>
      <c r="K52" s="529"/>
      <c r="L52" s="529"/>
      <c r="M52" s="530"/>
    </row>
    <row r="53" spans="1:13" ht="15" x14ac:dyDescent="0.25">
      <c r="A53" s="317" t="s">
        <v>58</v>
      </c>
      <c r="B53" s="330">
        <v>1</v>
      </c>
      <c r="C53" s="344">
        <v>23402.77</v>
      </c>
      <c r="D53" s="340">
        <v>23402.77</v>
      </c>
      <c r="E53" s="330">
        <v>1</v>
      </c>
      <c r="F53" s="344">
        <v>23402.77</v>
      </c>
      <c r="G53" s="340">
        <f>E53*F53</f>
        <v>23402.77</v>
      </c>
      <c r="H53" s="330">
        <f t="shared" si="0"/>
        <v>0</v>
      </c>
      <c r="I53" s="344">
        <f t="shared" si="1"/>
        <v>0</v>
      </c>
      <c r="J53" s="340">
        <f t="shared" si="2"/>
        <v>0</v>
      </c>
      <c r="K53" s="330">
        <v>1</v>
      </c>
      <c r="L53" s="327">
        <f t="shared" si="3"/>
        <v>25509.02</v>
      </c>
      <c r="M53" s="312">
        <f t="shared" si="4"/>
        <v>25509.02</v>
      </c>
    </row>
    <row r="54" spans="1:13" ht="15.75" thickBot="1" x14ac:dyDescent="0.3">
      <c r="A54" s="318" t="s">
        <v>45</v>
      </c>
      <c r="B54" s="331">
        <v>1</v>
      </c>
      <c r="C54" s="345">
        <v>17896.259999999998</v>
      </c>
      <c r="D54" s="341">
        <v>17896.259999999998</v>
      </c>
      <c r="E54" s="331">
        <v>1</v>
      </c>
      <c r="F54" s="345">
        <v>17896.259999999998</v>
      </c>
      <c r="G54" s="340">
        <f>E54*F54</f>
        <v>17896.259999999998</v>
      </c>
      <c r="H54" s="331">
        <f t="shared" si="0"/>
        <v>0</v>
      </c>
      <c r="I54" s="345">
        <f t="shared" si="1"/>
        <v>0</v>
      </c>
      <c r="J54" s="340">
        <f t="shared" si="2"/>
        <v>0</v>
      </c>
      <c r="K54" s="331">
        <v>1</v>
      </c>
      <c r="L54" s="327">
        <f t="shared" si="3"/>
        <v>19506.919999999998</v>
      </c>
      <c r="M54" s="312">
        <f t="shared" si="4"/>
        <v>19506.919999999998</v>
      </c>
    </row>
    <row r="55" spans="1:13" ht="15" thickBot="1" x14ac:dyDescent="0.25">
      <c r="A55" s="319" t="s">
        <v>295</v>
      </c>
      <c r="B55" s="329">
        <f>SUM(B53:B54)</f>
        <v>2</v>
      </c>
      <c r="C55" s="329"/>
      <c r="D55" s="335">
        <f t="shared" ref="D55:M55" si="18">SUM(D53:D54)</f>
        <v>41299.03</v>
      </c>
      <c r="E55" s="329">
        <f t="shared" si="18"/>
        <v>2</v>
      </c>
      <c r="F55" s="329"/>
      <c r="G55" s="335">
        <f t="shared" si="18"/>
        <v>41299.03</v>
      </c>
      <c r="H55" s="329">
        <f t="shared" si="18"/>
        <v>0</v>
      </c>
      <c r="I55" s="329"/>
      <c r="J55" s="335">
        <f t="shared" si="18"/>
        <v>0</v>
      </c>
      <c r="K55" s="329">
        <f t="shared" si="18"/>
        <v>2</v>
      </c>
      <c r="L55" s="329"/>
      <c r="M55" s="320">
        <f t="shared" si="18"/>
        <v>45015.94</v>
      </c>
    </row>
    <row r="56" spans="1:13" ht="15" customHeight="1" x14ac:dyDescent="0.2">
      <c r="A56" s="528" t="s">
        <v>306</v>
      </c>
      <c r="B56" s="529"/>
      <c r="C56" s="529"/>
      <c r="D56" s="529"/>
      <c r="E56" s="529"/>
      <c r="F56" s="529"/>
      <c r="G56" s="529"/>
      <c r="H56" s="529"/>
      <c r="I56" s="529"/>
      <c r="J56" s="529"/>
      <c r="K56" s="529"/>
      <c r="L56" s="529"/>
      <c r="M56" s="530"/>
    </row>
    <row r="57" spans="1:13" ht="15" x14ac:dyDescent="0.25">
      <c r="A57" s="317" t="s">
        <v>58</v>
      </c>
      <c r="B57" s="330">
        <v>1</v>
      </c>
      <c r="C57" s="330">
        <v>23402.77</v>
      </c>
      <c r="D57" s="337">
        <v>23402.77</v>
      </c>
      <c r="E57" s="330">
        <v>1</v>
      </c>
      <c r="F57" s="330">
        <v>23402.77</v>
      </c>
      <c r="G57" s="337">
        <f>E57*F57</f>
        <v>23402.77</v>
      </c>
      <c r="H57" s="330">
        <f t="shared" si="0"/>
        <v>0</v>
      </c>
      <c r="I57" s="330">
        <f t="shared" si="1"/>
        <v>0</v>
      </c>
      <c r="J57" s="337">
        <f t="shared" si="2"/>
        <v>0</v>
      </c>
      <c r="K57" s="330">
        <v>1</v>
      </c>
      <c r="L57" s="327">
        <f t="shared" si="3"/>
        <v>25509.02</v>
      </c>
      <c r="M57" s="312">
        <f t="shared" si="4"/>
        <v>25509.02</v>
      </c>
    </row>
    <row r="58" spans="1:13" ht="15" x14ac:dyDescent="0.25">
      <c r="A58" s="317" t="s">
        <v>298</v>
      </c>
      <c r="B58" s="330">
        <v>1</v>
      </c>
      <c r="C58" s="330">
        <v>21200.16</v>
      </c>
      <c r="D58" s="337">
        <v>21200.16</v>
      </c>
      <c r="E58" s="330">
        <v>1</v>
      </c>
      <c r="F58" s="330">
        <v>21200.16</v>
      </c>
      <c r="G58" s="337">
        <f t="shared" ref="G58:G60" si="19">E58*F58</f>
        <v>21200.16</v>
      </c>
      <c r="H58" s="330">
        <f t="shared" si="0"/>
        <v>0</v>
      </c>
      <c r="I58" s="330">
        <f t="shared" si="1"/>
        <v>0</v>
      </c>
      <c r="J58" s="337">
        <f t="shared" si="2"/>
        <v>0</v>
      </c>
      <c r="K58" s="330">
        <v>1</v>
      </c>
      <c r="L58" s="327">
        <f t="shared" si="3"/>
        <v>23108.17</v>
      </c>
      <c r="M58" s="312">
        <f t="shared" si="4"/>
        <v>23108.17</v>
      </c>
    </row>
    <row r="59" spans="1:13" ht="15" x14ac:dyDescent="0.25">
      <c r="A59" s="317" t="s">
        <v>45</v>
      </c>
      <c r="B59" s="330">
        <v>6</v>
      </c>
      <c r="C59" s="330">
        <v>17896.259999999998</v>
      </c>
      <c r="D59" s="337">
        <v>107377.56</v>
      </c>
      <c r="E59" s="330">
        <v>6</v>
      </c>
      <c r="F59" s="330">
        <v>17896.259999999998</v>
      </c>
      <c r="G59" s="337">
        <f t="shared" si="19"/>
        <v>107377.56</v>
      </c>
      <c r="H59" s="330">
        <f t="shared" si="0"/>
        <v>0</v>
      </c>
      <c r="I59" s="330">
        <f t="shared" si="1"/>
        <v>0</v>
      </c>
      <c r="J59" s="337">
        <f t="shared" si="2"/>
        <v>0</v>
      </c>
      <c r="K59" s="330">
        <v>6</v>
      </c>
      <c r="L59" s="327">
        <f t="shared" si="3"/>
        <v>19506.919999999998</v>
      </c>
      <c r="M59" s="312">
        <f t="shared" si="4"/>
        <v>117041.51999999999</v>
      </c>
    </row>
    <row r="60" spans="1:13" ht="15.75" thickBot="1" x14ac:dyDescent="0.3">
      <c r="A60" s="318" t="s">
        <v>48</v>
      </c>
      <c r="B60" s="331">
        <v>2</v>
      </c>
      <c r="C60" s="331">
        <v>15418.33</v>
      </c>
      <c r="D60" s="339">
        <v>30836.66</v>
      </c>
      <c r="E60" s="331">
        <v>2</v>
      </c>
      <c r="F60" s="331">
        <v>15418.33</v>
      </c>
      <c r="G60" s="337">
        <f t="shared" si="19"/>
        <v>30836.66</v>
      </c>
      <c r="H60" s="331">
        <f t="shared" si="0"/>
        <v>0</v>
      </c>
      <c r="I60" s="331">
        <f t="shared" si="1"/>
        <v>0</v>
      </c>
      <c r="J60" s="337">
        <f t="shared" si="2"/>
        <v>0</v>
      </c>
      <c r="K60" s="331">
        <v>2</v>
      </c>
      <c r="L60" s="327">
        <f t="shared" si="3"/>
        <v>16805.98</v>
      </c>
      <c r="M60" s="312">
        <f t="shared" si="4"/>
        <v>33611.96</v>
      </c>
    </row>
    <row r="61" spans="1:13" ht="15" thickBot="1" x14ac:dyDescent="0.25">
      <c r="A61" s="319" t="s">
        <v>295</v>
      </c>
      <c r="B61" s="329">
        <f>SUM(B57:B60)</f>
        <v>10</v>
      </c>
      <c r="C61" s="329"/>
      <c r="D61" s="335">
        <f t="shared" ref="D61:M61" si="20">SUM(D57:D60)</f>
        <v>182817.15</v>
      </c>
      <c r="E61" s="329">
        <f t="shared" si="20"/>
        <v>10</v>
      </c>
      <c r="F61" s="329"/>
      <c r="G61" s="335">
        <f t="shared" si="20"/>
        <v>182817.15</v>
      </c>
      <c r="H61" s="329">
        <f t="shared" si="20"/>
        <v>0</v>
      </c>
      <c r="I61" s="329"/>
      <c r="J61" s="335">
        <f t="shared" si="20"/>
        <v>0</v>
      </c>
      <c r="K61" s="329">
        <f t="shared" si="20"/>
        <v>10</v>
      </c>
      <c r="L61" s="329"/>
      <c r="M61" s="320">
        <f t="shared" si="20"/>
        <v>199270.66999999998</v>
      </c>
    </row>
    <row r="62" spans="1:13" ht="15" customHeight="1" x14ac:dyDescent="0.2">
      <c r="A62" s="528" t="s">
        <v>107</v>
      </c>
      <c r="B62" s="529"/>
      <c r="C62" s="529"/>
      <c r="D62" s="529"/>
      <c r="E62" s="529"/>
      <c r="F62" s="529"/>
      <c r="G62" s="529"/>
      <c r="H62" s="529"/>
      <c r="I62" s="529"/>
      <c r="J62" s="529"/>
      <c r="K62" s="529"/>
      <c r="L62" s="529"/>
      <c r="M62" s="530"/>
    </row>
    <row r="63" spans="1:13" ht="15" x14ac:dyDescent="0.25">
      <c r="A63" s="317" t="s">
        <v>58</v>
      </c>
      <c r="B63" s="330">
        <v>1</v>
      </c>
      <c r="C63" s="330">
        <v>23402.77</v>
      </c>
      <c r="D63" s="337">
        <v>23402.77</v>
      </c>
      <c r="E63" s="330">
        <v>1</v>
      </c>
      <c r="F63" s="330">
        <v>23402.77</v>
      </c>
      <c r="G63" s="337">
        <f>E63*F63</f>
        <v>23402.77</v>
      </c>
      <c r="H63" s="330">
        <f t="shared" si="0"/>
        <v>0</v>
      </c>
      <c r="I63" s="330">
        <f t="shared" si="1"/>
        <v>0</v>
      </c>
      <c r="J63" s="337">
        <f t="shared" si="2"/>
        <v>0</v>
      </c>
      <c r="K63" s="330">
        <v>1</v>
      </c>
      <c r="L63" s="327">
        <f t="shared" si="3"/>
        <v>25509.02</v>
      </c>
      <c r="M63" s="312">
        <f t="shared" si="4"/>
        <v>25509.02</v>
      </c>
    </row>
    <row r="64" spans="1:13" ht="15" x14ac:dyDescent="0.25">
      <c r="A64" s="317" t="s">
        <v>298</v>
      </c>
      <c r="B64" s="330">
        <v>1</v>
      </c>
      <c r="C64" s="330">
        <v>21200.16</v>
      </c>
      <c r="D64" s="337">
        <v>21200.16</v>
      </c>
      <c r="E64" s="330">
        <v>1</v>
      </c>
      <c r="F64" s="330">
        <v>21200.16</v>
      </c>
      <c r="G64" s="337">
        <f t="shared" ref="G64:G68" si="21">E64*F64</f>
        <v>21200.16</v>
      </c>
      <c r="H64" s="330">
        <f t="shared" si="0"/>
        <v>0</v>
      </c>
      <c r="I64" s="330">
        <f t="shared" si="1"/>
        <v>0</v>
      </c>
      <c r="J64" s="337">
        <f t="shared" si="2"/>
        <v>0</v>
      </c>
      <c r="K64" s="330">
        <v>1</v>
      </c>
      <c r="L64" s="327">
        <f t="shared" si="3"/>
        <v>23108.17</v>
      </c>
      <c r="M64" s="312">
        <f t="shared" si="4"/>
        <v>23108.17</v>
      </c>
    </row>
    <row r="65" spans="1:13" ht="15" x14ac:dyDescent="0.25">
      <c r="A65" s="317" t="s">
        <v>45</v>
      </c>
      <c r="B65" s="330">
        <v>1</v>
      </c>
      <c r="C65" s="330">
        <v>17896.259999999998</v>
      </c>
      <c r="D65" s="337">
        <v>17896.259999999998</v>
      </c>
      <c r="E65" s="330">
        <v>1</v>
      </c>
      <c r="F65" s="330">
        <v>17896.259999999998</v>
      </c>
      <c r="G65" s="337">
        <f t="shared" si="21"/>
        <v>17896.259999999998</v>
      </c>
      <c r="H65" s="330">
        <f t="shared" si="0"/>
        <v>0</v>
      </c>
      <c r="I65" s="330">
        <f t="shared" si="1"/>
        <v>0</v>
      </c>
      <c r="J65" s="337">
        <f t="shared" si="2"/>
        <v>0</v>
      </c>
      <c r="K65" s="330">
        <v>1</v>
      </c>
      <c r="L65" s="327">
        <f t="shared" si="3"/>
        <v>19506.919999999998</v>
      </c>
      <c r="M65" s="312">
        <f t="shared" si="4"/>
        <v>19506.919999999998</v>
      </c>
    </row>
    <row r="66" spans="1:13" ht="15" x14ac:dyDescent="0.25">
      <c r="A66" s="317" t="s">
        <v>48</v>
      </c>
      <c r="B66" s="330">
        <v>3</v>
      </c>
      <c r="C66" s="330">
        <v>15418.33</v>
      </c>
      <c r="D66" s="337">
        <v>46254.99</v>
      </c>
      <c r="E66" s="330">
        <v>3</v>
      </c>
      <c r="F66" s="330">
        <v>15418.33</v>
      </c>
      <c r="G66" s="337">
        <f t="shared" si="21"/>
        <v>46254.99</v>
      </c>
      <c r="H66" s="330">
        <f t="shared" si="0"/>
        <v>0</v>
      </c>
      <c r="I66" s="330">
        <f t="shared" si="1"/>
        <v>0</v>
      </c>
      <c r="J66" s="337">
        <f t="shared" si="2"/>
        <v>0</v>
      </c>
      <c r="K66" s="330">
        <v>3</v>
      </c>
      <c r="L66" s="327">
        <f t="shared" si="3"/>
        <v>16805.98</v>
      </c>
      <c r="M66" s="312">
        <f t="shared" si="4"/>
        <v>50417.94</v>
      </c>
    </row>
    <row r="67" spans="1:13" ht="15" x14ac:dyDescent="0.25">
      <c r="A67" s="317" t="s">
        <v>115</v>
      </c>
      <c r="B67" s="330">
        <v>1</v>
      </c>
      <c r="C67" s="330">
        <v>12389.73</v>
      </c>
      <c r="D67" s="337">
        <v>12389.73</v>
      </c>
      <c r="E67" s="330">
        <v>1</v>
      </c>
      <c r="F67" s="330">
        <v>12389.73</v>
      </c>
      <c r="G67" s="337">
        <f t="shared" si="21"/>
        <v>12389.73</v>
      </c>
      <c r="H67" s="330">
        <f t="shared" si="0"/>
        <v>0</v>
      </c>
      <c r="I67" s="330">
        <f t="shared" si="1"/>
        <v>0</v>
      </c>
      <c r="J67" s="337">
        <f t="shared" si="2"/>
        <v>0</v>
      </c>
      <c r="K67" s="330">
        <v>1</v>
      </c>
      <c r="L67" s="327">
        <f t="shared" si="3"/>
        <v>13504.81</v>
      </c>
      <c r="M67" s="312">
        <f t="shared" si="4"/>
        <v>13504.81</v>
      </c>
    </row>
    <row r="68" spans="1:13" ht="15.75" thickBot="1" x14ac:dyDescent="0.3">
      <c r="A68" s="318" t="s">
        <v>307</v>
      </c>
      <c r="B68" s="331">
        <v>2</v>
      </c>
      <c r="C68" s="331">
        <v>12389.73</v>
      </c>
      <c r="D68" s="339">
        <v>24779.46</v>
      </c>
      <c r="E68" s="331">
        <v>3</v>
      </c>
      <c r="F68" s="331">
        <v>12389.73</v>
      </c>
      <c r="G68" s="337">
        <f t="shared" si="21"/>
        <v>37169.19</v>
      </c>
      <c r="H68" s="331">
        <f t="shared" si="0"/>
        <v>1</v>
      </c>
      <c r="I68" s="331">
        <f t="shared" si="1"/>
        <v>0</v>
      </c>
      <c r="J68" s="337">
        <f t="shared" si="2"/>
        <v>12389.730000000003</v>
      </c>
      <c r="K68" s="331">
        <v>3</v>
      </c>
      <c r="L68" s="327">
        <f t="shared" si="3"/>
        <v>13504.81</v>
      </c>
      <c r="M68" s="312">
        <f t="shared" si="4"/>
        <v>40514.43</v>
      </c>
    </row>
    <row r="69" spans="1:13" ht="15" thickBot="1" x14ac:dyDescent="0.25">
      <c r="A69" s="319" t="s">
        <v>295</v>
      </c>
      <c r="B69" s="329">
        <f>SUM(B63:B68)</f>
        <v>9</v>
      </c>
      <c r="C69" s="329"/>
      <c r="D69" s="335">
        <f t="shared" ref="D69:M69" si="22">SUM(D63:D68)</f>
        <v>145923.37</v>
      </c>
      <c r="E69" s="329">
        <f t="shared" si="22"/>
        <v>10</v>
      </c>
      <c r="F69" s="329"/>
      <c r="G69" s="335">
        <f t="shared" si="22"/>
        <v>158313.09999999998</v>
      </c>
      <c r="H69" s="329">
        <f t="shared" si="22"/>
        <v>1</v>
      </c>
      <c r="I69" s="329"/>
      <c r="J69" s="335">
        <f t="shared" si="22"/>
        <v>12389.730000000003</v>
      </c>
      <c r="K69" s="329">
        <f t="shared" si="22"/>
        <v>10</v>
      </c>
      <c r="L69" s="329"/>
      <c r="M69" s="320">
        <f t="shared" si="22"/>
        <v>172561.29</v>
      </c>
    </row>
    <row r="70" spans="1:13" ht="15" customHeight="1" x14ac:dyDescent="0.2">
      <c r="A70" s="528" t="s">
        <v>119</v>
      </c>
      <c r="B70" s="529"/>
      <c r="C70" s="529"/>
      <c r="D70" s="529"/>
      <c r="E70" s="529"/>
      <c r="F70" s="529"/>
      <c r="G70" s="529"/>
      <c r="H70" s="529"/>
      <c r="I70" s="529"/>
      <c r="J70" s="529"/>
      <c r="K70" s="529"/>
      <c r="L70" s="529"/>
      <c r="M70" s="530"/>
    </row>
    <row r="71" spans="1:13" ht="15" x14ac:dyDescent="0.25">
      <c r="A71" s="317" t="s">
        <v>120</v>
      </c>
      <c r="B71" s="330">
        <v>1</v>
      </c>
      <c r="C71" s="331">
        <v>20649.54</v>
      </c>
      <c r="D71" s="339">
        <v>20649.54</v>
      </c>
      <c r="E71" s="330">
        <v>1</v>
      </c>
      <c r="F71" s="331">
        <v>20649.54</v>
      </c>
      <c r="G71" s="339">
        <v>20649.54</v>
      </c>
      <c r="H71" s="330">
        <f t="shared" ref="H71:H122" si="23">E71-B71</f>
        <v>0</v>
      </c>
      <c r="I71" s="323">
        <f t="shared" ref="I71:I122" si="24">F71-C71</f>
        <v>0</v>
      </c>
      <c r="J71" s="323">
        <f t="shared" ref="J71:J122" si="25">G71-D71</f>
        <v>0</v>
      </c>
      <c r="K71" s="330">
        <v>1</v>
      </c>
      <c r="L71" s="327">
        <f t="shared" ref="L71:L122" si="26" xml:space="preserve"> ROUND(F71*1.09,2)</f>
        <v>22508</v>
      </c>
      <c r="M71" s="312">
        <f t="shared" ref="M71:M122" si="27">L71*K71</f>
        <v>22508</v>
      </c>
    </row>
    <row r="72" spans="1:13" ht="15.75" thickBot="1" x14ac:dyDescent="0.3">
      <c r="A72" s="318" t="s">
        <v>184</v>
      </c>
      <c r="B72" s="331">
        <v>1</v>
      </c>
      <c r="C72" s="331">
        <v>17896.259999999998</v>
      </c>
      <c r="D72" s="339">
        <v>17896.259999999998</v>
      </c>
      <c r="E72" s="331">
        <v>1</v>
      </c>
      <c r="F72" s="331">
        <v>17896.259999999998</v>
      </c>
      <c r="G72" s="339">
        <v>17896.259999999998</v>
      </c>
      <c r="H72" s="331">
        <f t="shared" si="23"/>
        <v>0</v>
      </c>
      <c r="I72" s="323">
        <f t="shared" si="24"/>
        <v>0</v>
      </c>
      <c r="J72" s="323">
        <f t="shared" si="25"/>
        <v>0</v>
      </c>
      <c r="K72" s="331">
        <v>1</v>
      </c>
      <c r="L72" s="327">
        <f t="shared" si="26"/>
        <v>19506.919999999998</v>
      </c>
      <c r="M72" s="312">
        <f t="shared" si="27"/>
        <v>19506.919999999998</v>
      </c>
    </row>
    <row r="73" spans="1:13" ht="15" thickBot="1" x14ac:dyDescent="0.25">
      <c r="A73" s="319" t="s">
        <v>295</v>
      </c>
      <c r="B73" s="329">
        <f>SUM(B71:B72)</f>
        <v>2</v>
      </c>
      <c r="C73" s="329"/>
      <c r="D73" s="335">
        <f t="shared" ref="D73:M73" si="28">SUM(D71:D72)</f>
        <v>38545.800000000003</v>
      </c>
      <c r="E73" s="329">
        <f t="shared" si="28"/>
        <v>2</v>
      </c>
      <c r="F73" s="329"/>
      <c r="G73" s="335">
        <f t="shared" si="28"/>
        <v>38545.800000000003</v>
      </c>
      <c r="H73" s="329">
        <f t="shared" si="28"/>
        <v>0</v>
      </c>
      <c r="I73" s="329"/>
      <c r="J73" s="329">
        <f t="shared" si="28"/>
        <v>0</v>
      </c>
      <c r="K73" s="329">
        <f t="shared" si="28"/>
        <v>2</v>
      </c>
      <c r="L73" s="329"/>
      <c r="M73" s="320">
        <f t="shared" si="28"/>
        <v>42014.92</v>
      </c>
    </row>
    <row r="74" spans="1:13" ht="15" customHeight="1" x14ac:dyDescent="0.2">
      <c r="A74" s="528" t="s">
        <v>122</v>
      </c>
      <c r="B74" s="529"/>
      <c r="C74" s="529"/>
      <c r="D74" s="529"/>
      <c r="E74" s="529"/>
      <c r="F74" s="529"/>
      <c r="G74" s="529"/>
      <c r="H74" s="529"/>
      <c r="I74" s="529"/>
      <c r="J74" s="529"/>
      <c r="K74" s="529"/>
      <c r="L74" s="529"/>
      <c r="M74" s="530"/>
    </row>
    <row r="75" spans="1:13" ht="15" x14ac:dyDescent="0.25">
      <c r="A75" s="317" t="s">
        <v>58</v>
      </c>
      <c r="B75" s="330">
        <v>1</v>
      </c>
      <c r="C75" s="330">
        <v>23402.77</v>
      </c>
      <c r="D75" s="337">
        <v>23402.77</v>
      </c>
      <c r="E75" s="330">
        <v>1</v>
      </c>
      <c r="F75" s="330">
        <v>23402.77</v>
      </c>
      <c r="G75" s="337">
        <f>F75*E75</f>
        <v>23402.77</v>
      </c>
      <c r="H75" s="330">
        <f t="shared" si="23"/>
        <v>0</v>
      </c>
      <c r="I75" s="330">
        <f t="shared" si="24"/>
        <v>0</v>
      </c>
      <c r="J75" s="337">
        <f t="shared" si="25"/>
        <v>0</v>
      </c>
      <c r="K75" s="330">
        <v>1</v>
      </c>
      <c r="L75" s="327">
        <f t="shared" si="26"/>
        <v>25509.02</v>
      </c>
      <c r="M75" s="312">
        <f t="shared" si="27"/>
        <v>25509.02</v>
      </c>
    </row>
    <row r="76" spans="1:13" ht="15" x14ac:dyDescent="0.25">
      <c r="A76" s="317" t="s">
        <v>298</v>
      </c>
      <c r="B76" s="330">
        <v>1</v>
      </c>
      <c r="C76" s="330">
        <v>21200.16</v>
      </c>
      <c r="D76" s="337">
        <v>21200.16</v>
      </c>
      <c r="E76" s="330">
        <v>1</v>
      </c>
      <c r="F76" s="330">
        <v>21200.16</v>
      </c>
      <c r="G76" s="337">
        <f t="shared" ref="G76:G78" si="29">F76*E76</f>
        <v>21200.16</v>
      </c>
      <c r="H76" s="330">
        <f t="shared" si="23"/>
        <v>0</v>
      </c>
      <c r="I76" s="330">
        <f t="shared" si="24"/>
        <v>0</v>
      </c>
      <c r="J76" s="337">
        <f t="shared" si="25"/>
        <v>0</v>
      </c>
      <c r="K76" s="330">
        <v>1</v>
      </c>
      <c r="L76" s="327">
        <f t="shared" si="26"/>
        <v>23108.17</v>
      </c>
      <c r="M76" s="312">
        <f t="shared" si="27"/>
        <v>23108.17</v>
      </c>
    </row>
    <row r="77" spans="1:13" ht="15" x14ac:dyDescent="0.25">
      <c r="A77" s="317" t="s">
        <v>45</v>
      </c>
      <c r="B77" s="330">
        <v>4</v>
      </c>
      <c r="C77" s="330">
        <v>17896.259999999998</v>
      </c>
      <c r="D77" s="337">
        <v>71585.039999999994</v>
      </c>
      <c r="E77" s="330">
        <v>4</v>
      </c>
      <c r="F77" s="330">
        <v>17896.259999999998</v>
      </c>
      <c r="G77" s="337">
        <f t="shared" si="29"/>
        <v>71585.039999999994</v>
      </c>
      <c r="H77" s="330">
        <f t="shared" si="23"/>
        <v>0</v>
      </c>
      <c r="I77" s="330">
        <f t="shared" si="24"/>
        <v>0</v>
      </c>
      <c r="J77" s="337">
        <f t="shared" si="25"/>
        <v>0</v>
      </c>
      <c r="K77" s="330">
        <v>4</v>
      </c>
      <c r="L77" s="327">
        <f t="shared" si="26"/>
        <v>19506.919999999998</v>
      </c>
      <c r="M77" s="312">
        <f t="shared" si="27"/>
        <v>78027.679999999993</v>
      </c>
    </row>
    <row r="78" spans="1:13" ht="15.75" thickBot="1" x14ac:dyDescent="0.3">
      <c r="A78" s="317" t="s">
        <v>48</v>
      </c>
      <c r="B78" s="330">
        <v>2</v>
      </c>
      <c r="C78" s="330">
        <v>15418.33</v>
      </c>
      <c r="D78" s="337">
        <v>30836.66</v>
      </c>
      <c r="E78" s="330">
        <v>2</v>
      </c>
      <c r="F78" s="330">
        <v>15418.33</v>
      </c>
      <c r="G78" s="337">
        <f t="shared" si="29"/>
        <v>30836.66</v>
      </c>
      <c r="H78" s="330">
        <f t="shared" si="23"/>
        <v>0</v>
      </c>
      <c r="I78" s="330">
        <f t="shared" si="24"/>
        <v>0</v>
      </c>
      <c r="J78" s="337">
        <f t="shared" si="25"/>
        <v>0</v>
      </c>
      <c r="K78" s="330">
        <v>2</v>
      </c>
      <c r="L78" s="327">
        <f t="shared" si="26"/>
        <v>16805.98</v>
      </c>
      <c r="M78" s="312">
        <f t="shared" si="27"/>
        <v>33611.96</v>
      </c>
    </row>
    <row r="79" spans="1:13" ht="15" thickBot="1" x14ac:dyDescent="0.25">
      <c r="A79" s="319" t="s">
        <v>295</v>
      </c>
      <c r="B79" s="329">
        <f>SUM(B75:B78)</f>
        <v>8</v>
      </c>
      <c r="C79" s="329"/>
      <c r="D79" s="335">
        <f t="shared" ref="D79:M79" si="30">SUM(D75:D78)</f>
        <v>147024.63</v>
      </c>
      <c r="E79" s="329">
        <f t="shared" si="30"/>
        <v>8</v>
      </c>
      <c r="F79" s="329"/>
      <c r="G79" s="335">
        <f t="shared" si="30"/>
        <v>147024.63</v>
      </c>
      <c r="H79" s="329">
        <f t="shared" si="30"/>
        <v>0</v>
      </c>
      <c r="I79" s="329"/>
      <c r="J79" s="335">
        <f t="shared" si="30"/>
        <v>0</v>
      </c>
      <c r="K79" s="329">
        <f t="shared" si="30"/>
        <v>8</v>
      </c>
      <c r="L79" s="329"/>
      <c r="M79" s="320">
        <f t="shared" si="30"/>
        <v>160256.82999999999</v>
      </c>
    </row>
    <row r="80" spans="1:13" ht="15" thickBot="1" x14ac:dyDescent="0.25">
      <c r="A80" s="319" t="s">
        <v>308</v>
      </c>
      <c r="B80" s="329">
        <f>B79+B73+B69+B61+B55+B51+B34+B30+B14+B8</f>
        <v>87</v>
      </c>
      <c r="C80" s="329"/>
      <c r="D80" s="335">
        <f t="shared" ref="D80:M80" si="31">D79+D73+D69+D61+D55+D51+D34+D30+D14+D8</f>
        <v>1642050.3299999998</v>
      </c>
      <c r="E80" s="329">
        <f t="shared" si="31"/>
        <v>91</v>
      </c>
      <c r="F80" s="329"/>
      <c r="G80" s="335">
        <f t="shared" si="31"/>
        <v>1708128.8399999999</v>
      </c>
      <c r="H80" s="329">
        <f t="shared" si="31"/>
        <v>4</v>
      </c>
      <c r="I80" s="329"/>
      <c r="J80" s="335">
        <f t="shared" si="31"/>
        <v>66078.510000000009</v>
      </c>
      <c r="K80" s="329">
        <f t="shared" si="31"/>
        <v>91</v>
      </c>
      <c r="L80" s="329"/>
      <c r="M80" s="320">
        <f t="shared" si="31"/>
        <v>1861860.2499999998</v>
      </c>
    </row>
    <row r="81" spans="1:13" x14ac:dyDescent="0.2">
      <c r="A81" s="552" t="s">
        <v>309</v>
      </c>
      <c r="B81" s="553"/>
      <c r="C81" s="553"/>
      <c r="D81" s="553"/>
      <c r="E81" s="553"/>
      <c r="F81" s="553"/>
      <c r="G81" s="553"/>
      <c r="H81" s="553"/>
      <c r="I81" s="553"/>
      <c r="J81" s="553"/>
      <c r="K81" s="553"/>
      <c r="L81" s="553"/>
      <c r="M81" s="554"/>
    </row>
    <row r="82" spans="1:13" ht="12.75" customHeight="1" x14ac:dyDescent="0.2">
      <c r="A82" s="555" t="s">
        <v>310</v>
      </c>
      <c r="B82" s="556"/>
      <c r="C82" s="556"/>
      <c r="D82" s="556"/>
      <c r="E82" s="556"/>
      <c r="F82" s="556"/>
      <c r="G82" s="556"/>
      <c r="H82" s="556"/>
      <c r="I82" s="556"/>
      <c r="J82" s="556"/>
      <c r="K82" s="556"/>
      <c r="L82" s="556"/>
      <c r="M82" s="557"/>
    </row>
    <row r="83" spans="1:13" ht="15.75" x14ac:dyDescent="0.2">
      <c r="A83" s="558" t="s">
        <v>311</v>
      </c>
      <c r="B83" s="559"/>
      <c r="C83" s="559"/>
      <c r="D83" s="559"/>
      <c r="E83" s="559"/>
      <c r="F83" s="559"/>
      <c r="G83" s="559"/>
      <c r="H83" s="559"/>
      <c r="I83" s="559"/>
      <c r="J83" s="559"/>
      <c r="K83" s="559"/>
      <c r="L83" s="559"/>
      <c r="M83" s="560"/>
    </row>
    <row r="84" spans="1:13" ht="15" customHeight="1" x14ac:dyDescent="0.2">
      <c r="A84" s="561" t="s">
        <v>312</v>
      </c>
      <c r="B84" s="562"/>
      <c r="C84" s="562"/>
      <c r="D84" s="562"/>
      <c r="E84" s="562"/>
      <c r="F84" s="562"/>
      <c r="G84" s="562"/>
      <c r="H84" s="562"/>
      <c r="I84" s="562"/>
      <c r="J84" s="562"/>
      <c r="K84" s="562"/>
      <c r="L84" s="562"/>
      <c r="M84" s="563"/>
    </row>
    <row r="85" spans="1:13" ht="15" x14ac:dyDescent="0.25">
      <c r="A85" s="356" t="s">
        <v>313</v>
      </c>
      <c r="B85" s="330">
        <v>1</v>
      </c>
      <c r="C85" s="330">
        <v>20649.54</v>
      </c>
      <c r="D85" s="337">
        <v>20649.54</v>
      </c>
      <c r="E85" s="330">
        <v>1</v>
      </c>
      <c r="F85" s="330">
        <v>20649.54</v>
      </c>
      <c r="G85" s="337">
        <f>F85*E85</f>
        <v>20649.54</v>
      </c>
      <c r="H85" s="330">
        <f t="shared" si="23"/>
        <v>0</v>
      </c>
      <c r="I85" s="330">
        <f t="shared" si="24"/>
        <v>0</v>
      </c>
      <c r="J85" s="337">
        <f t="shared" si="25"/>
        <v>0</v>
      </c>
      <c r="K85" s="330">
        <v>1</v>
      </c>
      <c r="L85" s="327">
        <f t="shared" si="26"/>
        <v>22508</v>
      </c>
      <c r="M85" s="312">
        <f t="shared" si="27"/>
        <v>22508</v>
      </c>
    </row>
    <row r="86" spans="1:13" ht="15" x14ac:dyDescent="0.25">
      <c r="A86" s="356" t="s">
        <v>304</v>
      </c>
      <c r="B86" s="330">
        <v>2</v>
      </c>
      <c r="C86" s="330">
        <v>16519.63</v>
      </c>
      <c r="D86" s="337">
        <v>33039.26</v>
      </c>
      <c r="E86" s="330">
        <v>2</v>
      </c>
      <c r="F86" s="330">
        <v>16519.63</v>
      </c>
      <c r="G86" s="337">
        <f t="shared" ref="G86:G89" si="32">F86*E86</f>
        <v>33039.26</v>
      </c>
      <c r="H86" s="330">
        <f t="shared" si="23"/>
        <v>0</v>
      </c>
      <c r="I86" s="330">
        <f t="shared" si="24"/>
        <v>0</v>
      </c>
      <c r="J86" s="337">
        <f t="shared" si="25"/>
        <v>0</v>
      </c>
      <c r="K86" s="330">
        <v>2</v>
      </c>
      <c r="L86" s="327">
        <f t="shared" si="26"/>
        <v>18006.400000000001</v>
      </c>
      <c r="M86" s="312">
        <f t="shared" si="27"/>
        <v>36012.800000000003</v>
      </c>
    </row>
    <row r="87" spans="1:13" ht="15" x14ac:dyDescent="0.25">
      <c r="A87" s="356" t="s">
        <v>45</v>
      </c>
      <c r="B87" s="330">
        <v>1</v>
      </c>
      <c r="C87" s="330">
        <v>16519.63</v>
      </c>
      <c r="D87" s="337">
        <v>16519.63</v>
      </c>
      <c r="E87" s="330">
        <v>1</v>
      </c>
      <c r="F87" s="330">
        <v>16519.63</v>
      </c>
      <c r="G87" s="337">
        <f t="shared" si="32"/>
        <v>16519.63</v>
      </c>
      <c r="H87" s="330">
        <f t="shared" si="23"/>
        <v>0</v>
      </c>
      <c r="I87" s="330">
        <f t="shared" si="24"/>
        <v>0</v>
      </c>
      <c r="J87" s="337">
        <f t="shared" si="25"/>
        <v>0</v>
      </c>
      <c r="K87" s="330">
        <v>1</v>
      </c>
      <c r="L87" s="327">
        <f t="shared" si="26"/>
        <v>18006.400000000001</v>
      </c>
      <c r="M87" s="312">
        <f t="shared" si="27"/>
        <v>18006.400000000001</v>
      </c>
    </row>
    <row r="88" spans="1:13" ht="15" x14ac:dyDescent="0.25">
      <c r="A88" s="356" t="s">
        <v>48</v>
      </c>
      <c r="B88" s="330">
        <v>1</v>
      </c>
      <c r="C88" s="330">
        <v>13766.34</v>
      </c>
      <c r="D88" s="337">
        <v>13766.34</v>
      </c>
      <c r="E88" s="330">
        <v>1</v>
      </c>
      <c r="F88" s="330">
        <v>13766.34</v>
      </c>
      <c r="G88" s="337">
        <f t="shared" si="32"/>
        <v>13766.34</v>
      </c>
      <c r="H88" s="330">
        <f t="shared" si="23"/>
        <v>0</v>
      </c>
      <c r="I88" s="330">
        <f t="shared" si="24"/>
        <v>0</v>
      </c>
      <c r="J88" s="337">
        <f t="shared" si="25"/>
        <v>0</v>
      </c>
      <c r="K88" s="330">
        <v>1</v>
      </c>
      <c r="L88" s="327">
        <f t="shared" si="26"/>
        <v>15005.31</v>
      </c>
      <c r="M88" s="312">
        <f t="shared" si="27"/>
        <v>15005.31</v>
      </c>
    </row>
    <row r="89" spans="1:13" ht="15.75" thickBot="1" x14ac:dyDescent="0.3">
      <c r="A89" s="357" t="s">
        <v>314</v>
      </c>
      <c r="B89" s="331">
        <v>1</v>
      </c>
      <c r="C89" s="331">
        <v>12389.73</v>
      </c>
      <c r="D89" s="339">
        <v>12389.73</v>
      </c>
      <c r="E89" s="331">
        <v>1</v>
      </c>
      <c r="F89" s="331">
        <v>12389.73</v>
      </c>
      <c r="G89" s="337">
        <f t="shared" si="32"/>
        <v>12389.73</v>
      </c>
      <c r="H89" s="331">
        <f t="shared" si="23"/>
        <v>0</v>
      </c>
      <c r="I89" s="331">
        <f t="shared" si="24"/>
        <v>0</v>
      </c>
      <c r="J89" s="337">
        <f t="shared" si="25"/>
        <v>0</v>
      </c>
      <c r="K89" s="331">
        <v>1</v>
      </c>
      <c r="L89" s="327">
        <f t="shared" si="26"/>
        <v>13504.81</v>
      </c>
      <c r="M89" s="312">
        <f t="shared" si="27"/>
        <v>13504.81</v>
      </c>
    </row>
    <row r="90" spans="1:13" ht="15" thickBot="1" x14ac:dyDescent="0.25">
      <c r="A90" s="319" t="s">
        <v>315</v>
      </c>
      <c r="B90" s="329">
        <f>SUM(B85:B89)</f>
        <v>6</v>
      </c>
      <c r="C90" s="329"/>
      <c r="D90" s="335">
        <f t="shared" ref="D90:M90" si="33">SUM(D85:D89)</f>
        <v>96364.5</v>
      </c>
      <c r="E90" s="329">
        <f t="shared" si="33"/>
        <v>6</v>
      </c>
      <c r="F90" s="329"/>
      <c r="G90" s="335">
        <f t="shared" si="33"/>
        <v>96364.5</v>
      </c>
      <c r="H90" s="329">
        <f t="shared" si="33"/>
        <v>0</v>
      </c>
      <c r="I90" s="329"/>
      <c r="J90" s="335">
        <f t="shared" si="33"/>
        <v>0</v>
      </c>
      <c r="K90" s="329">
        <f t="shared" si="33"/>
        <v>6</v>
      </c>
      <c r="L90" s="329"/>
      <c r="M90" s="320">
        <f t="shared" si="33"/>
        <v>105037.32</v>
      </c>
    </row>
    <row r="91" spans="1:13" ht="15" customHeight="1" x14ac:dyDescent="0.2">
      <c r="A91" s="528" t="s">
        <v>316</v>
      </c>
      <c r="B91" s="529"/>
      <c r="C91" s="529"/>
      <c r="D91" s="529"/>
      <c r="E91" s="529"/>
      <c r="F91" s="529"/>
      <c r="G91" s="529"/>
      <c r="H91" s="529"/>
      <c r="I91" s="529"/>
      <c r="J91" s="529"/>
      <c r="K91" s="529"/>
      <c r="L91" s="529"/>
      <c r="M91" s="530"/>
    </row>
    <row r="92" spans="1:13" ht="15" x14ac:dyDescent="0.25">
      <c r="A92" s="356" t="s">
        <v>313</v>
      </c>
      <c r="B92" s="330">
        <v>1</v>
      </c>
      <c r="C92" s="330">
        <v>20649.54</v>
      </c>
      <c r="D92" s="337">
        <v>20649.54</v>
      </c>
      <c r="E92" s="330">
        <v>1</v>
      </c>
      <c r="F92" s="330">
        <v>20649.54</v>
      </c>
      <c r="G92" s="337">
        <f>F92*E92</f>
        <v>20649.54</v>
      </c>
      <c r="H92" s="330">
        <f t="shared" si="23"/>
        <v>0</v>
      </c>
      <c r="I92" s="330">
        <f t="shared" si="24"/>
        <v>0</v>
      </c>
      <c r="J92" s="337">
        <f t="shared" si="25"/>
        <v>0</v>
      </c>
      <c r="K92" s="330">
        <v>1</v>
      </c>
      <c r="L92" s="327">
        <f t="shared" si="26"/>
        <v>22508</v>
      </c>
      <c r="M92" s="312">
        <f t="shared" si="27"/>
        <v>22508</v>
      </c>
    </row>
    <row r="93" spans="1:13" ht="15" x14ac:dyDescent="0.25">
      <c r="A93" s="356" t="s">
        <v>304</v>
      </c>
      <c r="B93" s="331">
        <v>2</v>
      </c>
      <c r="C93" s="330">
        <v>16519.63</v>
      </c>
      <c r="D93" s="337">
        <v>33039.26</v>
      </c>
      <c r="E93" s="331">
        <v>2</v>
      </c>
      <c r="F93" s="330">
        <v>16519.63</v>
      </c>
      <c r="G93" s="337">
        <f t="shared" ref="G93:G96" si="34">F93*E93</f>
        <v>33039.26</v>
      </c>
      <c r="H93" s="331">
        <f t="shared" si="23"/>
        <v>0</v>
      </c>
      <c r="I93" s="330">
        <f t="shared" si="24"/>
        <v>0</v>
      </c>
      <c r="J93" s="337">
        <f t="shared" si="25"/>
        <v>0</v>
      </c>
      <c r="K93" s="331">
        <v>2</v>
      </c>
      <c r="L93" s="327">
        <f t="shared" si="26"/>
        <v>18006.400000000001</v>
      </c>
      <c r="M93" s="312">
        <f t="shared" si="27"/>
        <v>36012.800000000003</v>
      </c>
    </row>
    <row r="94" spans="1:13" ht="15" x14ac:dyDescent="0.25">
      <c r="A94" s="356" t="s">
        <v>45</v>
      </c>
      <c r="B94" s="330">
        <v>1</v>
      </c>
      <c r="C94" s="330">
        <v>16519.63</v>
      </c>
      <c r="D94" s="337">
        <v>16519.63</v>
      </c>
      <c r="E94" s="330">
        <v>1</v>
      </c>
      <c r="F94" s="330">
        <v>16519.63</v>
      </c>
      <c r="G94" s="337">
        <f t="shared" si="34"/>
        <v>16519.63</v>
      </c>
      <c r="H94" s="330">
        <f t="shared" si="23"/>
        <v>0</v>
      </c>
      <c r="I94" s="330">
        <f t="shared" si="24"/>
        <v>0</v>
      </c>
      <c r="J94" s="337">
        <f t="shared" si="25"/>
        <v>0</v>
      </c>
      <c r="K94" s="330">
        <v>1</v>
      </c>
      <c r="L94" s="327">
        <f t="shared" si="26"/>
        <v>18006.400000000001</v>
      </c>
      <c r="M94" s="312">
        <f t="shared" si="27"/>
        <v>18006.400000000001</v>
      </c>
    </row>
    <row r="95" spans="1:13" ht="15" x14ac:dyDescent="0.25">
      <c r="A95" s="356" t="s">
        <v>48</v>
      </c>
      <c r="B95" s="330">
        <v>1</v>
      </c>
      <c r="C95" s="330">
        <v>13766.34</v>
      </c>
      <c r="D95" s="337">
        <v>13766.34</v>
      </c>
      <c r="E95" s="330">
        <v>1</v>
      </c>
      <c r="F95" s="330">
        <v>13766.34</v>
      </c>
      <c r="G95" s="337">
        <f t="shared" si="34"/>
        <v>13766.34</v>
      </c>
      <c r="H95" s="330">
        <f t="shared" si="23"/>
        <v>0</v>
      </c>
      <c r="I95" s="330">
        <f t="shared" si="24"/>
        <v>0</v>
      </c>
      <c r="J95" s="337">
        <f t="shared" si="25"/>
        <v>0</v>
      </c>
      <c r="K95" s="330">
        <v>1</v>
      </c>
      <c r="L95" s="327">
        <f t="shared" si="26"/>
        <v>15005.31</v>
      </c>
      <c r="M95" s="312">
        <f t="shared" si="27"/>
        <v>15005.31</v>
      </c>
    </row>
    <row r="96" spans="1:13" ht="15.75" thickBot="1" x14ac:dyDescent="0.3">
      <c r="A96" s="357" t="s">
        <v>314</v>
      </c>
      <c r="B96" s="331">
        <v>1</v>
      </c>
      <c r="C96" s="331">
        <v>12389.73</v>
      </c>
      <c r="D96" s="339">
        <v>12389.73</v>
      </c>
      <c r="E96" s="331">
        <v>1</v>
      </c>
      <c r="F96" s="331">
        <v>12389.73</v>
      </c>
      <c r="G96" s="337">
        <f t="shared" si="34"/>
        <v>12389.73</v>
      </c>
      <c r="H96" s="331">
        <f t="shared" si="23"/>
        <v>0</v>
      </c>
      <c r="I96" s="331">
        <f t="shared" si="24"/>
        <v>0</v>
      </c>
      <c r="J96" s="337">
        <f t="shared" si="25"/>
        <v>0</v>
      </c>
      <c r="K96" s="331">
        <v>1</v>
      </c>
      <c r="L96" s="327">
        <f t="shared" si="26"/>
        <v>13504.81</v>
      </c>
      <c r="M96" s="312">
        <f t="shared" si="27"/>
        <v>13504.81</v>
      </c>
    </row>
    <row r="97" spans="1:13" ht="15" thickBot="1" x14ac:dyDescent="0.25">
      <c r="A97" s="319" t="s">
        <v>315</v>
      </c>
      <c r="B97" s="329">
        <f>SUM(B92:B96)</f>
        <v>6</v>
      </c>
      <c r="C97" s="329"/>
      <c r="D97" s="335">
        <f t="shared" ref="D97:M97" si="35">SUM(D92:D96)</f>
        <v>96364.5</v>
      </c>
      <c r="E97" s="329">
        <f t="shared" si="35"/>
        <v>6</v>
      </c>
      <c r="F97" s="329"/>
      <c r="G97" s="335">
        <f t="shared" si="35"/>
        <v>96364.5</v>
      </c>
      <c r="H97" s="329">
        <f t="shared" si="35"/>
        <v>0</v>
      </c>
      <c r="I97" s="329"/>
      <c r="J97" s="335">
        <f t="shared" si="35"/>
        <v>0</v>
      </c>
      <c r="K97" s="329">
        <f t="shared" si="35"/>
        <v>6</v>
      </c>
      <c r="L97" s="329"/>
      <c r="M97" s="320">
        <f t="shared" si="35"/>
        <v>105037.32</v>
      </c>
    </row>
    <row r="98" spans="1:13" ht="15" customHeight="1" x14ac:dyDescent="0.2">
      <c r="A98" s="528" t="s">
        <v>317</v>
      </c>
      <c r="B98" s="529"/>
      <c r="C98" s="529"/>
      <c r="D98" s="529"/>
      <c r="E98" s="529"/>
      <c r="F98" s="529"/>
      <c r="G98" s="529"/>
      <c r="H98" s="529"/>
      <c r="I98" s="529"/>
      <c r="J98" s="529"/>
      <c r="K98" s="529"/>
      <c r="L98" s="529"/>
      <c r="M98" s="530"/>
    </row>
    <row r="99" spans="1:13" ht="15" x14ac:dyDescent="0.25">
      <c r="A99" s="356" t="s">
        <v>313</v>
      </c>
      <c r="B99" s="330">
        <v>1</v>
      </c>
      <c r="C99" s="330">
        <v>20649.54</v>
      </c>
      <c r="D99" s="337">
        <v>20649.54</v>
      </c>
      <c r="E99" s="330">
        <v>1</v>
      </c>
      <c r="F99" s="330">
        <v>20649.54</v>
      </c>
      <c r="G99" s="337">
        <f>F99*E99</f>
        <v>20649.54</v>
      </c>
      <c r="H99" s="330">
        <f t="shared" si="23"/>
        <v>0</v>
      </c>
      <c r="I99" s="330">
        <f t="shared" si="24"/>
        <v>0</v>
      </c>
      <c r="J99" s="337">
        <f t="shared" si="25"/>
        <v>0</v>
      </c>
      <c r="K99" s="330">
        <v>1</v>
      </c>
      <c r="L99" s="327">
        <f t="shared" si="26"/>
        <v>22508</v>
      </c>
      <c r="M99" s="312">
        <f t="shared" si="27"/>
        <v>22508</v>
      </c>
    </row>
    <row r="100" spans="1:13" ht="15" x14ac:dyDescent="0.25">
      <c r="A100" s="356" t="s">
        <v>304</v>
      </c>
      <c r="B100" s="330">
        <v>2</v>
      </c>
      <c r="C100" s="330">
        <v>16519.63</v>
      </c>
      <c r="D100" s="337">
        <v>33039.26</v>
      </c>
      <c r="E100" s="330">
        <v>2</v>
      </c>
      <c r="F100" s="330">
        <v>16519.63</v>
      </c>
      <c r="G100" s="337">
        <f t="shared" ref="G100:G102" si="36">F100*E100</f>
        <v>33039.26</v>
      </c>
      <c r="H100" s="330">
        <f t="shared" si="23"/>
        <v>0</v>
      </c>
      <c r="I100" s="330">
        <f t="shared" si="24"/>
        <v>0</v>
      </c>
      <c r="J100" s="337">
        <f t="shared" si="25"/>
        <v>0</v>
      </c>
      <c r="K100" s="330">
        <v>2</v>
      </c>
      <c r="L100" s="327">
        <f t="shared" si="26"/>
        <v>18006.400000000001</v>
      </c>
      <c r="M100" s="312">
        <f t="shared" si="27"/>
        <v>36012.800000000003</v>
      </c>
    </row>
    <row r="101" spans="1:13" ht="15" x14ac:dyDescent="0.25">
      <c r="A101" s="356" t="s">
        <v>48</v>
      </c>
      <c r="B101" s="330">
        <v>2</v>
      </c>
      <c r="C101" s="330">
        <v>13766.34</v>
      </c>
      <c r="D101" s="337">
        <v>27532.68</v>
      </c>
      <c r="E101" s="330">
        <v>2</v>
      </c>
      <c r="F101" s="330">
        <v>13766.34</v>
      </c>
      <c r="G101" s="337">
        <f t="shared" si="36"/>
        <v>27532.68</v>
      </c>
      <c r="H101" s="330">
        <f t="shared" si="23"/>
        <v>0</v>
      </c>
      <c r="I101" s="330">
        <f t="shared" si="24"/>
        <v>0</v>
      </c>
      <c r="J101" s="337">
        <f t="shared" si="25"/>
        <v>0</v>
      </c>
      <c r="K101" s="330">
        <v>2</v>
      </c>
      <c r="L101" s="327">
        <f t="shared" si="26"/>
        <v>15005.31</v>
      </c>
      <c r="M101" s="312">
        <f t="shared" si="27"/>
        <v>30010.62</v>
      </c>
    </row>
    <row r="102" spans="1:13" ht="15.75" thickBot="1" x14ac:dyDescent="0.3">
      <c r="A102" s="357" t="s">
        <v>314</v>
      </c>
      <c r="B102" s="331">
        <v>1</v>
      </c>
      <c r="C102" s="331">
        <v>12389.73</v>
      </c>
      <c r="D102" s="339">
        <v>12389.73</v>
      </c>
      <c r="E102" s="331">
        <v>1</v>
      </c>
      <c r="F102" s="331">
        <v>12389.73</v>
      </c>
      <c r="G102" s="337">
        <f t="shared" si="36"/>
        <v>12389.73</v>
      </c>
      <c r="H102" s="331">
        <f t="shared" si="23"/>
        <v>0</v>
      </c>
      <c r="I102" s="331">
        <f t="shared" si="24"/>
        <v>0</v>
      </c>
      <c r="J102" s="337">
        <f t="shared" si="25"/>
        <v>0</v>
      </c>
      <c r="K102" s="331">
        <v>1</v>
      </c>
      <c r="L102" s="327">
        <f t="shared" si="26"/>
        <v>13504.81</v>
      </c>
      <c r="M102" s="312">
        <f t="shared" si="27"/>
        <v>13504.81</v>
      </c>
    </row>
    <row r="103" spans="1:13" ht="15" thickBot="1" x14ac:dyDescent="0.25">
      <c r="A103" s="319" t="s">
        <v>315</v>
      </c>
      <c r="B103" s="329">
        <f>SUM(B99:B102)</f>
        <v>6</v>
      </c>
      <c r="C103" s="329"/>
      <c r="D103" s="335">
        <f t="shared" ref="D103:M103" si="37">SUM(D99:D102)</f>
        <v>93611.21</v>
      </c>
      <c r="E103" s="329">
        <f t="shared" si="37"/>
        <v>6</v>
      </c>
      <c r="F103" s="329"/>
      <c r="G103" s="335">
        <f t="shared" si="37"/>
        <v>93611.21</v>
      </c>
      <c r="H103" s="329">
        <f t="shared" si="37"/>
        <v>0</v>
      </c>
      <c r="I103" s="329"/>
      <c r="J103" s="335">
        <f t="shared" si="37"/>
        <v>0</v>
      </c>
      <c r="K103" s="329">
        <f t="shared" si="37"/>
        <v>6</v>
      </c>
      <c r="L103" s="329"/>
      <c r="M103" s="320">
        <f t="shared" si="37"/>
        <v>102036.23</v>
      </c>
    </row>
    <row r="104" spans="1:13" ht="15" customHeight="1" x14ac:dyDescent="0.2">
      <c r="A104" s="528" t="s">
        <v>318</v>
      </c>
      <c r="B104" s="529"/>
      <c r="C104" s="529"/>
      <c r="D104" s="529"/>
      <c r="E104" s="529"/>
      <c r="F104" s="529"/>
      <c r="G104" s="529"/>
      <c r="H104" s="529"/>
      <c r="I104" s="529"/>
      <c r="J104" s="529"/>
      <c r="K104" s="529"/>
      <c r="L104" s="529"/>
      <c r="M104" s="530"/>
    </row>
    <row r="105" spans="1:13" ht="15" x14ac:dyDescent="0.25">
      <c r="A105" s="356" t="s">
        <v>313</v>
      </c>
      <c r="B105" s="330">
        <v>1</v>
      </c>
      <c r="C105" s="330">
        <v>20649.54</v>
      </c>
      <c r="D105" s="337">
        <v>20649.54</v>
      </c>
      <c r="E105" s="330">
        <v>1</v>
      </c>
      <c r="F105" s="330">
        <v>20649.54</v>
      </c>
      <c r="G105" s="337">
        <f>F105*E105</f>
        <v>20649.54</v>
      </c>
      <c r="H105" s="330">
        <f t="shared" si="23"/>
        <v>0</v>
      </c>
      <c r="I105" s="330">
        <f t="shared" si="24"/>
        <v>0</v>
      </c>
      <c r="J105" s="337">
        <f t="shared" si="25"/>
        <v>0</v>
      </c>
      <c r="K105" s="330">
        <v>1</v>
      </c>
      <c r="L105" s="327">
        <f t="shared" si="26"/>
        <v>22508</v>
      </c>
      <c r="M105" s="312">
        <f t="shared" si="27"/>
        <v>22508</v>
      </c>
    </row>
    <row r="106" spans="1:13" ht="15" x14ac:dyDescent="0.25">
      <c r="A106" s="356" t="s">
        <v>48</v>
      </c>
      <c r="B106" s="330">
        <v>2</v>
      </c>
      <c r="C106" s="330">
        <v>13766.34</v>
      </c>
      <c r="D106" s="337">
        <v>27532.68</v>
      </c>
      <c r="E106" s="330">
        <v>3</v>
      </c>
      <c r="F106" s="330">
        <v>13766.34</v>
      </c>
      <c r="G106" s="337">
        <f t="shared" ref="G106:G109" si="38">F106*E106</f>
        <v>41299.020000000004</v>
      </c>
      <c r="H106" s="330">
        <f t="shared" si="23"/>
        <v>1</v>
      </c>
      <c r="I106" s="330">
        <f t="shared" si="24"/>
        <v>0</v>
      </c>
      <c r="J106" s="337">
        <f t="shared" si="25"/>
        <v>13766.340000000004</v>
      </c>
      <c r="K106" s="330">
        <v>3</v>
      </c>
      <c r="L106" s="327">
        <f t="shared" si="26"/>
        <v>15005.31</v>
      </c>
      <c r="M106" s="312">
        <f t="shared" si="27"/>
        <v>45015.93</v>
      </c>
    </row>
    <row r="107" spans="1:13" ht="15" x14ac:dyDescent="0.25">
      <c r="A107" s="356" t="s">
        <v>45</v>
      </c>
      <c r="B107" s="330">
        <v>2</v>
      </c>
      <c r="C107" s="330">
        <v>16519.63</v>
      </c>
      <c r="D107" s="337">
        <v>33039.26</v>
      </c>
      <c r="E107" s="330">
        <v>2</v>
      </c>
      <c r="F107" s="330">
        <v>16519.63</v>
      </c>
      <c r="G107" s="337">
        <f t="shared" si="38"/>
        <v>33039.26</v>
      </c>
      <c r="H107" s="330">
        <f t="shared" si="23"/>
        <v>0</v>
      </c>
      <c r="I107" s="330">
        <f t="shared" si="24"/>
        <v>0</v>
      </c>
      <c r="J107" s="337">
        <f t="shared" si="25"/>
        <v>0</v>
      </c>
      <c r="K107" s="330">
        <v>2</v>
      </c>
      <c r="L107" s="327">
        <f t="shared" si="26"/>
        <v>18006.400000000001</v>
      </c>
      <c r="M107" s="312">
        <f t="shared" si="27"/>
        <v>36012.800000000003</v>
      </c>
    </row>
    <row r="108" spans="1:13" ht="15" x14ac:dyDescent="0.25">
      <c r="A108" s="356" t="s">
        <v>304</v>
      </c>
      <c r="B108" s="330">
        <v>1</v>
      </c>
      <c r="C108" s="330">
        <v>16519.63</v>
      </c>
      <c r="D108" s="337">
        <v>16519.63</v>
      </c>
      <c r="E108" s="330">
        <v>1</v>
      </c>
      <c r="F108" s="330">
        <v>16519.63</v>
      </c>
      <c r="G108" s="337">
        <f t="shared" si="38"/>
        <v>16519.63</v>
      </c>
      <c r="H108" s="330">
        <f t="shared" si="23"/>
        <v>0</v>
      </c>
      <c r="I108" s="330">
        <f t="shared" si="24"/>
        <v>0</v>
      </c>
      <c r="J108" s="337">
        <f t="shared" si="25"/>
        <v>0</v>
      </c>
      <c r="K108" s="330">
        <v>1</v>
      </c>
      <c r="L108" s="327">
        <f t="shared" si="26"/>
        <v>18006.400000000001</v>
      </c>
      <c r="M108" s="312">
        <f t="shared" si="27"/>
        <v>18006.400000000001</v>
      </c>
    </row>
    <row r="109" spans="1:13" ht="15.75" thickBot="1" x14ac:dyDescent="0.3">
      <c r="A109" s="358" t="s">
        <v>314</v>
      </c>
      <c r="B109" s="333">
        <v>1</v>
      </c>
      <c r="C109" s="333">
        <v>12389.73</v>
      </c>
      <c r="D109" s="342">
        <v>12389.73</v>
      </c>
      <c r="E109" s="333">
        <v>1</v>
      </c>
      <c r="F109" s="333">
        <v>12389.73</v>
      </c>
      <c r="G109" s="337">
        <f t="shared" si="38"/>
        <v>12389.73</v>
      </c>
      <c r="H109" s="333">
        <f t="shared" si="23"/>
        <v>0</v>
      </c>
      <c r="I109" s="333">
        <f t="shared" si="24"/>
        <v>0</v>
      </c>
      <c r="J109" s="342">
        <f t="shared" si="25"/>
        <v>0</v>
      </c>
      <c r="K109" s="333">
        <v>1</v>
      </c>
      <c r="L109" s="327">
        <f t="shared" si="26"/>
        <v>13504.81</v>
      </c>
      <c r="M109" s="312">
        <f t="shared" si="27"/>
        <v>13504.81</v>
      </c>
    </row>
    <row r="110" spans="1:13" ht="15" thickBot="1" x14ac:dyDescent="0.25">
      <c r="A110" s="319" t="s">
        <v>315</v>
      </c>
      <c r="B110" s="329">
        <f>SUM(B105:B109)</f>
        <v>7</v>
      </c>
      <c r="C110" s="329"/>
      <c r="D110" s="335">
        <f t="shared" ref="D110:M110" si="39">SUM(D105:D109)</f>
        <v>110130.84000000001</v>
      </c>
      <c r="E110" s="329">
        <f t="shared" si="39"/>
        <v>8</v>
      </c>
      <c r="F110" s="329"/>
      <c r="G110" s="335">
        <f t="shared" si="39"/>
        <v>123897.18000000001</v>
      </c>
      <c r="H110" s="329">
        <f t="shared" si="39"/>
        <v>1</v>
      </c>
      <c r="I110" s="329"/>
      <c r="J110" s="335">
        <f t="shared" si="39"/>
        <v>13766.340000000004</v>
      </c>
      <c r="K110" s="329">
        <f t="shared" si="39"/>
        <v>8</v>
      </c>
      <c r="L110" s="329"/>
      <c r="M110" s="320">
        <f t="shared" si="39"/>
        <v>135047.94</v>
      </c>
    </row>
    <row r="111" spans="1:13" ht="15" customHeight="1" x14ac:dyDescent="0.2">
      <c r="A111" s="528" t="s">
        <v>319</v>
      </c>
      <c r="B111" s="529"/>
      <c r="C111" s="529"/>
      <c r="D111" s="529"/>
      <c r="E111" s="529"/>
      <c r="F111" s="529"/>
      <c r="G111" s="529"/>
      <c r="H111" s="529"/>
      <c r="I111" s="529"/>
      <c r="J111" s="529"/>
      <c r="K111" s="529"/>
      <c r="L111" s="529"/>
      <c r="M111" s="530"/>
    </row>
    <row r="112" spans="1:13" ht="15" x14ac:dyDescent="0.25">
      <c r="A112" s="356" t="s">
        <v>313</v>
      </c>
      <c r="B112" s="330">
        <v>1</v>
      </c>
      <c r="C112" s="330">
        <v>20649.54</v>
      </c>
      <c r="D112" s="337">
        <v>20649.54</v>
      </c>
      <c r="E112" s="330">
        <v>0</v>
      </c>
      <c r="F112" s="330">
        <v>0</v>
      </c>
      <c r="G112" s="337">
        <f>F112*E112</f>
        <v>0</v>
      </c>
      <c r="H112" s="330">
        <f t="shared" si="23"/>
        <v>-1</v>
      </c>
      <c r="I112" s="330">
        <f t="shared" si="24"/>
        <v>-20649.54</v>
      </c>
      <c r="J112" s="337">
        <f t="shared" si="25"/>
        <v>-20649.54</v>
      </c>
      <c r="K112" s="330">
        <v>0</v>
      </c>
      <c r="L112" s="327">
        <f t="shared" si="26"/>
        <v>0</v>
      </c>
      <c r="M112" s="312">
        <f t="shared" si="27"/>
        <v>0</v>
      </c>
    </row>
    <row r="113" spans="1:13" ht="15" x14ac:dyDescent="0.25">
      <c r="A113" s="356" t="s">
        <v>304</v>
      </c>
      <c r="B113" s="331">
        <v>1</v>
      </c>
      <c r="C113" s="330">
        <v>16519.63</v>
      </c>
      <c r="D113" s="337">
        <v>16519.63</v>
      </c>
      <c r="E113" s="331">
        <v>0</v>
      </c>
      <c r="F113" s="330">
        <v>0</v>
      </c>
      <c r="G113" s="337">
        <f t="shared" ref="G113:G116" si="40">F113*E113</f>
        <v>0</v>
      </c>
      <c r="H113" s="331">
        <f t="shared" si="23"/>
        <v>-1</v>
      </c>
      <c r="I113" s="330">
        <f t="shared" si="24"/>
        <v>-16519.63</v>
      </c>
      <c r="J113" s="337">
        <f t="shared" si="25"/>
        <v>-16519.63</v>
      </c>
      <c r="K113" s="331">
        <v>0</v>
      </c>
      <c r="L113" s="327">
        <f t="shared" si="26"/>
        <v>0</v>
      </c>
      <c r="M113" s="312">
        <f t="shared" si="27"/>
        <v>0</v>
      </c>
    </row>
    <row r="114" spans="1:13" ht="15" x14ac:dyDescent="0.25">
      <c r="A114" s="356" t="s">
        <v>45</v>
      </c>
      <c r="B114" s="330">
        <v>1</v>
      </c>
      <c r="C114" s="330">
        <v>16519.63</v>
      </c>
      <c r="D114" s="337">
        <v>16519.63</v>
      </c>
      <c r="E114" s="330">
        <v>0</v>
      </c>
      <c r="F114" s="330">
        <v>0</v>
      </c>
      <c r="G114" s="337">
        <f t="shared" si="40"/>
        <v>0</v>
      </c>
      <c r="H114" s="330">
        <f t="shared" si="23"/>
        <v>-1</v>
      </c>
      <c r="I114" s="330">
        <f t="shared" si="24"/>
        <v>-16519.63</v>
      </c>
      <c r="J114" s="337">
        <f t="shared" si="25"/>
        <v>-16519.63</v>
      </c>
      <c r="K114" s="330">
        <v>0</v>
      </c>
      <c r="L114" s="327">
        <f t="shared" si="26"/>
        <v>0</v>
      </c>
      <c r="M114" s="312">
        <f t="shared" si="27"/>
        <v>0</v>
      </c>
    </row>
    <row r="115" spans="1:13" ht="15" x14ac:dyDescent="0.25">
      <c r="A115" s="356" t="s">
        <v>48</v>
      </c>
      <c r="B115" s="330">
        <v>1</v>
      </c>
      <c r="C115" s="330">
        <v>13766.34</v>
      </c>
      <c r="D115" s="337">
        <v>13766.34</v>
      </c>
      <c r="E115" s="330">
        <v>0</v>
      </c>
      <c r="F115" s="330">
        <v>0</v>
      </c>
      <c r="G115" s="337">
        <f t="shared" si="40"/>
        <v>0</v>
      </c>
      <c r="H115" s="330">
        <f t="shared" si="23"/>
        <v>-1</v>
      </c>
      <c r="I115" s="330">
        <f t="shared" si="24"/>
        <v>-13766.34</v>
      </c>
      <c r="J115" s="337">
        <f t="shared" si="25"/>
        <v>-13766.34</v>
      </c>
      <c r="K115" s="330">
        <v>0</v>
      </c>
      <c r="L115" s="327">
        <f t="shared" si="26"/>
        <v>0</v>
      </c>
      <c r="M115" s="312">
        <f t="shared" si="27"/>
        <v>0</v>
      </c>
    </row>
    <row r="116" spans="1:13" ht="15.75" thickBot="1" x14ac:dyDescent="0.3">
      <c r="A116" s="357" t="s">
        <v>314</v>
      </c>
      <c r="B116" s="331">
        <v>1</v>
      </c>
      <c r="C116" s="331">
        <v>12389.73</v>
      </c>
      <c r="D116" s="339">
        <v>12389.73</v>
      </c>
      <c r="E116" s="331">
        <v>0</v>
      </c>
      <c r="F116" s="331">
        <v>0</v>
      </c>
      <c r="G116" s="337">
        <f t="shared" si="40"/>
        <v>0</v>
      </c>
      <c r="H116" s="331">
        <f t="shared" si="23"/>
        <v>-1</v>
      </c>
      <c r="I116" s="331">
        <f t="shared" si="24"/>
        <v>-12389.73</v>
      </c>
      <c r="J116" s="337">
        <f t="shared" si="25"/>
        <v>-12389.73</v>
      </c>
      <c r="K116" s="331">
        <v>0</v>
      </c>
      <c r="L116" s="327">
        <f t="shared" si="26"/>
        <v>0</v>
      </c>
      <c r="M116" s="312">
        <f t="shared" si="27"/>
        <v>0</v>
      </c>
    </row>
    <row r="117" spans="1:13" ht="15" thickBot="1" x14ac:dyDescent="0.25">
      <c r="A117" s="319" t="s">
        <v>315</v>
      </c>
      <c r="B117" s="329">
        <f>SUM(B112:B116)</f>
        <v>5</v>
      </c>
      <c r="C117" s="329"/>
      <c r="D117" s="335">
        <f t="shared" ref="D117:M117" si="41">SUM(D112:D116)</f>
        <v>79844.87</v>
      </c>
      <c r="E117" s="329">
        <f t="shared" si="41"/>
        <v>0</v>
      </c>
      <c r="F117" s="329">
        <v>0</v>
      </c>
      <c r="G117" s="335">
        <f t="shared" si="41"/>
        <v>0</v>
      </c>
      <c r="H117" s="329">
        <f t="shared" si="41"/>
        <v>-5</v>
      </c>
      <c r="I117" s="329"/>
      <c r="J117" s="335">
        <f t="shared" si="41"/>
        <v>-79844.87</v>
      </c>
      <c r="K117" s="329">
        <f t="shared" si="41"/>
        <v>0</v>
      </c>
      <c r="L117" s="329"/>
      <c r="M117" s="320">
        <f t="shared" si="41"/>
        <v>0</v>
      </c>
    </row>
    <row r="118" spans="1:13" ht="15" customHeight="1" x14ac:dyDescent="0.2">
      <c r="A118" s="528" t="s">
        <v>320</v>
      </c>
      <c r="B118" s="529"/>
      <c r="C118" s="529"/>
      <c r="D118" s="529"/>
      <c r="E118" s="529"/>
      <c r="F118" s="529"/>
      <c r="G118" s="529"/>
      <c r="H118" s="529"/>
      <c r="I118" s="529"/>
      <c r="J118" s="529"/>
      <c r="K118" s="529"/>
      <c r="L118" s="529"/>
      <c r="M118" s="530"/>
    </row>
    <row r="119" spans="1:13" ht="15" x14ac:dyDescent="0.25">
      <c r="A119" s="356" t="s">
        <v>313</v>
      </c>
      <c r="B119" s="330">
        <v>1</v>
      </c>
      <c r="C119" s="330">
        <v>20649.54</v>
      </c>
      <c r="D119" s="337">
        <v>20649.54</v>
      </c>
      <c r="E119" s="330">
        <v>1</v>
      </c>
      <c r="F119" s="330">
        <v>20649.54</v>
      </c>
      <c r="G119" s="337">
        <v>20649.54</v>
      </c>
      <c r="H119" s="330">
        <f t="shared" si="23"/>
        <v>0</v>
      </c>
      <c r="I119" s="330">
        <f t="shared" si="24"/>
        <v>0</v>
      </c>
      <c r="J119" s="337">
        <f t="shared" si="25"/>
        <v>0</v>
      </c>
      <c r="K119" s="330">
        <v>1</v>
      </c>
      <c r="L119" s="327">
        <f t="shared" si="26"/>
        <v>22508</v>
      </c>
      <c r="M119" s="312">
        <f t="shared" si="27"/>
        <v>22508</v>
      </c>
    </row>
    <row r="120" spans="1:13" ht="15" x14ac:dyDescent="0.25">
      <c r="A120" s="356" t="s">
        <v>304</v>
      </c>
      <c r="B120" s="331">
        <v>2</v>
      </c>
      <c r="C120" s="330">
        <v>16519.63</v>
      </c>
      <c r="D120" s="337">
        <v>33039.26</v>
      </c>
      <c r="E120" s="331">
        <v>2</v>
      </c>
      <c r="F120" s="330">
        <v>16519.63</v>
      </c>
      <c r="G120" s="337">
        <v>33039.26</v>
      </c>
      <c r="H120" s="331">
        <f t="shared" si="23"/>
        <v>0</v>
      </c>
      <c r="I120" s="330">
        <f t="shared" si="24"/>
        <v>0</v>
      </c>
      <c r="J120" s="337">
        <f t="shared" si="25"/>
        <v>0</v>
      </c>
      <c r="K120" s="331">
        <v>2</v>
      </c>
      <c r="L120" s="327">
        <f t="shared" si="26"/>
        <v>18006.400000000001</v>
      </c>
      <c r="M120" s="312">
        <f t="shared" si="27"/>
        <v>36012.800000000003</v>
      </c>
    </row>
    <row r="121" spans="1:13" ht="15" x14ac:dyDescent="0.25">
      <c r="A121" s="356" t="s">
        <v>48</v>
      </c>
      <c r="B121" s="330">
        <v>2</v>
      </c>
      <c r="C121" s="330">
        <v>13766.34</v>
      </c>
      <c r="D121" s="337">
        <v>27532.68</v>
      </c>
      <c r="E121" s="330">
        <v>2</v>
      </c>
      <c r="F121" s="330">
        <v>13766.34</v>
      </c>
      <c r="G121" s="337">
        <v>27532.68</v>
      </c>
      <c r="H121" s="330">
        <f t="shared" si="23"/>
        <v>0</v>
      </c>
      <c r="I121" s="330">
        <f t="shared" si="24"/>
        <v>0</v>
      </c>
      <c r="J121" s="337">
        <f t="shared" si="25"/>
        <v>0</v>
      </c>
      <c r="K121" s="330">
        <v>2</v>
      </c>
      <c r="L121" s="327">
        <f t="shared" si="26"/>
        <v>15005.31</v>
      </c>
      <c r="M121" s="312">
        <f t="shared" si="27"/>
        <v>30010.62</v>
      </c>
    </row>
    <row r="122" spans="1:13" ht="15.75" thickBot="1" x14ac:dyDescent="0.3">
      <c r="A122" s="357" t="s">
        <v>314</v>
      </c>
      <c r="B122" s="331">
        <v>1</v>
      </c>
      <c r="C122" s="331">
        <v>12389.73</v>
      </c>
      <c r="D122" s="339">
        <v>12389.73</v>
      </c>
      <c r="E122" s="331">
        <v>1</v>
      </c>
      <c r="F122" s="331">
        <v>12389.73</v>
      </c>
      <c r="G122" s="339">
        <v>12389.73</v>
      </c>
      <c r="H122" s="331">
        <f t="shared" si="23"/>
        <v>0</v>
      </c>
      <c r="I122" s="331">
        <f t="shared" si="24"/>
        <v>0</v>
      </c>
      <c r="J122" s="339">
        <f t="shared" si="25"/>
        <v>0</v>
      </c>
      <c r="K122" s="331">
        <v>1</v>
      </c>
      <c r="L122" s="327">
        <f t="shared" si="26"/>
        <v>13504.81</v>
      </c>
      <c r="M122" s="312">
        <f t="shared" si="27"/>
        <v>13504.81</v>
      </c>
    </row>
    <row r="123" spans="1:13" ht="15" thickBot="1" x14ac:dyDescent="0.25">
      <c r="A123" s="319" t="s">
        <v>315</v>
      </c>
      <c r="B123" s="329">
        <f>SUM(B119:B122)</f>
        <v>6</v>
      </c>
      <c r="C123" s="329"/>
      <c r="D123" s="335">
        <f t="shared" ref="D123:M123" si="42">SUM(D119:D122)</f>
        <v>93611.21</v>
      </c>
      <c r="E123" s="329">
        <f t="shared" si="42"/>
        <v>6</v>
      </c>
      <c r="F123" s="329"/>
      <c r="G123" s="335">
        <f t="shared" si="42"/>
        <v>93611.21</v>
      </c>
      <c r="H123" s="329">
        <f t="shared" si="42"/>
        <v>0</v>
      </c>
      <c r="I123" s="329"/>
      <c r="J123" s="335">
        <f t="shared" si="42"/>
        <v>0</v>
      </c>
      <c r="K123" s="329">
        <f t="shared" si="42"/>
        <v>6</v>
      </c>
      <c r="L123" s="329"/>
      <c r="M123" s="320">
        <f t="shared" si="42"/>
        <v>102036.23</v>
      </c>
    </row>
    <row r="124" spans="1:13" ht="15" thickBot="1" x14ac:dyDescent="0.25">
      <c r="A124" s="319" t="s">
        <v>321</v>
      </c>
      <c r="B124" s="329">
        <f>B123+B117+B110+B103+B97+B90</f>
        <v>36</v>
      </c>
      <c r="C124" s="329"/>
      <c r="D124" s="335">
        <f t="shared" ref="D124:M124" si="43">D123+D117+D110+D103+D97+D90</f>
        <v>569927.13000000012</v>
      </c>
      <c r="E124" s="329">
        <f t="shared" si="43"/>
        <v>32</v>
      </c>
      <c r="F124" s="329"/>
      <c r="G124" s="335">
        <f t="shared" si="43"/>
        <v>503848.60000000003</v>
      </c>
      <c r="H124" s="329">
        <f t="shared" si="43"/>
        <v>-4</v>
      </c>
      <c r="I124" s="329"/>
      <c r="J124" s="335">
        <f t="shared" si="43"/>
        <v>-66078.53</v>
      </c>
      <c r="K124" s="329">
        <f t="shared" si="43"/>
        <v>32</v>
      </c>
      <c r="L124" s="329"/>
      <c r="M124" s="320">
        <f t="shared" si="43"/>
        <v>549195.04</v>
      </c>
    </row>
    <row r="125" spans="1:13" ht="15" thickBot="1" x14ac:dyDescent="0.25">
      <c r="A125" s="319" t="s">
        <v>322</v>
      </c>
      <c r="B125" s="329">
        <f>B124+B80</f>
        <v>123</v>
      </c>
      <c r="C125" s="329"/>
      <c r="D125" s="335">
        <f t="shared" ref="D125:M125" si="44">D124+D80</f>
        <v>2211977.46</v>
      </c>
      <c r="E125" s="329">
        <f t="shared" si="44"/>
        <v>123</v>
      </c>
      <c r="F125" s="329"/>
      <c r="G125" s="335">
        <f t="shared" si="44"/>
        <v>2211977.44</v>
      </c>
      <c r="H125" s="329">
        <f t="shared" si="44"/>
        <v>0</v>
      </c>
      <c r="I125" s="329"/>
      <c r="J125" s="335">
        <f t="shared" si="44"/>
        <v>-1.9999999989522621E-2</v>
      </c>
      <c r="K125" s="329">
        <f t="shared" si="44"/>
        <v>123</v>
      </c>
      <c r="L125" s="329"/>
      <c r="M125" s="320">
        <f t="shared" si="44"/>
        <v>2411055.29</v>
      </c>
    </row>
    <row r="126" spans="1:13" ht="15.75" thickBot="1" x14ac:dyDescent="0.3">
      <c r="A126" s="352" t="s">
        <v>326</v>
      </c>
      <c r="B126" s="353">
        <f>B67+B89+B96+B102+B68+B109+B116+B122</f>
        <v>9</v>
      </c>
      <c r="C126" s="353"/>
      <c r="D126" s="353">
        <f t="shared" ref="D126:M126" si="45">D67+D89+D96+D102+D68+D109+D116+D122</f>
        <v>111507.56999999999</v>
      </c>
      <c r="E126" s="353">
        <f t="shared" si="45"/>
        <v>9</v>
      </c>
      <c r="F126" s="353"/>
      <c r="G126" s="353">
        <f t="shared" si="45"/>
        <v>111507.56999999999</v>
      </c>
      <c r="H126" s="353">
        <f t="shared" si="45"/>
        <v>0</v>
      </c>
      <c r="I126" s="353"/>
      <c r="J126" s="354">
        <f t="shared" si="45"/>
        <v>3.637978807091713E-12</v>
      </c>
      <c r="K126" s="353">
        <f t="shared" si="45"/>
        <v>9</v>
      </c>
      <c r="L126" s="353"/>
      <c r="M126" s="353">
        <f t="shared" si="45"/>
        <v>121543.29</v>
      </c>
    </row>
    <row r="127" spans="1:13" ht="15.75" thickBot="1" x14ac:dyDescent="0.3">
      <c r="A127" s="352" t="s">
        <v>327</v>
      </c>
      <c r="B127" s="353">
        <f>B125-B126</f>
        <v>114</v>
      </c>
      <c r="C127" s="353"/>
      <c r="D127" s="353">
        <f t="shared" ref="D127:M127" si="46">D125-D126</f>
        <v>2100469.89</v>
      </c>
      <c r="E127" s="353">
        <f t="shared" si="46"/>
        <v>114</v>
      </c>
      <c r="F127" s="353"/>
      <c r="G127" s="353">
        <f t="shared" si="46"/>
        <v>2100469.87</v>
      </c>
      <c r="H127" s="353">
        <f t="shared" si="46"/>
        <v>0</v>
      </c>
      <c r="I127" s="353"/>
      <c r="J127" s="354">
        <f t="shared" si="46"/>
        <v>-1.99999999931606E-2</v>
      </c>
      <c r="K127" s="353">
        <f t="shared" si="46"/>
        <v>114</v>
      </c>
      <c r="L127" s="353"/>
      <c r="M127" s="353">
        <f t="shared" si="46"/>
        <v>2289512</v>
      </c>
    </row>
  </sheetData>
  <autoFilter ref="A5:M127"/>
  <mergeCells count="28">
    <mergeCell ref="A118:M118"/>
    <mergeCell ref="A62:M62"/>
    <mergeCell ref="A70:M70"/>
    <mergeCell ref="A74:M74"/>
    <mergeCell ref="A81:M81"/>
    <mergeCell ref="A82:M82"/>
    <mergeCell ref="A83:M83"/>
    <mergeCell ref="A84:M84"/>
    <mergeCell ref="A91:M91"/>
    <mergeCell ref="A98:M98"/>
    <mergeCell ref="A104:M104"/>
    <mergeCell ref="A111:M111"/>
    <mergeCell ref="A1:M1"/>
    <mergeCell ref="A56:M56"/>
    <mergeCell ref="B3:D3"/>
    <mergeCell ref="K3:M3"/>
    <mergeCell ref="A9:M9"/>
    <mergeCell ref="A15:M15"/>
    <mergeCell ref="A18:M18"/>
    <mergeCell ref="A24:M24"/>
    <mergeCell ref="E3:G3"/>
    <mergeCell ref="H3:J3"/>
    <mergeCell ref="A3:A4"/>
    <mergeCell ref="A31:M31"/>
    <mergeCell ref="A35:M35"/>
    <mergeCell ref="A38:M38"/>
    <mergeCell ref="A45:M45"/>
    <mergeCell ref="A52:M52"/>
  </mergeCells>
  <pageMargins left="0.31496062992125984" right="0.31496062992125984" top="0.35433070866141736" bottom="0.35433070866141736" header="0.31496062992125984" footer="0.31496062992125984"/>
  <pageSetup paperSize="9" scale="59" fitToHeight="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>
      <selection activeCell="M16" sqref="M16"/>
    </sheetView>
  </sheetViews>
  <sheetFormatPr defaultRowHeight="12.75" x14ac:dyDescent="0.2"/>
  <cols>
    <col min="1" max="1" width="5.140625" style="244" customWidth="1"/>
    <col min="2" max="5" width="9.140625" style="244"/>
    <col min="6" max="6" width="17.5703125" style="244" customWidth="1"/>
    <col min="7" max="7" width="27.28515625" style="244" customWidth="1"/>
    <col min="8" max="8" width="17.28515625" style="244" customWidth="1"/>
    <col min="9" max="9" width="18.140625" style="244" customWidth="1"/>
    <col min="10" max="10" width="9.140625" style="244"/>
    <col min="11" max="11" width="10.85546875" style="244" bestFit="1" customWidth="1"/>
    <col min="12" max="16384" width="9.140625" style="244"/>
  </cols>
  <sheetData>
    <row r="1" spans="1:13" x14ac:dyDescent="0.2">
      <c r="A1" s="243"/>
      <c r="B1" s="243"/>
      <c r="C1" s="243"/>
      <c r="D1" s="243"/>
      <c r="E1" s="243"/>
      <c r="F1" s="243"/>
      <c r="G1" s="243"/>
    </row>
    <row r="2" spans="1:13" x14ac:dyDescent="0.2">
      <c r="A2" s="243"/>
      <c r="B2" s="243"/>
      <c r="C2" s="243"/>
      <c r="D2" s="243"/>
      <c r="E2" s="243"/>
      <c r="F2" s="243"/>
      <c r="G2" s="243"/>
    </row>
    <row r="3" spans="1:13" ht="56.25" customHeight="1" x14ac:dyDescent="0.2">
      <c r="A3" s="479" t="s">
        <v>365</v>
      </c>
      <c r="B3" s="479"/>
      <c r="C3" s="479"/>
      <c r="D3" s="479"/>
      <c r="E3" s="479"/>
      <c r="F3" s="479"/>
      <c r="G3" s="479"/>
      <c r="H3" s="479"/>
      <c r="I3" s="479"/>
    </row>
    <row r="4" spans="1:13" x14ac:dyDescent="0.2">
      <c r="A4" s="245"/>
      <c r="B4" s="245"/>
      <c r="C4" s="245"/>
      <c r="D4" s="245"/>
      <c r="E4" s="245"/>
      <c r="F4" s="245"/>
      <c r="G4" s="245"/>
    </row>
    <row r="5" spans="1:13" ht="13.5" thickBot="1" x14ac:dyDescent="0.25">
      <c r="A5" s="246"/>
      <c r="B5" s="247"/>
      <c r="C5" s="247"/>
      <c r="D5" s="247"/>
      <c r="E5" s="247"/>
      <c r="F5" s="247"/>
      <c r="G5" s="247"/>
    </row>
    <row r="6" spans="1:13" ht="13.5" customHeight="1" x14ac:dyDescent="0.2">
      <c r="A6" s="570" t="s">
        <v>348</v>
      </c>
      <c r="B6" s="574" t="s">
        <v>349</v>
      </c>
      <c r="C6" s="575"/>
      <c r="D6" s="575"/>
      <c r="E6" s="575"/>
      <c r="F6" s="575"/>
      <c r="G6" s="568" t="s">
        <v>355</v>
      </c>
      <c r="H6" s="579" t="s">
        <v>363</v>
      </c>
      <c r="I6" s="568" t="s">
        <v>364</v>
      </c>
    </row>
    <row r="7" spans="1:13" ht="13.5" customHeight="1" x14ac:dyDescent="0.2">
      <c r="A7" s="571"/>
      <c r="B7" s="576"/>
      <c r="C7" s="577"/>
      <c r="D7" s="577"/>
      <c r="E7" s="577"/>
      <c r="F7" s="577"/>
      <c r="G7" s="569"/>
      <c r="H7" s="580"/>
      <c r="I7" s="569"/>
    </row>
    <row r="8" spans="1:13" ht="13.5" thickBot="1" x14ac:dyDescent="0.25">
      <c r="A8" s="571"/>
      <c r="B8" s="578"/>
      <c r="C8" s="577"/>
      <c r="D8" s="577"/>
      <c r="E8" s="577"/>
      <c r="F8" s="577"/>
      <c r="G8" s="569"/>
      <c r="H8" s="580"/>
      <c r="I8" s="569"/>
    </row>
    <row r="9" spans="1:13" ht="13.5" thickBot="1" x14ac:dyDescent="0.25">
      <c r="A9" s="417">
        <v>1</v>
      </c>
      <c r="B9" s="572">
        <v>2</v>
      </c>
      <c r="C9" s="573"/>
      <c r="D9" s="573"/>
      <c r="E9" s="573"/>
      <c r="F9" s="573"/>
      <c r="G9" s="418">
        <v>3</v>
      </c>
      <c r="H9" s="443">
        <v>4</v>
      </c>
      <c r="I9" s="418">
        <v>5</v>
      </c>
    </row>
    <row r="10" spans="1:13" ht="15" thickBot="1" x14ac:dyDescent="0.25">
      <c r="A10" s="419"/>
      <c r="B10" s="420" t="s">
        <v>38</v>
      </c>
      <c r="C10" s="421"/>
      <c r="D10" s="421"/>
      <c r="E10" s="421"/>
      <c r="F10" s="421"/>
      <c r="G10" s="438">
        <v>148032633.65000001</v>
      </c>
      <c r="H10" s="444">
        <f>H12</f>
        <v>170734722.59</v>
      </c>
      <c r="I10" s="438">
        <f>H10/G10*100</f>
        <v>115.3358677612097</v>
      </c>
      <c r="K10" s="265"/>
      <c r="M10" s="265"/>
    </row>
    <row r="11" spans="1:13" x14ac:dyDescent="0.2">
      <c r="A11" s="410"/>
      <c r="B11" s="413"/>
      <c r="C11" s="267"/>
      <c r="D11" s="267"/>
      <c r="E11" s="268"/>
      <c r="F11" s="267"/>
      <c r="G11" s="439"/>
      <c r="H11" s="445"/>
      <c r="I11" s="439"/>
      <c r="M11" s="265"/>
    </row>
    <row r="12" spans="1:13" x14ac:dyDescent="0.2">
      <c r="A12" s="411" t="s">
        <v>248</v>
      </c>
      <c r="B12" s="413" t="s">
        <v>249</v>
      </c>
      <c r="C12" s="267"/>
      <c r="D12" s="267"/>
      <c r="E12" s="267"/>
      <c r="F12" s="267"/>
      <c r="G12" s="439">
        <v>148032633.65000001</v>
      </c>
      <c r="H12" s="445">
        <f>H14+H21</f>
        <v>170734722.59</v>
      </c>
      <c r="I12" s="439">
        <f t="shared" ref="I12:I43" si="0">H12/G12*100</f>
        <v>115.3358677612097</v>
      </c>
      <c r="M12" s="265"/>
    </row>
    <row r="13" spans="1:13" x14ac:dyDescent="0.2">
      <c r="A13" s="411"/>
      <c r="B13" s="413"/>
      <c r="C13" s="268"/>
      <c r="D13" s="268"/>
      <c r="E13" s="268"/>
      <c r="F13" s="268"/>
      <c r="G13" s="440"/>
      <c r="H13" s="437"/>
      <c r="I13" s="440"/>
      <c r="M13" s="265"/>
    </row>
    <row r="14" spans="1:13" ht="13.5" x14ac:dyDescent="0.25">
      <c r="A14" s="411" t="s">
        <v>250</v>
      </c>
      <c r="B14" s="414" t="s">
        <v>251</v>
      </c>
      <c r="C14" s="277"/>
      <c r="D14" s="277"/>
      <c r="E14" s="277"/>
      <c r="F14" s="267"/>
      <c r="G14" s="439">
        <v>35392241.520000003</v>
      </c>
      <c r="H14" s="445">
        <f>H18</f>
        <v>40717487.759999998</v>
      </c>
      <c r="I14" s="439">
        <f t="shared" si="0"/>
        <v>115.04636612798519</v>
      </c>
      <c r="M14" s="265"/>
    </row>
    <row r="15" spans="1:13" x14ac:dyDescent="0.2">
      <c r="A15" s="410"/>
      <c r="B15" s="415"/>
      <c r="C15" s="268"/>
      <c r="D15" s="268"/>
      <c r="E15" s="268"/>
      <c r="F15" s="268"/>
      <c r="G15" s="440"/>
      <c r="H15" s="437"/>
      <c r="I15" s="440"/>
      <c r="M15" s="265"/>
    </row>
    <row r="16" spans="1:13" x14ac:dyDescent="0.2">
      <c r="A16" s="410"/>
      <c r="B16" s="415" t="s">
        <v>252</v>
      </c>
      <c r="C16" s="279"/>
      <c r="D16" s="268"/>
      <c r="E16" s="279"/>
      <c r="F16" s="268"/>
      <c r="G16" s="440">
        <v>2949353.459999999</v>
      </c>
      <c r="H16" s="437">
        <f>Оклады!K34</f>
        <v>3393123.98</v>
      </c>
      <c r="I16" s="440">
        <f t="shared" si="0"/>
        <v>115.04636612798524</v>
      </c>
      <c r="M16" s="265"/>
    </row>
    <row r="17" spans="1:13" x14ac:dyDescent="0.2">
      <c r="A17" s="410"/>
      <c r="B17" s="415"/>
      <c r="C17" s="279"/>
      <c r="D17" s="268"/>
      <c r="E17" s="279"/>
      <c r="F17" s="268"/>
      <c r="G17" s="440"/>
      <c r="H17" s="437"/>
      <c r="I17" s="440"/>
      <c r="M17" s="265"/>
    </row>
    <row r="18" spans="1:13" x14ac:dyDescent="0.2">
      <c r="A18" s="410"/>
      <c r="B18" s="415" t="s">
        <v>253</v>
      </c>
      <c r="C18" s="268"/>
      <c r="D18" s="268"/>
      <c r="E18" s="268"/>
      <c r="F18" s="268"/>
      <c r="G18" s="440">
        <v>35392241.520000003</v>
      </c>
      <c r="H18" s="437">
        <f>ROUND(H16*12,2)</f>
        <v>40717487.759999998</v>
      </c>
      <c r="I18" s="440">
        <f t="shared" si="0"/>
        <v>115.04636612798519</v>
      </c>
      <c r="M18" s="265"/>
    </row>
    <row r="19" spans="1:13" x14ac:dyDescent="0.2">
      <c r="A19" s="410"/>
      <c r="B19" s="415"/>
      <c r="C19" s="268"/>
      <c r="D19" s="268"/>
      <c r="E19" s="268"/>
      <c r="F19" s="268"/>
      <c r="G19" s="440"/>
      <c r="H19" s="437"/>
      <c r="I19" s="440"/>
      <c r="M19" s="265"/>
    </row>
    <row r="20" spans="1:13" x14ac:dyDescent="0.2">
      <c r="A20" s="411" t="s">
        <v>254</v>
      </c>
      <c r="B20" s="413" t="s">
        <v>255</v>
      </c>
      <c r="C20" s="268"/>
      <c r="D20" s="268"/>
      <c r="E20" s="268"/>
      <c r="F20" s="268"/>
      <c r="G20" s="440"/>
      <c r="H20" s="437"/>
      <c r="I20" s="440"/>
      <c r="M20" s="265"/>
    </row>
    <row r="21" spans="1:13" x14ac:dyDescent="0.2">
      <c r="A21" s="410"/>
      <c r="B21" s="413" t="s">
        <v>256</v>
      </c>
      <c r="C21" s="268"/>
      <c r="D21" s="268"/>
      <c r="E21" s="280"/>
      <c r="F21" s="280"/>
      <c r="G21" s="439">
        <v>112640392.13</v>
      </c>
      <c r="H21" s="445">
        <f>H23+H27+H31+H36+H40</f>
        <v>130017234.83</v>
      </c>
      <c r="I21" s="439">
        <f t="shared" si="0"/>
        <v>115.42683079436115</v>
      </c>
      <c r="M21" s="265"/>
    </row>
    <row r="22" spans="1:13" x14ac:dyDescent="0.2">
      <c r="A22" s="410"/>
      <c r="B22" s="413"/>
      <c r="C22" s="268"/>
      <c r="D22" s="268"/>
      <c r="E22" s="267"/>
      <c r="F22" s="268"/>
      <c r="G22" s="440"/>
      <c r="H22" s="437"/>
      <c r="I22" s="440"/>
      <c r="M22" s="265"/>
    </row>
    <row r="23" spans="1:13" ht="13.5" x14ac:dyDescent="0.25">
      <c r="A23" s="411"/>
      <c r="B23" s="414" t="s">
        <v>257</v>
      </c>
      <c r="C23" s="277"/>
      <c r="D23" s="277"/>
      <c r="E23" s="268"/>
      <c r="F23" s="268"/>
      <c r="G23" s="439">
        <v>41290948.439999998</v>
      </c>
      <c r="H23" s="445">
        <f>H25</f>
        <v>47503735.719999999</v>
      </c>
      <c r="I23" s="439">
        <f t="shared" si="0"/>
        <v>115.04636612798522</v>
      </c>
      <c r="M23" s="265"/>
    </row>
    <row r="24" spans="1:13" x14ac:dyDescent="0.2">
      <c r="A24" s="410"/>
      <c r="B24" s="415"/>
      <c r="C24" s="268"/>
      <c r="D24" s="268"/>
      <c r="E24" s="268"/>
      <c r="F24" s="268"/>
      <c r="G24" s="440"/>
      <c r="H24" s="437"/>
      <c r="I24" s="440"/>
      <c r="M24" s="265"/>
    </row>
    <row r="25" spans="1:13" x14ac:dyDescent="0.2">
      <c r="A25" s="410"/>
      <c r="B25" s="415" t="s">
        <v>258</v>
      </c>
      <c r="C25" s="268"/>
      <c r="D25" s="268"/>
      <c r="E25" s="268"/>
      <c r="F25" s="268"/>
      <c r="G25" s="440">
        <v>41290948.439999998</v>
      </c>
      <c r="H25" s="437">
        <f>ROUND(H16*14,2)</f>
        <v>47503735.719999999</v>
      </c>
      <c r="I25" s="440">
        <f t="shared" si="0"/>
        <v>115.04636612798522</v>
      </c>
      <c r="M25" s="265"/>
    </row>
    <row r="26" spans="1:13" x14ac:dyDescent="0.2">
      <c r="A26" s="410"/>
      <c r="B26" s="415"/>
      <c r="C26" s="268"/>
      <c r="D26" s="268"/>
      <c r="E26" s="268"/>
      <c r="F26" s="268"/>
      <c r="G26" s="440"/>
      <c r="H26" s="437"/>
      <c r="I26" s="440"/>
      <c r="M26" s="265"/>
    </row>
    <row r="27" spans="1:13" ht="13.5" x14ac:dyDescent="0.25">
      <c r="A27" s="410"/>
      <c r="B27" s="414" t="s">
        <v>259</v>
      </c>
      <c r="C27" s="277"/>
      <c r="D27" s="277"/>
      <c r="E27" s="277"/>
      <c r="F27" s="268"/>
      <c r="G27" s="439">
        <v>8506916.8499999996</v>
      </c>
      <c r="H27" s="445">
        <f>H29</f>
        <v>10179371.939999999</v>
      </c>
      <c r="I27" s="439">
        <f t="shared" si="0"/>
        <v>119.65994401367635</v>
      </c>
      <c r="M27" s="265"/>
    </row>
    <row r="28" spans="1:13" x14ac:dyDescent="0.2">
      <c r="A28" s="410"/>
      <c r="B28" s="415"/>
      <c r="C28" s="268"/>
      <c r="D28" s="268"/>
      <c r="E28" s="268"/>
      <c r="F28" s="268"/>
      <c r="G28" s="440"/>
      <c r="H28" s="437"/>
      <c r="I28" s="440"/>
      <c r="M28" s="265"/>
    </row>
    <row r="29" spans="1:13" x14ac:dyDescent="0.2">
      <c r="A29" s="410"/>
      <c r="B29" s="415" t="s">
        <v>260</v>
      </c>
      <c r="C29" s="268"/>
      <c r="D29" s="268"/>
      <c r="E29" s="268"/>
      <c r="F29" s="268"/>
      <c r="G29" s="440">
        <v>8506916.8499999996</v>
      </c>
      <c r="H29" s="437">
        <f>ROUND(Оклады!K34*3,2)</f>
        <v>10179371.939999999</v>
      </c>
      <c r="I29" s="440">
        <f t="shared" si="0"/>
        <v>119.65994401367635</v>
      </c>
      <c r="M29" s="265"/>
    </row>
    <row r="30" spans="1:13" x14ac:dyDescent="0.2">
      <c r="A30" s="410"/>
      <c r="B30" s="415"/>
      <c r="C30" s="268"/>
      <c r="D30" s="268"/>
      <c r="E30" s="268"/>
      <c r="F30" s="268"/>
      <c r="G30" s="440"/>
      <c r="H30" s="437"/>
      <c r="I30" s="440"/>
      <c r="M30" s="265"/>
    </row>
    <row r="31" spans="1:13" ht="13.5" x14ac:dyDescent="0.25">
      <c r="A31" s="410"/>
      <c r="B31" s="414" t="s">
        <v>261</v>
      </c>
      <c r="C31" s="268"/>
      <c r="D31" s="268"/>
      <c r="E31" s="268"/>
      <c r="F31" s="268"/>
      <c r="G31" s="439">
        <v>46621082.810000002</v>
      </c>
      <c r="H31" s="445">
        <f>H33+H34</f>
        <v>53671945.279999994</v>
      </c>
      <c r="I31" s="439">
        <f t="shared" si="0"/>
        <v>115.12376385322311</v>
      </c>
      <c r="M31" s="265"/>
    </row>
    <row r="32" spans="1:13" ht="13.5" x14ac:dyDescent="0.25">
      <c r="A32" s="410"/>
      <c r="B32" s="414"/>
      <c r="C32" s="268"/>
      <c r="D32" s="268"/>
      <c r="E32" s="268"/>
      <c r="F32" s="268"/>
      <c r="G32" s="439"/>
      <c r="H32" s="445"/>
      <c r="I32" s="439"/>
      <c r="M32" s="265"/>
    </row>
    <row r="33" spans="1:13" x14ac:dyDescent="0.2">
      <c r="A33" s="410"/>
      <c r="B33" s="415" t="s">
        <v>262</v>
      </c>
      <c r="C33" s="268"/>
      <c r="D33" s="268"/>
      <c r="E33" s="268"/>
      <c r="F33" s="268"/>
      <c r="G33" s="440">
        <v>45370223.200000003</v>
      </c>
      <c r="H33" s="437">
        <f>ROUND(Оклады!K36*16,2)</f>
        <v>52312260.799999997</v>
      </c>
      <c r="I33" s="440">
        <f t="shared" si="0"/>
        <v>115.30086719961297</v>
      </c>
      <c r="M33" s="265"/>
    </row>
    <row r="34" spans="1:13" x14ac:dyDescent="0.2">
      <c r="A34" s="410"/>
      <c r="B34" s="415" t="s">
        <v>263</v>
      </c>
      <c r="C34" s="268"/>
      <c r="D34" s="268"/>
      <c r="E34" s="268"/>
      <c r="F34" s="268"/>
      <c r="G34" s="440">
        <v>1250859.6100000001</v>
      </c>
      <c r="H34" s="437">
        <f>ROUND(Оклады!K35*11,2)</f>
        <v>1359684.48</v>
      </c>
      <c r="I34" s="440">
        <f t="shared" si="0"/>
        <v>108.70000670978574</v>
      </c>
      <c r="M34" s="265"/>
    </row>
    <row r="35" spans="1:13" ht="13.5" x14ac:dyDescent="0.25">
      <c r="A35" s="410"/>
      <c r="B35" s="414"/>
      <c r="C35" s="268"/>
      <c r="D35" s="268"/>
      <c r="E35" s="268"/>
      <c r="F35" s="268"/>
      <c r="G35" s="440"/>
      <c r="H35" s="437"/>
      <c r="I35" s="440"/>
      <c r="M35" s="265"/>
    </row>
    <row r="36" spans="1:13" ht="13.5" x14ac:dyDescent="0.25">
      <c r="A36" s="410"/>
      <c r="B36" s="414" t="s">
        <v>264</v>
      </c>
      <c r="C36" s="268"/>
      <c r="D36" s="268"/>
      <c r="E36" s="268"/>
      <c r="F36" s="268"/>
      <c r="G36" s="439">
        <v>7373383.6500000004</v>
      </c>
      <c r="H36" s="445">
        <f>H38</f>
        <v>8482809.9499999993</v>
      </c>
      <c r="I36" s="439">
        <f t="shared" si="0"/>
        <v>115.04636612798519</v>
      </c>
      <c r="M36" s="265"/>
    </row>
    <row r="37" spans="1:13" x14ac:dyDescent="0.2">
      <c r="A37" s="410"/>
      <c r="B37" s="415"/>
      <c r="C37" s="268"/>
      <c r="D37" s="268"/>
      <c r="E37" s="268"/>
      <c r="F37" s="268"/>
      <c r="G37" s="440"/>
      <c r="H37" s="437"/>
      <c r="I37" s="440"/>
      <c r="M37" s="265"/>
    </row>
    <row r="38" spans="1:13" ht="24" customHeight="1" x14ac:dyDescent="0.2">
      <c r="A38" s="410"/>
      <c r="B38" s="581" t="s">
        <v>350</v>
      </c>
      <c r="C38" s="582"/>
      <c r="D38" s="582"/>
      <c r="E38" s="582"/>
      <c r="F38" s="583"/>
      <c r="G38" s="440">
        <v>7373383.6500000004</v>
      </c>
      <c r="H38" s="437">
        <f>ROUND(H16*2.5,2)</f>
        <v>8482809.9499999993</v>
      </c>
      <c r="I38" s="440">
        <f t="shared" si="0"/>
        <v>115.04636612798519</v>
      </c>
      <c r="M38" s="265"/>
    </row>
    <row r="39" spans="1:13" x14ac:dyDescent="0.2">
      <c r="A39" s="410"/>
      <c r="B39" s="415"/>
      <c r="C39" s="268"/>
      <c r="D39" s="268"/>
      <c r="E39" s="268"/>
      <c r="F39" s="268"/>
      <c r="G39" s="440"/>
      <c r="H39" s="437"/>
      <c r="I39" s="440"/>
      <c r="M39" s="265"/>
    </row>
    <row r="40" spans="1:13" ht="13.5" x14ac:dyDescent="0.25">
      <c r="A40" s="410"/>
      <c r="B40" s="414" t="s">
        <v>266</v>
      </c>
      <c r="C40" s="268"/>
      <c r="D40" s="268"/>
      <c r="E40" s="268"/>
      <c r="F40" s="268"/>
      <c r="G40" s="439">
        <v>8848060.3800000008</v>
      </c>
      <c r="H40" s="445">
        <f>H43</f>
        <v>10179371.939999999</v>
      </c>
      <c r="I40" s="439">
        <f t="shared" si="0"/>
        <v>115.04636612798519</v>
      </c>
      <c r="M40" s="265"/>
    </row>
    <row r="41" spans="1:13" ht="13.5" x14ac:dyDescent="0.25">
      <c r="A41" s="410"/>
      <c r="B41" s="414" t="s">
        <v>267</v>
      </c>
      <c r="C41" s="268"/>
      <c r="D41" s="268"/>
      <c r="E41" s="268"/>
      <c r="F41" s="268"/>
      <c r="G41" s="440"/>
      <c r="H41" s="437"/>
      <c r="I41" s="440"/>
      <c r="M41" s="265"/>
    </row>
    <row r="42" spans="1:13" x14ac:dyDescent="0.2">
      <c r="A42" s="410"/>
      <c r="B42" s="415"/>
      <c r="C42" s="268"/>
      <c r="D42" s="268"/>
      <c r="E42" s="268"/>
      <c r="F42" s="268"/>
      <c r="G42" s="440"/>
      <c r="H42" s="437"/>
      <c r="I42" s="440"/>
      <c r="M42" s="265"/>
    </row>
    <row r="43" spans="1:13" x14ac:dyDescent="0.2">
      <c r="A43" s="410"/>
      <c r="B43" s="415" t="s">
        <v>260</v>
      </c>
      <c r="C43" s="268"/>
      <c r="D43" s="268"/>
      <c r="E43" s="268"/>
      <c r="F43" s="268"/>
      <c r="G43" s="440">
        <v>8848060.3800000008</v>
      </c>
      <c r="H43" s="437">
        <f>ROUND(H16*3,2)</f>
        <v>10179371.939999999</v>
      </c>
      <c r="I43" s="440">
        <f t="shared" si="0"/>
        <v>115.04636612798519</v>
      </c>
      <c r="M43" s="265"/>
    </row>
    <row r="44" spans="1:13" ht="13.5" thickBot="1" x14ac:dyDescent="0.25">
      <c r="A44" s="412"/>
      <c r="B44" s="416"/>
      <c r="C44" s="355"/>
      <c r="D44" s="355"/>
      <c r="E44" s="355"/>
      <c r="F44" s="355"/>
      <c r="G44" s="440"/>
      <c r="H44" s="437"/>
      <c r="I44" s="440"/>
      <c r="M44" s="265"/>
    </row>
    <row r="45" spans="1:13" ht="14.25" x14ac:dyDescent="0.2">
      <c r="A45" s="281" t="s">
        <v>268</v>
      </c>
      <c r="B45" s="564" t="s">
        <v>269</v>
      </c>
      <c r="C45" s="564"/>
      <c r="D45" s="564"/>
      <c r="E45" s="564"/>
      <c r="F45" s="565"/>
      <c r="G45" s="441">
        <f>ROUND(G10*30.2/100,2)</f>
        <v>44705855.359999999</v>
      </c>
      <c r="H45" s="446">
        <f>H10*30.2%</f>
        <v>51561886.222180001</v>
      </c>
      <c r="I45" s="441">
        <f>H45/G45*100</f>
        <v>115.33586776714341</v>
      </c>
      <c r="M45" s="265"/>
    </row>
    <row r="46" spans="1:13" ht="30" customHeight="1" thickBot="1" x14ac:dyDescent="0.25">
      <c r="A46" s="285" t="s">
        <v>270</v>
      </c>
      <c r="B46" s="566" t="s">
        <v>271</v>
      </c>
      <c r="C46" s="566"/>
      <c r="D46" s="566"/>
      <c r="E46" s="566"/>
      <c r="F46" s="567"/>
      <c r="G46" s="442">
        <f>G45+G10</f>
        <v>192738489.00999999</v>
      </c>
      <c r="H46" s="447">
        <f>H10+H45</f>
        <v>222296608.81218001</v>
      </c>
      <c r="I46" s="448">
        <f>H46/G46*100</f>
        <v>115.33586776258605</v>
      </c>
    </row>
    <row r="47" spans="1:13" x14ac:dyDescent="0.2">
      <c r="G47" s="265"/>
    </row>
    <row r="48" spans="1:13" x14ac:dyDescent="0.2">
      <c r="G48" s="265"/>
    </row>
  </sheetData>
  <mergeCells count="10">
    <mergeCell ref="A3:I3"/>
    <mergeCell ref="B45:F45"/>
    <mergeCell ref="B46:F46"/>
    <mergeCell ref="I6:I8"/>
    <mergeCell ref="A6:A8"/>
    <mergeCell ref="B9:F9"/>
    <mergeCell ref="B6:F8"/>
    <mergeCell ref="G6:G8"/>
    <mergeCell ref="H6:H8"/>
    <mergeCell ref="B38:F38"/>
  </mergeCells>
  <pageMargins left="0.39370078740157483" right="0.39370078740157483" top="0.74803149606299213" bottom="0.55118110236220474" header="0.31496062992125984" footer="0.31496062992125984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topLeftCell="A19" workbookViewId="0">
      <selection activeCell="A44" sqref="A44"/>
    </sheetView>
  </sheetViews>
  <sheetFormatPr defaultRowHeight="12.75" x14ac:dyDescent="0.2"/>
  <cols>
    <col min="1" max="1" width="57.5703125" customWidth="1"/>
    <col min="2" max="3" width="11.7109375" hidden="1" customWidth="1"/>
    <col min="4" max="4" width="12.140625" customWidth="1"/>
    <col min="5" max="5" width="14.42578125" customWidth="1"/>
    <col min="6" max="6" width="7.140625" bestFit="1" customWidth="1"/>
    <col min="7" max="7" width="11.28515625" bestFit="1" customWidth="1"/>
    <col min="8" max="8" width="17.28515625" customWidth="1"/>
    <col min="9" max="9" width="7.140625" bestFit="1" customWidth="1"/>
    <col min="10" max="10" width="11.28515625" bestFit="1" customWidth="1"/>
    <col min="11" max="11" width="17.140625" customWidth="1"/>
    <col min="13" max="13" width="13.42578125" customWidth="1"/>
    <col min="14" max="14" width="18.28515625" customWidth="1"/>
    <col min="15" max="15" width="11.85546875" bestFit="1" customWidth="1"/>
  </cols>
  <sheetData>
    <row r="1" spans="1:19" x14ac:dyDescent="0.2">
      <c r="N1" s="460" t="s">
        <v>371</v>
      </c>
    </row>
    <row r="2" spans="1:19" ht="15.75" customHeight="1" x14ac:dyDescent="0.25">
      <c r="A2" s="516" t="s">
        <v>366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</row>
    <row r="3" spans="1:19" ht="15.75" thickBot="1" x14ac:dyDescent="0.3">
      <c r="A3" s="359"/>
      <c r="B3" s="359"/>
      <c r="C3" s="359"/>
      <c r="D3" s="359"/>
      <c r="E3" s="359"/>
      <c r="F3" s="359"/>
      <c r="G3" s="359"/>
      <c r="H3" s="359"/>
    </row>
    <row r="4" spans="1:19" ht="15.75" customHeight="1" thickBot="1" x14ac:dyDescent="0.25">
      <c r="A4" s="517" t="s">
        <v>282</v>
      </c>
      <c r="B4" s="585" t="s">
        <v>358</v>
      </c>
      <c r="C4" s="586"/>
      <c r="D4" s="586"/>
      <c r="E4" s="587"/>
      <c r="F4" s="584" t="s">
        <v>356</v>
      </c>
      <c r="G4" s="584"/>
      <c r="H4" s="584"/>
      <c r="I4" s="589" t="s">
        <v>357</v>
      </c>
      <c r="J4" s="590"/>
      <c r="K4" s="590"/>
      <c r="L4" s="590"/>
      <c r="M4" s="590"/>
      <c r="N4" s="591"/>
    </row>
    <row r="5" spans="1:19" ht="34.5" customHeight="1" thickBot="1" x14ac:dyDescent="0.25">
      <c r="A5" s="518"/>
      <c r="B5" s="514" t="s">
        <v>359</v>
      </c>
      <c r="C5" s="515" t="s">
        <v>360</v>
      </c>
      <c r="D5" s="515" t="s">
        <v>361</v>
      </c>
      <c r="E5" s="588" t="s">
        <v>362</v>
      </c>
      <c r="F5" s="601" t="s">
        <v>367</v>
      </c>
      <c r="G5" s="584"/>
      <c r="H5" s="602"/>
      <c r="I5" s="589" t="s">
        <v>373</v>
      </c>
      <c r="J5" s="590"/>
      <c r="K5" s="591"/>
      <c r="L5" s="589" t="s">
        <v>368</v>
      </c>
      <c r="M5" s="590"/>
      <c r="N5" s="591"/>
    </row>
    <row r="6" spans="1:19" ht="12.75" customHeight="1" x14ac:dyDescent="0.2">
      <c r="A6" s="518"/>
      <c r="B6" s="514"/>
      <c r="C6" s="515"/>
      <c r="D6" s="515"/>
      <c r="E6" s="588"/>
      <c r="F6" s="603" t="s">
        <v>331</v>
      </c>
      <c r="G6" s="605" t="s">
        <v>335</v>
      </c>
      <c r="H6" s="607" t="s">
        <v>333</v>
      </c>
      <c r="I6" s="592" t="s">
        <v>331</v>
      </c>
      <c r="J6" s="594" t="s">
        <v>335</v>
      </c>
      <c r="K6" s="596" t="s">
        <v>333</v>
      </c>
      <c r="L6" s="592" t="s">
        <v>331</v>
      </c>
      <c r="M6" s="594" t="s">
        <v>335</v>
      </c>
      <c r="N6" s="599" t="s">
        <v>333</v>
      </c>
    </row>
    <row r="7" spans="1:19" ht="32.25" customHeight="1" thickBot="1" x14ac:dyDescent="0.25">
      <c r="A7" s="519"/>
      <c r="B7" s="506"/>
      <c r="C7" s="512"/>
      <c r="D7" s="512"/>
      <c r="E7" s="508"/>
      <c r="F7" s="604"/>
      <c r="G7" s="606"/>
      <c r="H7" s="608"/>
      <c r="I7" s="593"/>
      <c r="J7" s="595"/>
      <c r="K7" s="597"/>
      <c r="L7" s="593"/>
      <c r="M7" s="595"/>
      <c r="N7" s="600"/>
    </row>
    <row r="8" spans="1:19" ht="15" x14ac:dyDescent="0.25">
      <c r="A8" s="422" t="s">
        <v>34</v>
      </c>
      <c r="B8" s="425">
        <v>39800</v>
      </c>
      <c r="C8" s="425">
        <f xml:space="preserve"> ROUND(B8*1.09,2)</f>
        <v>43382</v>
      </c>
      <c r="D8" s="425">
        <f>ROUND(C8*1.046,2)</f>
        <v>45377.57</v>
      </c>
      <c r="E8" s="425">
        <f>ROUND(D8*1.087,2)</f>
        <v>49325.42</v>
      </c>
      <c r="F8" s="423">
        <v>1</v>
      </c>
      <c r="G8" s="394">
        <v>43319.73</v>
      </c>
      <c r="H8" s="424">
        <f>ROUND(F8*G8,2)</f>
        <v>43319.73</v>
      </c>
      <c r="I8" s="449">
        <v>1</v>
      </c>
      <c r="J8" s="450">
        <f>ROUND(G8*1.087,2)</f>
        <v>47088.55</v>
      </c>
      <c r="K8" s="451">
        <f>ROUND(I8*J8,2)</f>
        <v>47088.55</v>
      </c>
      <c r="L8" s="449">
        <f t="shared" ref="L8:L33" si="0">I8-F8</f>
        <v>0</v>
      </c>
      <c r="M8" s="450">
        <f t="shared" ref="M8:M33" si="1">J8-G8</f>
        <v>3768.8199999999997</v>
      </c>
      <c r="N8" s="451">
        <f t="shared" ref="N8:N33" si="2">K8-H8</f>
        <v>3768.8199999999997</v>
      </c>
      <c r="O8" s="209"/>
      <c r="S8" s="209"/>
    </row>
    <row r="9" spans="1:19" ht="15.75" customHeight="1" x14ac:dyDescent="0.25">
      <c r="A9" s="422" t="s">
        <v>351</v>
      </c>
      <c r="B9" s="425">
        <v>38100</v>
      </c>
      <c r="C9" s="425">
        <f t="shared" ref="C9:C33" si="3" xml:space="preserve"> ROUND(B9*1.09,2)</f>
        <v>41529</v>
      </c>
      <c r="D9" s="425">
        <f t="shared" ref="D9:D33" si="4">ROUND(C9*1.046,2)</f>
        <v>43439.33</v>
      </c>
      <c r="E9" s="425">
        <f t="shared" ref="E9:E33" si="5">ROUND(D9*1.087,2)</f>
        <v>47218.55</v>
      </c>
      <c r="F9" s="388">
        <v>0</v>
      </c>
      <c r="G9" s="402">
        <v>41514.76</v>
      </c>
      <c r="H9" s="435">
        <f t="shared" ref="H9:H33" si="6">ROUND(F9*G9,2)</f>
        <v>0</v>
      </c>
      <c r="I9" s="452">
        <v>1</v>
      </c>
      <c r="J9" s="453">
        <f t="shared" ref="J9:J33" si="7">ROUND(G9*1.087,2)</f>
        <v>45126.54</v>
      </c>
      <c r="K9" s="454">
        <f t="shared" ref="K9:K33" si="8">ROUND(I9*J9,2)</f>
        <v>45126.54</v>
      </c>
      <c r="L9" s="452">
        <f t="shared" si="0"/>
        <v>1</v>
      </c>
      <c r="M9" s="453">
        <f t="shared" si="1"/>
        <v>3611.7799999999988</v>
      </c>
      <c r="N9" s="454">
        <f t="shared" si="2"/>
        <v>45126.54</v>
      </c>
      <c r="O9" s="209"/>
      <c r="S9" s="209"/>
    </row>
    <row r="10" spans="1:19" ht="15.75" customHeight="1" x14ac:dyDescent="0.25">
      <c r="A10" s="422" t="s">
        <v>352</v>
      </c>
      <c r="B10" s="427">
        <v>36500</v>
      </c>
      <c r="C10" s="425">
        <f t="shared" si="3"/>
        <v>39785</v>
      </c>
      <c r="D10" s="425">
        <f t="shared" si="4"/>
        <v>41615.11</v>
      </c>
      <c r="E10" s="425">
        <f t="shared" si="5"/>
        <v>45235.62</v>
      </c>
      <c r="F10" s="388">
        <v>0</v>
      </c>
      <c r="G10" s="402">
        <v>39709.25</v>
      </c>
      <c r="H10" s="435">
        <f t="shared" si="6"/>
        <v>0</v>
      </c>
      <c r="I10" s="452">
        <v>2</v>
      </c>
      <c r="J10" s="453">
        <f t="shared" si="7"/>
        <v>43163.95</v>
      </c>
      <c r="K10" s="454">
        <f t="shared" si="8"/>
        <v>86327.9</v>
      </c>
      <c r="L10" s="452">
        <f t="shared" si="0"/>
        <v>2</v>
      </c>
      <c r="M10" s="453">
        <f t="shared" si="1"/>
        <v>3454.6999999999971</v>
      </c>
      <c r="N10" s="454">
        <f t="shared" si="2"/>
        <v>86327.9</v>
      </c>
      <c r="O10" s="209"/>
      <c r="S10" s="209"/>
    </row>
    <row r="11" spans="1:19" ht="15" x14ac:dyDescent="0.25">
      <c r="A11" s="428" t="s">
        <v>296</v>
      </c>
      <c r="B11" s="427">
        <v>36500</v>
      </c>
      <c r="C11" s="425">
        <f t="shared" si="3"/>
        <v>39785</v>
      </c>
      <c r="D11" s="425">
        <f t="shared" si="4"/>
        <v>41615.11</v>
      </c>
      <c r="E11" s="425">
        <f t="shared" si="5"/>
        <v>45235.62</v>
      </c>
      <c r="F11" s="388">
        <v>2</v>
      </c>
      <c r="G11" s="395">
        <v>39709.25</v>
      </c>
      <c r="H11" s="426">
        <f t="shared" si="6"/>
        <v>79418.5</v>
      </c>
      <c r="I11" s="452">
        <v>0</v>
      </c>
      <c r="J11" s="455">
        <f t="shared" si="7"/>
        <v>43163.95</v>
      </c>
      <c r="K11" s="456">
        <f t="shared" si="8"/>
        <v>0</v>
      </c>
      <c r="L11" s="452">
        <f t="shared" si="0"/>
        <v>-2</v>
      </c>
      <c r="M11" s="455">
        <f t="shared" si="1"/>
        <v>3454.6999999999971</v>
      </c>
      <c r="N11" s="456">
        <f t="shared" si="2"/>
        <v>-79418.5</v>
      </c>
      <c r="O11" s="209"/>
      <c r="S11" s="209"/>
    </row>
    <row r="12" spans="1:19" ht="15.75" customHeight="1" x14ac:dyDescent="0.25">
      <c r="A12" s="422" t="s">
        <v>353</v>
      </c>
      <c r="B12" s="427">
        <v>31800</v>
      </c>
      <c r="C12" s="425">
        <f t="shared" si="3"/>
        <v>34662</v>
      </c>
      <c r="D12" s="425">
        <f t="shared" si="4"/>
        <v>36256.449999999997</v>
      </c>
      <c r="E12" s="425">
        <f t="shared" si="5"/>
        <v>39410.76</v>
      </c>
      <c r="F12" s="388">
        <v>0</v>
      </c>
      <c r="G12" s="402">
        <v>34655.81</v>
      </c>
      <c r="H12" s="426">
        <f t="shared" si="6"/>
        <v>0</v>
      </c>
      <c r="I12" s="452">
        <v>2</v>
      </c>
      <c r="J12" s="453">
        <f t="shared" si="7"/>
        <v>37670.870000000003</v>
      </c>
      <c r="K12" s="456">
        <f t="shared" si="8"/>
        <v>75341.740000000005</v>
      </c>
      <c r="L12" s="452">
        <f t="shared" si="0"/>
        <v>2</v>
      </c>
      <c r="M12" s="453">
        <f t="shared" si="1"/>
        <v>3015.0600000000049</v>
      </c>
      <c r="N12" s="456">
        <f t="shared" si="2"/>
        <v>75341.740000000005</v>
      </c>
      <c r="O12" s="209"/>
      <c r="S12" s="209"/>
    </row>
    <row r="13" spans="1:19" ht="15" x14ac:dyDescent="0.25">
      <c r="A13" s="428" t="s">
        <v>291</v>
      </c>
      <c r="B13" s="427">
        <v>21600</v>
      </c>
      <c r="C13" s="425">
        <f t="shared" si="3"/>
        <v>23544</v>
      </c>
      <c r="D13" s="425">
        <f t="shared" si="4"/>
        <v>24627.02</v>
      </c>
      <c r="E13" s="425">
        <f t="shared" si="5"/>
        <v>26769.57</v>
      </c>
      <c r="F13" s="388">
        <v>1</v>
      </c>
      <c r="G13" s="395">
        <v>23464.880000000001</v>
      </c>
      <c r="H13" s="426">
        <f t="shared" si="6"/>
        <v>23464.880000000001</v>
      </c>
      <c r="I13" s="452">
        <v>0</v>
      </c>
      <c r="J13" s="455">
        <f t="shared" si="7"/>
        <v>25506.32</v>
      </c>
      <c r="K13" s="456">
        <f t="shared" si="8"/>
        <v>0</v>
      </c>
      <c r="L13" s="452">
        <f t="shared" si="0"/>
        <v>-1</v>
      </c>
      <c r="M13" s="455">
        <f t="shared" si="1"/>
        <v>2041.4399999999987</v>
      </c>
      <c r="N13" s="456">
        <f t="shared" si="2"/>
        <v>-23464.880000000001</v>
      </c>
      <c r="O13" s="209"/>
      <c r="S13" s="209"/>
    </row>
    <row r="14" spans="1:19" ht="15" x14ac:dyDescent="0.25">
      <c r="A14" s="428" t="s">
        <v>336</v>
      </c>
      <c r="B14" s="427">
        <v>28200</v>
      </c>
      <c r="C14" s="425">
        <f t="shared" si="3"/>
        <v>30738</v>
      </c>
      <c r="D14" s="425">
        <f t="shared" si="4"/>
        <v>32151.95</v>
      </c>
      <c r="E14" s="425">
        <f t="shared" si="5"/>
        <v>34949.17</v>
      </c>
      <c r="F14" s="388">
        <v>1</v>
      </c>
      <c r="G14" s="395">
        <v>30684.81</v>
      </c>
      <c r="H14" s="426">
        <f t="shared" si="6"/>
        <v>30684.81</v>
      </c>
      <c r="I14" s="452">
        <v>1</v>
      </c>
      <c r="J14" s="455">
        <f t="shared" si="7"/>
        <v>33354.39</v>
      </c>
      <c r="K14" s="456">
        <f t="shared" si="8"/>
        <v>33354.39</v>
      </c>
      <c r="L14" s="452">
        <f t="shared" si="0"/>
        <v>0</v>
      </c>
      <c r="M14" s="455">
        <f t="shared" si="1"/>
        <v>2669.5799999999981</v>
      </c>
      <c r="N14" s="456">
        <f t="shared" si="2"/>
        <v>2669.5799999999981</v>
      </c>
      <c r="O14" s="209"/>
      <c r="S14" s="209"/>
    </row>
    <row r="15" spans="1:19" ht="15" x14ac:dyDescent="0.25">
      <c r="A15" s="428" t="s">
        <v>58</v>
      </c>
      <c r="B15" s="427">
        <v>28200</v>
      </c>
      <c r="C15" s="425">
        <f t="shared" si="3"/>
        <v>30738</v>
      </c>
      <c r="D15" s="425">
        <f t="shared" si="4"/>
        <v>32151.95</v>
      </c>
      <c r="E15" s="425">
        <f t="shared" si="5"/>
        <v>34949.17</v>
      </c>
      <c r="F15" s="388">
        <v>9</v>
      </c>
      <c r="G15" s="395">
        <v>30684.81</v>
      </c>
      <c r="H15" s="426">
        <f t="shared" si="6"/>
        <v>276163.28999999998</v>
      </c>
      <c r="I15" s="452">
        <v>10</v>
      </c>
      <c r="J15" s="455">
        <f t="shared" si="7"/>
        <v>33354.39</v>
      </c>
      <c r="K15" s="456">
        <f t="shared" si="8"/>
        <v>333543.90000000002</v>
      </c>
      <c r="L15" s="452">
        <f t="shared" si="0"/>
        <v>1</v>
      </c>
      <c r="M15" s="455">
        <f t="shared" si="1"/>
        <v>2669.5799999999981</v>
      </c>
      <c r="N15" s="456">
        <f t="shared" si="2"/>
        <v>57380.610000000044</v>
      </c>
      <c r="O15" s="209"/>
      <c r="S15" s="209"/>
    </row>
    <row r="16" spans="1:19" ht="15" x14ac:dyDescent="0.25">
      <c r="A16" s="428" t="s">
        <v>294</v>
      </c>
      <c r="B16" s="427">
        <v>25500</v>
      </c>
      <c r="C16" s="425">
        <f t="shared" si="3"/>
        <v>27795</v>
      </c>
      <c r="D16" s="425">
        <f t="shared" si="4"/>
        <v>29073.57</v>
      </c>
      <c r="E16" s="425">
        <f t="shared" si="5"/>
        <v>31602.97</v>
      </c>
      <c r="F16" s="388">
        <v>1</v>
      </c>
      <c r="G16" s="395">
        <v>27796.82</v>
      </c>
      <c r="H16" s="426">
        <f t="shared" si="6"/>
        <v>27796.82</v>
      </c>
      <c r="I16" s="452">
        <v>1</v>
      </c>
      <c r="J16" s="455">
        <f t="shared" si="7"/>
        <v>30215.14</v>
      </c>
      <c r="K16" s="456">
        <f t="shared" si="8"/>
        <v>30215.14</v>
      </c>
      <c r="L16" s="452">
        <f t="shared" si="0"/>
        <v>0</v>
      </c>
      <c r="M16" s="455">
        <f t="shared" si="1"/>
        <v>2418.3199999999997</v>
      </c>
      <c r="N16" s="456">
        <f t="shared" si="2"/>
        <v>2418.3199999999997</v>
      </c>
      <c r="O16" s="209"/>
      <c r="S16" s="209"/>
    </row>
    <row r="17" spans="1:19" ht="15" x14ac:dyDescent="0.25">
      <c r="A17" s="428" t="s">
        <v>297</v>
      </c>
      <c r="B17" s="427">
        <v>28900</v>
      </c>
      <c r="C17" s="425">
        <f t="shared" si="3"/>
        <v>31501</v>
      </c>
      <c r="D17" s="425">
        <f t="shared" si="4"/>
        <v>32950.050000000003</v>
      </c>
      <c r="E17" s="425">
        <f t="shared" si="5"/>
        <v>35816.699999999997</v>
      </c>
      <c r="F17" s="388">
        <v>2</v>
      </c>
      <c r="G17" s="395">
        <v>31406.85</v>
      </c>
      <c r="H17" s="426">
        <f t="shared" si="6"/>
        <v>62813.7</v>
      </c>
      <c r="I17" s="452">
        <v>0</v>
      </c>
      <c r="J17" s="455">
        <f t="shared" si="7"/>
        <v>34139.25</v>
      </c>
      <c r="K17" s="456">
        <f t="shared" si="8"/>
        <v>0</v>
      </c>
      <c r="L17" s="452">
        <f t="shared" si="0"/>
        <v>-2</v>
      </c>
      <c r="M17" s="455">
        <f t="shared" si="1"/>
        <v>2732.4000000000015</v>
      </c>
      <c r="N17" s="456">
        <f t="shared" si="2"/>
        <v>-62813.7</v>
      </c>
      <c r="O17" s="209"/>
      <c r="S17" s="209"/>
    </row>
    <row r="18" spans="1:19" ht="15" x14ac:dyDescent="0.25">
      <c r="A18" s="428" t="s">
        <v>372</v>
      </c>
      <c r="B18" s="427"/>
      <c r="C18" s="425"/>
      <c r="D18" s="425">
        <f t="shared" ref="D18" si="9">ROUND(C18*1.046,2)</f>
        <v>0</v>
      </c>
      <c r="E18" s="425">
        <f t="shared" ref="E18" si="10">ROUND(D18*1.087,2)</f>
        <v>0</v>
      </c>
      <c r="F18" s="388">
        <v>0</v>
      </c>
      <c r="G18" s="395">
        <v>0</v>
      </c>
      <c r="H18" s="426">
        <f t="shared" si="6"/>
        <v>0</v>
      </c>
      <c r="I18" s="452">
        <v>2</v>
      </c>
      <c r="J18" s="455">
        <v>34139.25</v>
      </c>
      <c r="K18" s="456">
        <f t="shared" si="8"/>
        <v>68278.5</v>
      </c>
      <c r="L18" s="452">
        <f t="shared" si="0"/>
        <v>2</v>
      </c>
      <c r="M18" s="455">
        <f t="shared" si="1"/>
        <v>34139.25</v>
      </c>
      <c r="N18" s="456">
        <f t="shared" si="2"/>
        <v>68278.5</v>
      </c>
      <c r="O18" s="209"/>
      <c r="S18" s="209"/>
    </row>
    <row r="19" spans="1:19" ht="15" x14ac:dyDescent="0.25">
      <c r="A19" s="428" t="s">
        <v>298</v>
      </c>
      <c r="B19" s="427">
        <v>25500</v>
      </c>
      <c r="C19" s="425">
        <f t="shared" si="3"/>
        <v>27795</v>
      </c>
      <c r="D19" s="425">
        <f t="shared" si="4"/>
        <v>29073.57</v>
      </c>
      <c r="E19" s="425">
        <f t="shared" si="5"/>
        <v>31602.97</v>
      </c>
      <c r="F19" s="388">
        <v>7</v>
      </c>
      <c r="G19" s="395">
        <v>27796.82</v>
      </c>
      <c r="H19" s="426">
        <f t="shared" si="6"/>
        <v>194577.74</v>
      </c>
      <c r="I19" s="452">
        <v>6</v>
      </c>
      <c r="J19" s="455">
        <f t="shared" si="7"/>
        <v>30215.14</v>
      </c>
      <c r="K19" s="456">
        <f t="shared" si="8"/>
        <v>181290.84</v>
      </c>
      <c r="L19" s="452">
        <f t="shared" si="0"/>
        <v>-1</v>
      </c>
      <c r="M19" s="455">
        <f t="shared" si="1"/>
        <v>2418.3199999999997</v>
      </c>
      <c r="N19" s="456">
        <f t="shared" si="2"/>
        <v>-13286.899999999994</v>
      </c>
      <c r="O19" s="209"/>
      <c r="S19" s="209"/>
    </row>
    <row r="20" spans="1:19" ht="15" x14ac:dyDescent="0.25">
      <c r="A20" s="428" t="s">
        <v>120</v>
      </c>
      <c r="B20" s="427">
        <v>24900</v>
      </c>
      <c r="C20" s="425">
        <f t="shared" si="3"/>
        <v>27141</v>
      </c>
      <c r="D20" s="425">
        <f t="shared" si="4"/>
        <v>28389.49</v>
      </c>
      <c r="E20" s="425">
        <f t="shared" si="5"/>
        <v>30859.38</v>
      </c>
      <c r="F20" s="388">
        <v>2</v>
      </c>
      <c r="G20" s="395">
        <v>27074.87</v>
      </c>
      <c r="H20" s="426">
        <f t="shared" si="6"/>
        <v>54149.74</v>
      </c>
      <c r="I20" s="452">
        <v>2</v>
      </c>
      <c r="J20" s="455">
        <f t="shared" si="7"/>
        <v>29430.38</v>
      </c>
      <c r="K20" s="456">
        <f t="shared" si="8"/>
        <v>58860.76</v>
      </c>
      <c r="L20" s="452">
        <f t="shared" si="0"/>
        <v>0</v>
      </c>
      <c r="M20" s="455">
        <f t="shared" si="1"/>
        <v>2355.510000000002</v>
      </c>
      <c r="N20" s="456">
        <f t="shared" si="2"/>
        <v>4711.0200000000041</v>
      </c>
      <c r="O20" s="209"/>
      <c r="S20" s="209"/>
    </row>
    <row r="21" spans="1:19" ht="15" x14ac:dyDescent="0.25">
      <c r="A21" s="428" t="s">
        <v>90</v>
      </c>
      <c r="B21" s="427">
        <v>21600</v>
      </c>
      <c r="C21" s="425">
        <f t="shared" si="3"/>
        <v>23544</v>
      </c>
      <c r="D21" s="425">
        <f t="shared" si="4"/>
        <v>24627.02</v>
      </c>
      <c r="E21" s="425">
        <f t="shared" si="5"/>
        <v>26769.57</v>
      </c>
      <c r="F21" s="388">
        <v>45</v>
      </c>
      <c r="G21" s="395">
        <v>23464.880000000001</v>
      </c>
      <c r="H21" s="426">
        <f t="shared" si="6"/>
        <v>1055919.6000000001</v>
      </c>
      <c r="I21" s="452">
        <v>49</v>
      </c>
      <c r="J21" s="455">
        <f t="shared" si="7"/>
        <v>25506.32</v>
      </c>
      <c r="K21" s="456">
        <f t="shared" si="8"/>
        <v>1249809.68</v>
      </c>
      <c r="L21" s="452">
        <f t="shared" si="0"/>
        <v>4</v>
      </c>
      <c r="M21" s="455">
        <f t="shared" si="1"/>
        <v>2041.4399999999987</v>
      </c>
      <c r="N21" s="456">
        <f t="shared" si="2"/>
        <v>193890.07999999984</v>
      </c>
      <c r="O21" s="209"/>
      <c r="S21" s="209"/>
    </row>
    <row r="22" spans="1:19" ht="15" x14ac:dyDescent="0.25">
      <c r="A22" s="428" t="s">
        <v>337</v>
      </c>
      <c r="B22" s="427">
        <v>21600</v>
      </c>
      <c r="C22" s="425">
        <f t="shared" si="3"/>
        <v>23544</v>
      </c>
      <c r="D22" s="425">
        <f t="shared" si="4"/>
        <v>24627.02</v>
      </c>
      <c r="E22" s="425">
        <f t="shared" si="5"/>
        <v>26769.57</v>
      </c>
      <c r="F22" s="388">
        <v>1</v>
      </c>
      <c r="G22" s="395">
        <v>23464.880000000001</v>
      </c>
      <c r="H22" s="426">
        <f t="shared" si="6"/>
        <v>23464.880000000001</v>
      </c>
      <c r="I22" s="452">
        <v>2</v>
      </c>
      <c r="J22" s="455">
        <f t="shared" si="7"/>
        <v>25506.32</v>
      </c>
      <c r="K22" s="456">
        <f t="shared" si="8"/>
        <v>51012.639999999999</v>
      </c>
      <c r="L22" s="452">
        <f t="shared" si="0"/>
        <v>1</v>
      </c>
      <c r="M22" s="455">
        <f t="shared" si="1"/>
        <v>2041.4399999999987</v>
      </c>
      <c r="N22" s="456">
        <f t="shared" si="2"/>
        <v>27547.759999999998</v>
      </c>
      <c r="O22" s="209"/>
      <c r="S22" s="209"/>
    </row>
    <row r="23" spans="1:19" ht="15" x14ac:dyDescent="0.25">
      <c r="A23" s="428" t="s">
        <v>304</v>
      </c>
      <c r="B23" s="427">
        <v>21600</v>
      </c>
      <c r="C23" s="425">
        <f t="shared" si="3"/>
        <v>23544</v>
      </c>
      <c r="D23" s="425">
        <f t="shared" si="4"/>
        <v>24627.02</v>
      </c>
      <c r="E23" s="425">
        <f t="shared" si="5"/>
        <v>26769.57</v>
      </c>
      <c r="F23" s="388">
        <v>11</v>
      </c>
      <c r="G23" s="395">
        <v>23464.880000000001</v>
      </c>
      <c r="H23" s="426">
        <f t="shared" si="6"/>
        <v>258113.68</v>
      </c>
      <c r="I23" s="452">
        <v>10</v>
      </c>
      <c r="J23" s="455">
        <f t="shared" si="7"/>
        <v>25506.32</v>
      </c>
      <c r="K23" s="456">
        <f t="shared" si="8"/>
        <v>255063.2</v>
      </c>
      <c r="L23" s="452">
        <f t="shared" si="0"/>
        <v>-1</v>
      </c>
      <c r="M23" s="455">
        <f t="shared" si="1"/>
        <v>2041.4399999999987</v>
      </c>
      <c r="N23" s="456">
        <f t="shared" si="2"/>
        <v>-3050.4799999999814</v>
      </c>
      <c r="O23" s="209"/>
      <c r="S23" s="209"/>
    </row>
    <row r="24" spans="1:19" ht="15" x14ac:dyDescent="0.25">
      <c r="A24" s="428" t="s">
        <v>182</v>
      </c>
      <c r="B24" s="427">
        <v>21600</v>
      </c>
      <c r="C24" s="425">
        <f t="shared" si="3"/>
        <v>23544</v>
      </c>
      <c r="D24" s="425">
        <f t="shared" si="4"/>
        <v>24627.02</v>
      </c>
      <c r="E24" s="425">
        <f t="shared" si="5"/>
        <v>26769.57</v>
      </c>
      <c r="F24" s="388">
        <v>3</v>
      </c>
      <c r="G24" s="395">
        <v>23464.880000000001</v>
      </c>
      <c r="H24" s="426">
        <f t="shared" si="6"/>
        <v>70394.64</v>
      </c>
      <c r="I24" s="452">
        <v>3</v>
      </c>
      <c r="J24" s="455">
        <f t="shared" si="7"/>
        <v>25506.32</v>
      </c>
      <c r="K24" s="456">
        <f t="shared" si="8"/>
        <v>76518.960000000006</v>
      </c>
      <c r="L24" s="452">
        <f t="shared" si="0"/>
        <v>0</v>
      </c>
      <c r="M24" s="455">
        <f t="shared" si="1"/>
        <v>2041.4399999999987</v>
      </c>
      <c r="N24" s="456">
        <f t="shared" si="2"/>
        <v>6124.320000000007</v>
      </c>
      <c r="O24" s="209"/>
      <c r="S24" s="209"/>
    </row>
    <row r="25" spans="1:19" ht="15" x14ac:dyDescent="0.25">
      <c r="A25" s="428" t="s">
        <v>184</v>
      </c>
      <c r="B25" s="427">
        <v>21600</v>
      </c>
      <c r="C25" s="425">
        <f t="shared" si="3"/>
        <v>23544</v>
      </c>
      <c r="D25" s="425">
        <f t="shared" si="4"/>
        <v>24627.02</v>
      </c>
      <c r="E25" s="425">
        <f t="shared" si="5"/>
        <v>26769.57</v>
      </c>
      <c r="F25" s="388">
        <v>1</v>
      </c>
      <c r="G25" s="395">
        <v>23464.880000000001</v>
      </c>
      <c r="H25" s="426">
        <f t="shared" si="6"/>
        <v>23464.880000000001</v>
      </c>
      <c r="I25" s="452">
        <v>1</v>
      </c>
      <c r="J25" s="455">
        <f t="shared" si="7"/>
        <v>25506.32</v>
      </c>
      <c r="K25" s="456">
        <f t="shared" si="8"/>
        <v>25506.32</v>
      </c>
      <c r="L25" s="452">
        <f t="shared" si="0"/>
        <v>0</v>
      </c>
      <c r="M25" s="455">
        <f t="shared" si="1"/>
        <v>2041.4399999999987</v>
      </c>
      <c r="N25" s="456">
        <f t="shared" si="2"/>
        <v>2041.4399999999987</v>
      </c>
      <c r="O25" s="209"/>
      <c r="S25" s="209"/>
    </row>
    <row r="26" spans="1:19" ht="15" x14ac:dyDescent="0.25">
      <c r="A26" s="428" t="s">
        <v>48</v>
      </c>
      <c r="B26" s="427">
        <v>18600</v>
      </c>
      <c r="C26" s="425">
        <f t="shared" si="3"/>
        <v>20274</v>
      </c>
      <c r="D26" s="425">
        <f t="shared" si="4"/>
        <v>21206.6</v>
      </c>
      <c r="E26" s="425">
        <f t="shared" si="5"/>
        <v>23051.57</v>
      </c>
      <c r="F26" s="388">
        <v>6</v>
      </c>
      <c r="G26" s="395">
        <v>20215.919999999998</v>
      </c>
      <c r="H26" s="426">
        <f t="shared" si="6"/>
        <v>121295.52</v>
      </c>
      <c r="I26" s="452">
        <v>6</v>
      </c>
      <c r="J26" s="455">
        <f t="shared" si="7"/>
        <v>21974.71</v>
      </c>
      <c r="K26" s="456">
        <f t="shared" si="8"/>
        <v>131848.26</v>
      </c>
      <c r="L26" s="452">
        <f t="shared" si="0"/>
        <v>0</v>
      </c>
      <c r="M26" s="455">
        <f t="shared" si="1"/>
        <v>1758.7900000000009</v>
      </c>
      <c r="N26" s="456">
        <f t="shared" si="2"/>
        <v>10552.740000000005</v>
      </c>
      <c r="O26" s="209"/>
      <c r="S26" s="209"/>
    </row>
    <row r="27" spans="1:19" ht="15" x14ac:dyDescent="0.25">
      <c r="A27" s="428" t="s">
        <v>183</v>
      </c>
      <c r="B27" s="427">
        <v>18600</v>
      </c>
      <c r="C27" s="425">
        <f t="shared" si="3"/>
        <v>20274</v>
      </c>
      <c r="D27" s="425">
        <f t="shared" si="4"/>
        <v>21206.6</v>
      </c>
      <c r="E27" s="425">
        <f t="shared" si="5"/>
        <v>23051.57</v>
      </c>
      <c r="F27" s="388">
        <v>1</v>
      </c>
      <c r="G27" s="395">
        <v>20215.919999999998</v>
      </c>
      <c r="H27" s="426">
        <f t="shared" si="6"/>
        <v>20215.919999999998</v>
      </c>
      <c r="I27" s="452">
        <v>1</v>
      </c>
      <c r="J27" s="455">
        <f t="shared" si="7"/>
        <v>21974.71</v>
      </c>
      <c r="K27" s="456">
        <f t="shared" si="8"/>
        <v>21974.71</v>
      </c>
      <c r="L27" s="452">
        <f t="shared" si="0"/>
        <v>0</v>
      </c>
      <c r="M27" s="455">
        <f t="shared" si="1"/>
        <v>1758.7900000000009</v>
      </c>
      <c r="N27" s="456">
        <f t="shared" si="2"/>
        <v>1758.7900000000009</v>
      </c>
      <c r="O27" s="209"/>
      <c r="S27" s="209"/>
    </row>
    <row r="28" spans="1:19" ht="15" x14ac:dyDescent="0.25">
      <c r="A28" s="428" t="s">
        <v>133</v>
      </c>
      <c r="B28" s="427">
        <v>24900</v>
      </c>
      <c r="C28" s="425">
        <f t="shared" si="3"/>
        <v>27141</v>
      </c>
      <c r="D28" s="425">
        <f t="shared" si="4"/>
        <v>28389.49</v>
      </c>
      <c r="E28" s="425">
        <f t="shared" si="5"/>
        <v>30859.38</v>
      </c>
      <c r="F28" s="388">
        <v>4</v>
      </c>
      <c r="G28" s="395">
        <v>27074.87</v>
      </c>
      <c r="H28" s="426">
        <f t="shared" si="6"/>
        <v>108299.48</v>
      </c>
      <c r="I28" s="452">
        <v>4</v>
      </c>
      <c r="J28" s="455">
        <f t="shared" si="7"/>
        <v>29430.38</v>
      </c>
      <c r="K28" s="456">
        <f t="shared" si="8"/>
        <v>117721.52</v>
      </c>
      <c r="L28" s="452">
        <f t="shared" si="0"/>
        <v>0</v>
      </c>
      <c r="M28" s="455">
        <f t="shared" si="1"/>
        <v>2355.510000000002</v>
      </c>
      <c r="N28" s="456">
        <f t="shared" si="2"/>
        <v>9422.0400000000081</v>
      </c>
      <c r="O28" s="209"/>
      <c r="S28" s="209"/>
    </row>
    <row r="29" spans="1:19" ht="15" x14ac:dyDescent="0.25">
      <c r="A29" s="428" t="s">
        <v>338</v>
      </c>
      <c r="B29" s="427">
        <v>19900</v>
      </c>
      <c r="C29" s="425">
        <f t="shared" si="3"/>
        <v>21691</v>
      </c>
      <c r="D29" s="425">
        <f t="shared" si="4"/>
        <v>22688.79</v>
      </c>
      <c r="E29" s="425">
        <f t="shared" si="5"/>
        <v>24662.71</v>
      </c>
      <c r="F29" s="388">
        <v>6</v>
      </c>
      <c r="G29" s="395">
        <v>21659.89</v>
      </c>
      <c r="H29" s="426">
        <f t="shared" si="6"/>
        <v>129959.34</v>
      </c>
      <c r="I29" s="452">
        <v>5</v>
      </c>
      <c r="J29" s="455">
        <f t="shared" si="7"/>
        <v>23544.3</v>
      </c>
      <c r="K29" s="456">
        <f t="shared" si="8"/>
        <v>117721.5</v>
      </c>
      <c r="L29" s="452">
        <f t="shared" si="0"/>
        <v>-1</v>
      </c>
      <c r="M29" s="455">
        <f t="shared" si="1"/>
        <v>1884.4099999999999</v>
      </c>
      <c r="N29" s="456">
        <f t="shared" si="2"/>
        <v>-12237.839999999997</v>
      </c>
      <c r="O29" s="209"/>
      <c r="S29" s="209"/>
    </row>
    <row r="30" spans="1:19" ht="15" x14ac:dyDescent="0.25">
      <c r="A30" s="428" t="s">
        <v>354</v>
      </c>
      <c r="B30" s="427">
        <v>19900</v>
      </c>
      <c r="C30" s="425">
        <f t="shared" si="3"/>
        <v>21691</v>
      </c>
      <c r="D30" s="425">
        <f t="shared" si="4"/>
        <v>22688.79</v>
      </c>
      <c r="E30" s="425">
        <f t="shared" si="5"/>
        <v>24662.71</v>
      </c>
      <c r="F30" s="388">
        <v>1</v>
      </c>
      <c r="G30" s="395">
        <v>21659.89</v>
      </c>
      <c r="H30" s="426">
        <f t="shared" si="6"/>
        <v>21659.89</v>
      </c>
      <c r="I30" s="452">
        <v>1</v>
      </c>
      <c r="J30" s="455">
        <f t="shared" si="7"/>
        <v>23544.3</v>
      </c>
      <c r="K30" s="456">
        <f t="shared" si="8"/>
        <v>23544.3</v>
      </c>
      <c r="L30" s="452">
        <f t="shared" si="0"/>
        <v>0</v>
      </c>
      <c r="M30" s="455">
        <f t="shared" si="1"/>
        <v>1884.4099999999999</v>
      </c>
      <c r="N30" s="456">
        <f t="shared" si="2"/>
        <v>1884.4099999999999</v>
      </c>
      <c r="O30" s="209"/>
      <c r="S30" s="209"/>
    </row>
    <row r="31" spans="1:19" ht="15" x14ac:dyDescent="0.25">
      <c r="A31" s="428" t="s">
        <v>339</v>
      </c>
      <c r="B31" s="427">
        <v>19900</v>
      </c>
      <c r="C31" s="425">
        <f t="shared" si="3"/>
        <v>21691</v>
      </c>
      <c r="D31" s="425">
        <f t="shared" si="4"/>
        <v>22688.79</v>
      </c>
      <c r="E31" s="425">
        <f t="shared" si="5"/>
        <v>24662.71</v>
      </c>
      <c r="F31" s="388">
        <v>6</v>
      </c>
      <c r="G31" s="395">
        <v>21659.89</v>
      </c>
      <c r="H31" s="426">
        <f t="shared" si="6"/>
        <v>129959.34</v>
      </c>
      <c r="I31" s="452">
        <v>6</v>
      </c>
      <c r="J31" s="455">
        <f t="shared" si="7"/>
        <v>23544.3</v>
      </c>
      <c r="K31" s="456">
        <f t="shared" si="8"/>
        <v>141265.79999999999</v>
      </c>
      <c r="L31" s="452">
        <f t="shared" si="0"/>
        <v>0</v>
      </c>
      <c r="M31" s="455">
        <f t="shared" si="1"/>
        <v>1884.4099999999999</v>
      </c>
      <c r="N31" s="456">
        <f t="shared" si="2"/>
        <v>11306.459999999992</v>
      </c>
      <c r="O31" s="209"/>
      <c r="S31" s="209"/>
    </row>
    <row r="32" spans="1:19" ht="15" x14ac:dyDescent="0.25">
      <c r="A32" s="428" t="s">
        <v>340</v>
      </c>
      <c r="B32" s="427">
        <v>16600</v>
      </c>
      <c r="C32" s="425">
        <f t="shared" si="3"/>
        <v>18094</v>
      </c>
      <c r="D32" s="425">
        <f t="shared" si="4"/>
        <v>18926.32</v>
      </c>
      <c r="E32" s="425">
        <f t="shared" si="5"/>
        <v>20572.91</v>
      </c>
      <c r="F32" s="388">
        <v>5</v>
      </c>
      <c r="G32" s="395">
        <v>18049.89</v>
      </c>
      <c r="H32" s="426">
        <f t="shared" si="6"/>
        <v>90249.45</v>
      </c>
      <c r="I32" s="452">
        <v>5</v>
      </c>
      <c r="J32" s="455">
        <f t="shared" si="7"/>
        <v>19620.23</v>
      </c>
      <c r="K32" s="456">
        <f t="shared" si="8"/>
        <v>98101.15</v>
      </c>
      <c r="L32" s="452">
        <f t="shared" si="0"/>
        <v>0</v>
      </c>
      <c r="M32" s="455">
        <f t="shared" si="1"/>
        <v>1570.3400000000001</v>
      </c>
      <c r="N32" s="456">
        <f t="shared" si="2"/>
        <v>7851.6999999999971</v>
      </c>
      <c r="O32" s="209"/>
      <c r="S32" s="209"/>
    </row>
    <row r="33" spans="1:19" ht="15.75" thickBot="1" x14ac:dyDescent="0.3">
      <c r="A33" s="429" t="s">
        <v>307</v>
      </c>
      <c r="B33" s="427">
        <v>14900</v>
      </c>
      <c r="C33" s="425">
        <f t="shared" si="3"/>
        <v>16241</v>
      </c>
      <c r="D33" s="425">
        <f t="shared" si="4"/>
        <v>16988.09</v>
      </c>
      <c r="E33" s="425">
        <f t="shared" si="5"/>
        <v>18466.05</v>
      </c>
      <c r="F33" s="436">
        <v>7</v>
      </c>
      <c r="G33" s="398">
        <v>16244.93</v>
      </c>
      <c r="H33" s="430">
        <f t="shared" si="6"/>
        <v>113714.51</v>
      </c>
      <c r="I33" s="457">
        <v>7</v>
      </c>
      <c r="J33" s="458">
        <f t="shared" si="7"/>
        <v>17658.240000000002</v>
      </c>
      <c r="K33" s="459">
        <f t="shared" si="8"/>
        <v>123607.67999999999</v>
      </c>
      <c r="L33" s="457">
        <f t="shared" si="0"/>
        <v>0</v>
      </c>
      <c r="M33" s="458">
        <f t="shared" si="1"/>
        <v>1413.3100000000013</v>
      </c>
      <c r="N33" s="459">
        <f t="shared" si="2"/>
        <v>9893.1699999999983</v>
      </c>
      <c r="O33" s="209"/>
      <c r="S33" s="209"/>
    </row>
    <row r="34" spans="1:19" ht="15" thickBot="1" x14ac:dyDescent="0.25">
      <c r="A34" s="431" t="s">
        <v>38</v>
      </c>
      <c r="B34" s="431"/>
      <c r="C34" s="431"/>
      <c r="D34" s="431"/>
      <c r="E34" s="431"/>
      <c r="F34" s="432">
        <f>SUM(F8:F33)</f>
        <v>123</v>
      </c>
      <c r="G34" s="433"/>
      <c r="H34" s="434">
        <f>SUM(H8:H33)</f>
        <v>2959100.34</v>
      </c>
      <c r="I34" s="432">
        <f>SUM(I8:I33)</f>
        <v>128</v>
      </c>
      <c r="J34" s="433"/>
      <c r="K34" s="434">
        <f>SUM(K8:K33)</f>
        <v>3393123.98</v>
      </c>
      <c r="L34" s="432">
        <f>SUM(L8:L33)</f>
        <v>5</v>
      </c>
      <c r="M34" s="433"/>
      <c r="N34" s="434">
        <f>SUM(N8:N33)</f>
        <v>434023.6399999999</v>
      </c>
    </row>
    <row r="35" spans="1:19" x14ac:dyDescent="0.2">
      <c r="H35" s="461">
        <f>H33</f>
        <v>113714.51</v>
      </c>
      <c r="I35" s="462"/>
      <c r="J35" s="462"/>
      <c r="K35" s="461">
        <f>K33</f>
        <v>123607.67999999999</v>
      </c>
    </row>
    <row r="36" spans="1:19" x14ac:dyDescent="0.2">
      <c r="F36" s="209"/>
      <c r="G36" s="209"/>
      <c r="H36" s="461">
        <f t="shared" ref="H36" si="11">H34-H35</f>
        <v>2845385.83</v>
      </c>
      <c r="I36" s="462"/>
      <c r="J36" s="462"/>
      <c r="K36" s="461">
        <f t="shared" ref="K36" si="12">K34-K35</f>
        <v>3269516.3</v>
      </c>
    </row>
    <row r="37" spans="1:19" ht="60" customHeight="1" x14ac:dyDescent="0.2">
      <c r="A37" s="598" t="s">
        <v>369</v>
      </c>
      <c r="B37" s="598"/>
      <c r="C37" s="598"/>
      <c r="D37" s="598"/>
      <c r="E37" s="598"/>
      <c r="F37" s="598"/>
      <c r="G37" s="598"/>
      <c r="H37" s="598"/>
      <c r="I37" s="598"/>
      <c r="J37" s="598"/>
      <c r="K37" s="598"/>
      <c r="L37" s="598"/>
      <c r="M37" s="598"/>
      <c r="N37" s="598"/>
    </row>
    <row r="38" spans="1:19" ht="144.75" customHeight="1" x14ac:dyDescent="0.2">
      <c r="A38" s="598" t="s">
        <v>374</v>
      </c>
      <c r="B38" s="598"/>
      <c r="C38" s="598"/>
      <c r="D38" s="598"/>
      <c r="E38" s="598"/>
      <c r="F38" s="598"/>
      <c r="G38" s="598"/>
      <c r="H38" s="598"/>
      <c r="I38" s="598"/>
      <c r="J38" s="598"/>
      <c r="K38" s="598"/>
      <c r="L38" s="598"/>
      <c r="M38" s="598"/>
      <c r="N38" s="598"/>
    </row>
    <row r="39" spans="1:19" ht="45" customHeight="1" x14ac:dyDescent="0.2">
      <c r="A39" s="598" t="s">
        <v>370</v>
      </c>
      <c r="B39" s="598"/>
      <c r="C39" s="598"/>
      <c r="D39" s="598"/>
      <c r="E39" s="598"/>
      <c r="F39" s="598"/>
      <c r="G39" s="598"/>
      <c r="H39" s="598"/>
      <c r="I39" s="598"/>
      <c r="J39" s="598"/>
      <c r="K39" s="598"/>
      <c r="L39" s="598"/>
      <c r="M39" s="598"/>
      <c r="N39" s="598"/>
    </row>
  </sheetData>
  <mergeCells count="24">
    <mergeCell ref="A39:N39"/>
    <mergeCell ref="L6:L7"/>
    <mergeCell ref="M6:M7"/>
    <mergeCell ref="N6:N7"/>
    <mergeCell ref="F5:H5"/>
    <mergeCell ref="F6:F7"/>
    <mergeCell ref="G6:G7"/>
    <mergeCell ref="H6:H7"/>
    <mergeCell ref="A37:N37"/>
    <mergeCell ref="A38:N38"/>
    <mergeCell ref="A4:A7"/>
    <mergeCell ref="A2:N2"/>
    <mergeCell ref="F4:H4"/>
    <mergeCell ref="B4:E4"/>
    <mergeCell ref="B5:B7"/>
    <mergeCell ref="C5:C7"/>
    <mergeCell ref="D5:D7"/>
    <mergeCell ref="E5:E7"/>
    <mergeCell ref="I4:N4"/>
    <mergeCell ref="I5:K5"/>
    <mergeCell ref="L5:N5"/>
    <mergeCell ref="I6:I7"/>
    <mergeCell ref="J6:J7"/>
    <mergeCell ref="K6:K7"/>
  </mergeCells>
  <pageMargins left="0.11811023622047245" right="0.11811023622047245" top="0.55118110236220474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26.08.22</vt:lpstr>
      <vt:lpstr>с 01.09.2022</vt:lpstr>
      <vt:lpstr>14.10.22</vt:lpstr>
      <vt:lpstr>ПРОЕКТ с 01.02.2023</vt:lpstr>
      <vt:lpstr>Проект с 01.09.2023 (9%)</vt:lpstr>
      <vt:lpstr>ФОТ</vt:lpstr>
      <vt:lpstr>Лист3</vt:lpstr>
      <vt:lpstr>Кол-во шт.ед. для Постановления</vt:lpstr>
      <vt:lpstr>Проекты Шт.расп. для Постановл</vt:lpstr>
      <vt:lpstr>Расчет ФОТ на 2024</vt:lpstr>
      <vt:lpstr>Оклады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2024-08-28T12:10:30Z</cp:lastPrinted>
  <dcterms:created xsi:type="dcterms:W3CDTF">2020-01-09T17:04:16Z</dcterms:created>
  <dcterms:modified xsi:type="dcterms:W3CDTF">2024-09-11T08:29:43Z</dcterms:modified>
</cp:coreProperties>
</file>