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 firstSheet="1" activeTab="1"/>
  </bookViews>
  <sheets>
    <sheet name="Приложение(9)_4_исход" sheetId="17" state="hidden" r:id="rId1"/>
    <sheet name="Кап ремонт шк стадионов" sheetId="41" r:id="rId2"/>
  </sheets>
  <definedNames>
    <definedName name="_xlnm.Print_Titles" localSheetId="1">'Кап ремонт шк стадионов'!$A:$B</definedName>
    <definedName name="_xlnm.Print_Titles" localSheetId="0">'Приложение(9)_4_исход'!$A:$B</definedName>
    <definedName name="_xlnm.Print_Area" localSheetId="1">'Кап ремонт шк стадионов'!$A$1:$Q$27</definedName>
    <definedName name="_xlnm.Print_Area" localSheetId="0">'Приложение(9)_4_исход'!$A$1:$BE$24</definedName>
  </definedNames>
  <calcPr calcId="145621"/>
</workbook>
</file>

<file path=xl/calcChain.xml><?xml version="1.0" encoding="utf-8"?>
<calcChain xmlns="http://schemas.openxmlformats.org/spreadsheetml/2006/main">
  <c r="I26" i="41" l="1"/>
  <c r="J26" i="41" s="1"/>
  <c r="K26" i="41" s="1"/>
  <c r="P26" i="41" s="1"/>
  <c r="O26" i="41"/>
  <c r="Q26" i="41"/>
  <c r="J45" i="41" l="1"/>
  <c r="I45" i="41"/>
  <c r="H45" i="41"/>
  <c r="J38" i="41"/>
  <c r="H36" i="41"/>
  <c r="M27" i="41"/>
  <c r="L27" i="41"/>
  <c r="F27" i="41"/>
  <c r="N25" i="41"/>
  <c r="Q25" i="41" s="1"/>
  <c r="P25" i="41"/>
  <c r="H25" i="41"/>
  <c r="O25" i="41" s="1"/>
  <c r="Q24" i="41"/>
  <c r="P24" i="41"/>
  <c r="O24" i="41"/>
  <c r="P23" i="41"/>
  <c r="N23" i="41"/>
  <c r="Q23" i="41" s="1"/>
  <c r="H23" i="41"/>
  <c r="O23" i="41" s="1"/>
  <c r="P22" i="41"/>
  <c r="Q22" i="41"/>
  <c r="H22" i="41"/>
  <c r="O22" i="41" s="1"/>
  <c r="Q21" i="41"/>
  <c r="P21" i="41"/>
  <c r="H21" i="41"/>
  <c r="O21" i="41" s="1"/>
  <c r="N20" i="41"/>
  <c r="Q20" i="41" s="1"/>
  <c r="K20" i="41"/>
  <c r="P20" i="41" s="1"/>
  <c r="H20" i="41"/>
  <c r="O20" i="41" s="1"/>
  <c r="Q19" i="41"/>
  <c r="P19" i="41"/>
  <c r="H19" i="41"/>
  <c r="O19" i="41" s="1"/>
  <c r="P18" i="41"/>
  <c r="O18" i="41"/>
  <c r="N18" i="41"/>
  <c r="Q18" i="41" s="1"/>
  <c r="N17" i="41"/>
  <c r="Q17" i="41" s="1"/>
  <c r="K17" i="41"/>
  <c r="P17" i="41" s="1"/>
  <c r="H17" i="41"/>
  <c r="O17" i="41" s="1"/>
  <c r="Q16" i="41"/>
  <c r="P16" i="41"/>
  <c r="O16" i="41"/>
  <c r="N15" i="41"/>
  <c r="Q15" i="41" s="1"/>
  <c r="K15" i="41"/>
  <c r="P15" i="41" s="1"/>
  <c r="H15" i="41"/>
  <c r="O15" i="41" s="1"/>
  <c r="P14" i="41"/>
  <c r="N14" i="41"/>
  <c r="Q14" i="41" s="1"/>
  <c r="H14" i="41"/>
  <c r="O14" i="41" s="1"/>
  <c r="Q13" i="41"/>
  <c r="P13" i="41"/>
  <c r="O13" i="41"/>
  <c r="N12" i="41"/>
  <c r="Q12" i="41" s="1"/>
  <c r="P12" i="41"/>
  <c r="O12" i="41"/>
  <c r="P11" i="41"/>
  <c r="N11" i="41"/>
  <c r="Q11" i="41" s="1"/>
  <c r="O11" i="41"/>
  <c r="O10" i="41"/>
  <c r="N10" i="41"/>
  <c r="Q10" i="41" s="1"/>
  <c r="K10" i="41"/>
  <c r="P10" i="41" s="1"/>
  <c r="N9" i="41"/>
  <c r="Q9" i="41" s="1"/>
  <c r="P9" i="41"/>
  <c r="H9" i="41"/>
  <c r="O9" i="41" s="1"/>
  <c r="N8" i="41"/>
  <c r="Q8" i="41" s="1"/>
  <c r="H8" i="41"/>
  <c r="J47" i="41" l="1"/>
  <c r="H27" i="41"/>
  <c r="H38" i="41" s="1"/>
  <c r="H47" i="41" s="1"/>
  <c r="Q27" i="41"/>
  <c r="K27" i="41"/>
  <c r="I34" i="41" s="1"/>
  <c r="I38" i="41" s="1"/>
  <c r="I47" i="41" s="1"/>
  <c r="N27" i="41"/>
  <c r="O8" i="41"/>
  <c r="O27" i="41" s="1"/>
  <c r="P8" i="41"/>
  <c r="P27" i="41" s="1"/>
  <c r="I27" i="4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<sst xmlns="http://schemas.openxmlformats.org/spreadsheetml/2006/main" count="122" uniqueCount="53">
  <si>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</si>
  <si>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</si>
  <si>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</si>
  <si>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</si>
  <si>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</si>
  <si>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</si>
  <si>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</si>
  <si>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</si>
  <si>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</si>
  <si>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</si>
  <si>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</si>
  <si>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</si>
  <si>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</si>
  <si>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</si>
  <si>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</si>
  <si>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</si>
  <si>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</si>
  <si>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</si>
  <si>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</si>
  <si>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</si>
  <si>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</si>
  <si>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</si>
  <si>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</si>
  <si>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</si>
  <si>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</si>
  <si>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</si>
  <si>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</si>
  <si>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Необходимый объем средств по заявке</t>
  </si>
  <si>
    <t>Нераспределенный резерв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</si>
  <si>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</si>
  <si>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</si>
  <si>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</si>
  <si>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</si>
  <si>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</si>
  <si>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</si>
  <si>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</si>
  <si>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</si>
  <si>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</si>
  <si>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</si>
  <si>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</si>
  <si>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</si>
  <si>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</si>
  <si>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Стоимость 1 стадиона</t>
  </si>
  <si>
    <t>КР стадионы</t>
  </si>
  <si>
    <t>Реновация ДО</t>
  </si>
  <si>
    <t>Реновация ОО</t>
  </si>
  <si>
    <t>Пищеблоки</t>
  </si>
  <si>
    <t>АЦК было</t>
  </si>
  <si>
    <t>Расчет МТБ</t>
  </si>
  <si>
    <t>Приложение 88 к пояснительной записке 2024 года</t>
  </si>
  <si>
    <t>Проект закона о бюджете</t>
  </si>
  <si>
    <t xml:space="preserve">Капитальный ремонт пришкольных спортивных сооружений и стадионов </t>
  </si>
  <si>
    <t xml:space="preserve">Расчет объема субсидии бюджетам муниципальных образований Ленинградской области 
на проведение капитального ремонта спортивных площадок (стадионов) организаций общего образования 
на 2024 год и на плановый период 2025 и 2026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</si>
</sst>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</numFmts>
  <fonts count="26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7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7" fillId="0" borderId="0" applyBorder="0" applyProtection="0"/>
    <xf numFmtId="9" fontId="17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5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8" fillId="0" borderId="0" applyFill="0" applyBorder="0" applyAlignment="0" applyProtection="0"/>
    <xf numFmtId="9" fontId="18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1" fillId="0" borderId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38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6" fillId="0" borderId="0" xfId="7" applyFont="1"/>
    <xf numFmtId="0" fontId="16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6" fillId="0" borderId="0" xfId="7" applyNumberFormat="1" applyFont="1"/>
    <xf numFmtId="171" fontId="17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7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7" fillId="0" borderId="1" xfId="2" applyBorder="1" applyProtection="1"/>
    <xf numFmtId="4" fontId="15" fillId="0" borderId="0" xfId="11" applyNumberFormat="1" applyFont="1"/>
    <xf numFmtId="174" fontId="17" fillId="0" borderId="1" xfId="2" applyNumberFormat="1" applyBorder="1" applyProtection="1"/>
    <xf numFmtId="171" fontId="17" fillId="0" borderId="1" xfId="2" applyNumberFormat="1" applyBorder="1" applyProtection="1"/>
    <xf numFmtId="0" fontId="15" fillId="0" borderId="0" xfId="11" applyFont="1" applyAlignment="1">
      <alignment horizontal="right"/>
    </xf>
    <xf numFmtId="4" fontId="19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19" fillId="0" borderId="0" xfId="7" applyFont="1"/>
    <xf numFmtId="0" fontId="19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1" fontId="9" fillId="0" borderId="1" xfId="8" applyNumberFormat="1" applyFont="1" applyFill="1" applyBorder="1" applyAlignment="1">
      <alignment horizontal="center" vertical="center" wrapText="1"/>
    </xf>
    <xf numFmtId="0" fontId="23" fillId="0" borderId="0" xfId="67" applyFont="1" applyFill="1" applyAlignment="1">
      <alignment horizontal="right"/>
    </xf>
    <xf numFmtId="0" fontId="22" fillId="0" borderId="2" xfId="1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0" fontId="10" fillId="0" borderId="1" xfId="10" applyFont="1" applyFill="1" applyBorder="1" applyAlignment="1">
      <alignment horizontal="center" vertical="center" wrapText="1"/>
    </xf>
    <xf numFmtId="166" fontId="9" fillId="0" borderId="1" xfId="82" applyNumberFormat="1" applyFont="1" applyFill="1" applyBorder="1" applyAlignment="1" applyProtection="1">
      <alignment horizontal="center" vertical="center" wrapText="1"/>
    </xf>
    <xf numFmtId="166" fontId="9" fillId="0" borderId="1" xfId="82" applyNumberFormat="1" applyFont="1" applyFill="1" applyBorder="1" applyAlignment="1" applyProtection="1">
      <alignment horizontal="left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0" fontId="12" fillId="0" borderId="1" xfId="11" applyFont="1" applyFill="1" applyBorder="1" applyAlignment="1">
      <alignment vertical="center" wrapText="1"/>
    </xf>
    <xf numFmtId="167" fontId="10" fillId="0" borderId="1" xfId="63" applyNumberFormat="1" applyFont="1" applyFill="1" applyBorder="1" applyAlignment="1" applyProtection="1">
      <alignment vertical="center" wrapText="1"/>
    </xf>
    <xf numFmtId="166" fontId="14" fillId="0" borderId="1" xfId="82" applyNumberFormat="1" applyFont="1" applyFill="1" applyBorder="1" applyAlignment="1" applyProtection="1">
      <alignment horizontal="center" vertical="center" wrapText="1"/>
    </xf>
    <xf numFmtId="0" fontId="9" fillId="0" borderId="0" xfId="11" applyFont="1" applyFill="1"/>
    <xf numFmtId="0" fontId="24" fillId="0" borderId="0" xfId="11" applyFont="1" applyFill="1" applyBorder="1" applyAlignment="1">
      <alignment horizontal="center" vertical="center" wrapText="1"/>
    </xf>
    <xf numFmtId="0" fontId="24" fillId="0" borderId="2" xfId="11" applyFont="1" applyFill="1" applyBorder="1" applyAlignment="1">
      <alignment horizontal="center" vertical="center" wrapText="1"/>
    </xf>
    <xf numFmtId="0" fontId="9" fillId="0" borderId="2" xfId="11" applyFont="1" applyFill="1" applyBorder="1"/>
    <xf numFmtId="0" fontId="23" fillId="0" borderId="0" xfId="11" applyFont="1" applyFill="1"/>
    <xf numFmtId="169" fontId="9" fillId="0" borderId="1" xfId="11" applyNumberFormat="1" applyFont="1" applyFill="1" applyBorder="1"/>
    <xf numFmtId="0" fontId="11" fillId="0" borderId="0" xfId="11" applyFont="1" applyFill="1" applyAlignment="1"/>
    <xf numFmtId="166" fontId="9" fillId="0" borderId="0" xfId="11" applyNumberFormat="1" applyFont="1" applyFill="1"/>
    <xf numFmtId="166" fontId="9" fillId="0" borderId="0" xfId="82" applyNumberFormat="1" applyFont="1" applyFill="1" applyBorder="1" applyAlignment="1" applyProtection="1"/>
    <xf numFmtId="164" fontId="9" fillId="0" borderId="1" xfId="1" applyFont="1" applyFill="1" applyBorder="1"/>
    <xf numFmtId="49" fontId="9" fillId="0" borderId="1" xfId="1" applyNumberFormat="1" applyFont="1" applyFill="1" applyBorder="1"/>
    <xf numFmtId="164" fontId="11" fillId="0" borderId="1" xfId="1" applyFont="1" applyFill="1" applyBorder="1"/>
    <xf numFmtId="43" fontId="9" fillId="0" borderId="0" xfId="11" applyNumberFormat="1" applyFont="1" applyFill="1"/>
    <xf numFmtId="0" fontId="7" fillId="0" borderId="1" xfId="8" applyFont="1" applyFill="1" applyBorder="1" applyAlignment="1">
      <alignment horizontal="center" vertical="center" wrapText="1"/>
    </xf>
    <xf numFmtId="166" fontId="7" fillId="0" borderId="1" xfId="82" applyNumberFormat="1" applyFont="1" applyFill="1" applyBorder="1" applyAlignment="1" applyProtection="1">
      <alignment horizontal="center" vertical="center" wrapText="1"/>
    </xf>
    <xf numFmtId="169" fontId="11" fillId="0" borderId="1" xfId="11" applyNumberFormat="1" applyFont="1" applyFill="1" applyBorder="1"/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0" fillId="0" borderId="5" xfId="11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  <xf numFmtId="0" fontId="23" fillId="0" borderId="1" xfId="11" applyFont="1" applyFill="1" applyBorder="1" applyAlignment="1">
      <alignment horizontal="center" vertical="center" wrapText="1"/>
    </xf>
    <xf numFmtId="0" fontId="23" fillId="0" borderId="6" xfId="11" applyFont="1" applyFill="1" applyBorder="1" applyAlignment="1">
      <alignment horizontal="center" vertical="center" wrapText="1"/>
    </xf>
    <xf numFmtId="0" fontId="23" fillId="0" borderId="7" xfId="11" applyFont="1" applyFill="1" applyBorder="1" applyAlignment="1">
      <alignment horizontal="center" vertical="center" wrapText="1"/>
    </xf>
    <xf numFmtId="0" fontId="23" fillId="0" borderId="8" xfId="11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" xfId="8" applyFont="1" applyFill="1" applyBorder="1" applyAlignment="1">
      <alignment horizontal="center" vertical="center" wrapText="1"/>
    </xf>
    <xf numFmtId="0" fontId="22" fillId="0" borderId="0" xfId="11" applyFont="1" applyFill="1" applyBorder="1" applyAlignment="1">
      <alignment horizontal="center" vertical="center" wrapText="1"/>
    </xf>
    <xf numFmtId="0" fontId="23" fillId="0" borderId="5" xfId="11" applyFont="1" applyFill="1" applyBorder="1" applyAlignment="1">
      <alignment horizontal="center" vertical="center" wrapText="1"/>
    </xf>
    <xf numFmtId="0" fontId="23" fillId="0" borderId="3" xfId="11" applyFont="1" applyFill="1" applyBorder="1" applyAlignment="1">
      <alignment horizontal="center" vertical="center" wrapText="1"/>
    </xf>
    <xf numFmtId="0" fontId="23" fillId="0" borderId="4" xfId="11" applyFont="1" applyFill="1" applyBorder="1" applyAlignment="1">
      <alignment horizontal="center" vertical="center" wrapText="1"/>
    </xf>
    <xf numFmtId="9" fontId="23" fillId="0" borderId="1" xfId="64" applyFont="1" applyFill="1" applyBorder="1" applyAlignment="1" applyProtection="1">
      <alignment horizontal="center" vertical="center"/>
    </xf>
    <xf numFmtId="0" fontId="25" fillId="0" borderId="1" xfId="11" applyFont="1" applyFill="1" applyBorder="1" applyAlignment="1">
      <alignment horizontal="center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07" t="s">
        <v>31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68"/>
      <c r="V1" s="68"/>
      <c r="W1" s="68"/>
      <c r="X1" s="68"/>
      <c r="Y1" s="68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69" t="s">
        <v>0</v>
      </c>
      <c r="B3" s="69" t="s">
        <v>1</v>
      </c>
      <c r="C3" s="71" t="s">
        <v>2</v>
      </c>
      <c r="D3" s="71"/>
      <c r="E3" s="71"/>
      <c r="F3" s="108" t="s">
        <v>34</v>
      </c>
      <c r="G3" s="109"/>
      <c r="H3" s="110"/>
      <c r="I3" s="114" t="s">
        <v>30</v>
      </c>
      <c r="J3" s="115"/>
      <c r="K3" s="116"/>
      <c r="L3" s="31" t="s">
        <v>23</v>
      </c>
      <c r="M3" s="31"/>
      <c r="N3" s="31"/>
      <c r="O3" s="31"/>
      <c r="P3" s="31"/>
      <c r="Q3" s="31"/>
      <c r="R3" s="31"/>
      <c r="S3" s="31"/>
      <c r="T3" s="31"/>
      <c r="U3" s="120">
        <v>2021</v>
      </c>
      <c r="V3" s="121"/>
      <c r="W3" s="121"/>
      <c r="X3" s="122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120">
        <v>2022</v>
      </c>
      <c r="AJ3" s="121"/>
      <c r="AK3" s="121"/>
      <c r="AL3" s="122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120">
        <v>2023</v>
      </c>
      <c r="AX3" s="121"/>
      <c r="AY3" s="121"/>
      <c r="AZ3" s="122"/>
      <c r="BA3" s="63"/>
    </row>
    <row r="4" spans="1:1046" ht="38.25" x14ac:dyDescent="0.2">
      <c r="A4" s="69"/>
      <c r="B4" s="69"/>
      <c r="C4" s="71">
        <v>2018</v>
      </c>
      <c r="D4" s="71">
        <v>2019</v>
      </c>
      <c r="E4" s="71">
        <v>2020</v>
      </c>
      <c r="F4" s="111"/>
      <c r="G4" s="112"/>
      <c r="H4" s="113"/>
      <c r="I4" s="117"/>
      <c r="J4" s="118"/>
      <c r="K4" s="119"/>
      <c r="L4" s="8" t="s">
        <v>24</v>
      </c>
      <c r="M4" s="8" t="s">
        <v>35</v>
      </c>
      <c r="N4" s="25" t="s">
        <v>25</v>
      </c>
      <c r="O4" s="8" t="s">
        <v>36</v>
      </c>
      <c r="P4" s="9" t="s">
        <v>37</v>
      </c>
      <c r="Q4" s="9" t="s">
        <v>39</v>
      </c>
      <c r="R4" s="29" t="s">
        <v>38</v>
      </c>
      <c r="S4" s="29"/>
      <c r="T4" s="9" t="s">
        <v>26</v>
      </c>
      <c r="U4" s="123" t="s">
        <v>40</v>
      </c>
      <c r="V4" s="122"/>
      <c r="W4" s="123" t="s">
        <v>41</v>
      </c>
      <c r="X4" s="122"/>
      <c r="Y4" s="9"/>
      <c r="Z4" s="8" t="s">
        <v>24</v>
      </c>
      <c r="AA4" s="8" t="s">
        <v>35</v>
      </c>
      <c r="AB4" s="25" t="s">
        <v>25</v>
      </c>
      <c r="AC4" s="8" t="s">
        <v>36</v>
      </c>
      <c r="AD4" s="9" t="s">
        <v>37</v>
      </c>
      <c r="AE4" s="9" t="s">
        <v>39</v>
      </c>
      <c r="AF4" s="29" t="s">
        <v>38</v>
      </c>
      <c r="AG4" s="29"/>
      <c r="AH4" s="9" t="s">
        <v>26</v>
      </c>
      <c r="AI4" s="123" t="s">
        <v>40</v>
      </c>
      <c r="AJ4" s="122"/>
      <c r="AK4" s="123" t="s">
        <v>41</v>
      </c>
      <c r="AL4" s="122"/>
      <c r="AM4" s="9"/>
      <c r="AN4" s="8" t="s">
        <v>24</v>
      </c>
      <c r="AO4" s="8" t="s">
        <v>35</v>
      </c>
      <c r="AP4" s="25" t="s">
        <v>25</v>
      </c>
      <c r="AQ4" s="8" t="s">
        <v>36</v>
      </c>
      <c r="AR4" s="9" t="s">
        <v>37</v>
      </c>
      <c r="AS4" s="9" t="s">
        <v>39</v>
      </c>
      <c r="AT4" s="29" t="s">
        <v>38</v>
      </c>
      <c r="AU4" s="29"/>
      <c r="AV4" s="9" t="s">
        <v>26</v>
      </c>
      <c r="AW4" s="123" t="s">
        <v>40</v>
      </c>
      <c r="AX4" s="122"/>
      <c r="AY4" s="123" t="s">
        <v>41</v>
      </c>
      <c r="AZ4" s="122"/>
      <c r="BA4" s="64"/>
      <c r="BB4" s="101" t="s">
        <v>29</v>
      </c>
      <c r="BC4" s="102"/>
      <c r="BD4" s="103"/>
    </row>
    <row r="5" spans="1:1046" s="42" customFormat="1" ht="15" x14ac:dyDescent="0.2">
      <c r="A5" s="69"/>
      <c r="B5" s="69"/>
      <c r="C5" s="71"/>
      <c r="D5" s="71"/>
      <c r="E5" s="71"/>
      <c r="F5" s="71">
        <v>2021</v>
      </c>
      <c r="G5" s="71">
        <v>2022</v>
      </c>
      <c r="H5" s="71">
        <v>2023</v>
      </c>
      <c r="I5" s="67">
        <v>2021</v>
      </c>
      <c r="J5" s="67">
        <v>2022</v>
      </c>
      <c r="K5" s="67">
        <v>2023</v>
      </c>
      <c r="L5" s="104">
        <v>2021</v>
      </c>
      <c r="M5" s="105"/>
      <c r="N5" s="105"/>
      <c r="O5" s="105"/>
      <c r="P5" s="105"/>
      <c r="Q5" s="105"/>
      <c r="R5" s="105"/>
      <c r="S5" s="105"/>
      <c r="T5" s="106"/>
      <c r="U5" s="70" t="s">
        <v>33</v>
      </c>
      <c r="V5" s="70" t="s">
        <v>32</v>
      </c>
      <c r="W5" s="70" t="s">
        <v>33</v>
      </c>
      <c r="X5" s="70" t="s">
        <v>32</v>
      </c>
      <c r="Y5" s="70"/>
      <c r="Z5" s="104">
        <v>2022</v>
      </c>
      <c r="AA5" s="105"/>
      <c r="AB5" s="105"/>
      <c r="AC5" s="105"/>
      <c r="AD5" s="105"/>
      <c r="AE5" s="105"/>
      <c r="AF5" s="105"/>
      <c r="AG5" s="105"/>
      <c r="AH5" s="106"/>
      <c r="AI5" s="70" t="s">
        <v>33</v>
      </c>
      <c r="AJ5" s="70" t="s">
        <v>32</v>
      </c>
      <c r="AK5" s="70" t="s">
        <v>33</v>
      </c>
      <c r="AL5" s="70" t="s">
        <v>32</v>
      </c>
      <c r="AM5" s="70"/>
      <c r="AN5" s="104">
        <v>2023</v>
      </c>
      <c r="AO5" s="105"/>
      <c r="AP5" s="105"/>
      <c r="AQ5" s="105"/>
      <c r="AR5" s="105"/>
      <c r="AS5" s="105"/>
      <c r="AT5" s="105"/>
      <c r="AU5" s="105"/>
      <c r="AV5" s="106"/>
      <c r="AW5" s="70" t="s">
        <v>33</v>
      </c>
      <c r="AX5" s="70" t="s">
        <v>32</v>
      </c>
      <c r="AY5" s="70" t="s">
        <v>33</v>
      </c>
      <c r="AZ5" s="70" t="s">
        <v>32</v>
      </c>
      <c r="BA5" s="65"/>
      <c r="BB5" s="61">
        <v>2021</v>
      </c>
      <c r="BC5" s="61">
        <v>2022</v>
      </c>
      <c r="BD5" s="61">
        <v>2023</v>
      </c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</row>
    <row r="6" spans="1:1046" ht="15" x14ac:dyDescent="0.2">
      <c r="A6" s="69">
        <v>1</v>
      </c>
      <c r="B6" s="4" t="s">
        <v>4</v>
      </c>
      <c r="C6" s="1">
        <v>1.492</v>
      </c>
      <c r="D6" s="1">
        <v>1.492</v>
      </c>
      <c r="E6" s="1">
        <v>1.492</v>
      </c>
      <c r="F6" s="32">
        <f t="shared" ref="F6:F23" si="0">100%-I6</f>
        <v>0.89</v>
      </c>
      <c r="G6" s="32">
        <f t="shared" ref="G6:H21" si="1">100%-J6</f>
        <v>0.89</v>
      </c>
      <c r="H6" s="32">
        <f t="shared" si="1"/>
        <v>0.89</v>
      </c>
      <c r="I6" s="20">
        <v>0.11</v>
      </c>
      <c r="J6" s="20">
        <v>0.11</v>
      </c>
      <c r="K6" s="20">
        <v>0.11</v>
      </c>
      <c r="L6" s="10"/>
      <c r="M6" s="34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4">
        <f t="shared" ref="O6:O16" si="4">$N$28/$N$26</f>
        <v>4.409920681208445E-2</v>
      </c>
      <c r="P6" s="40">
        <f t="shared" ref="P6:P16" si="5">ROUND($N$26*(($L6*$F6)/SUMPRODUCT($F$6:$F$23,$L$6:$L$23))*O6,0)</f>
        <v>0</v>
      </c>
      <c r="Q6" s="40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4">
        <f>$AB$27/$AB$26</f>
        <v>0.96007585770091119</v>
      </c>
      <c r="AB6" s="11">
        <f>ROUND($N$26*(($L6*$F6)/SUMPRODUCT($F$6:$F$23,$L$6:$L$23))*AA6,0)</f>
        <v>0</v>
      </c>
      <c r="AC6" s="34">
        <f>$AB$28/$AB$26</f>
        <v>3.9924142299088757E-2</v>
      </c>
      <c r="AD6" s="40">
        <f>ROUND($N$26*(($L6*$F6)/SUMPRODUCT($F$6:$F$23,$L$6:$L$23))*AC6,0)</f>
        <v>0</v>
      </c>
      <c r="AE6" s="40">
        <f>AB6+AD6</f>
        <v>0</v>
      </c>
      <c r="AF6" s="11">
        <f t="shared" ref="AF6:AF23" si="9">ROUNDUP(AE6/G6*J6,-2)</f>
        <v>0</v>
      </c>
      <c r="AG6" s="35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4">
        <f>$AP$27/$AP$26</f>
        <v>0.32999311079100646</v>
      </c>
      <c r="AP6" s="11">
        <f>ROUND($AP$26*(($AN6*$H6)/SUMPRODUCT($AN$6:$AN$23,$H$6:$H$23))*AO6,0)</f>
        <v>0</v>
      </c>
      <c r="AQ6" s="34">
        <f>$AP$28/$AP$26</f>
        <v>0.67000688920899354</v>
      </c>
      <c r="AR6" s="40">
        <f>ROUND($AP$26*(($AN6*$H6)/SUMPRODUCT($AN$6:$AN$23,$H$6:$H$23))*AQ6,0)</f>
        <v>0</v>
      </c>
      <c r="AS6" s="40">
        <f>AP6+AR6</f>
        <v>0</v>
      </c>
      <c r="AT6" s="11">
        <f t="shared" ref="AT6:AT23" si="10">ROUNDUP(AS6/H6*K6,-2)</f>
        <v>0</v>
      </c>
      <c r="AU6" s="35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39"/>
      <c r="BB6" s="43">
        <f>ROUND(Q6/1000,1)</f>
        <v>0</v>
      </c>
      <c r="BC6" s="44">
        <f>ROUND(AE6/1000,1)</f>
        <v>0</v>
      </c>
      <c r="BD6" s="44">
        <f t="shared" ref="BD6:BD16" si="11">ROUND(AS6/1000,1)</f>
        <v>0</v>
      </c>
      <c r="BF6" s="26"/>
      <c r="BG6" s="26"/>
      <c r="BH6" s="26"/>
    </row>
    <row r="7" spans="1:1046" ht="15" x14ac:dyDescent="0.2">
      <c r="A7" s="69">
        <v>2</v>
      </c>
      <c r="B7" s="4" t="s">
        <v>5</v>
      </c>
      <c r="C7" s="1">
        <v>1.492</v>
      </c>
      <c r="D7" s="1">
        <v>1.492</v>
      </c>
      <c r="E7" s="1">
        <v>1.492</v>
      </c>
      <c r="F7" s="32">
        <f t="shared" si="0"/>
        <v>0.9</v>
      </c>
      <c r="G7" s="32">
        <f t="shared" si="1"/>
        <v>0.9</v>
      </c>
      <c r="H7" s="32">
        <f t="shared" si="1"/>
        <v>0.9</v>
      </c>
      <c r="I7" s="20">
        <v>0.1</v>
      </c>
      <c r="J7" s="20">
        <v>0.1</v>
      </c>
      <c r="K7" s="20">
        <v>0.1</v>
      </c>
      <c r="L7" s="12">
        <v>1</v>
      </c>
      <c r="M7" s="34">
        <f t="shared" si="2"/>
        <v>0.95590079318791554</v>
      </c>
      <c r="N7" s="11">
        <f t="shared" si="3"/>
        <v>1880591</v>
      </c>
      <c r="O7" s="34">
        <f t="shared" si="4"/>
        <v>4.409920681208445E-2</v>
      </c>
      <c r="P7" s="40">
        <f>ROUND($N$26*(($L7*$F7)/SUMPRODUCT($F$6:$F$23,$L$6:$L$23))*O7,0)</f>
        <v>86759</v>
      </c>
      <c r="Q7" s="40">
        <f t="shared" si="6"/>
        <v>1967350</v>
      </c>
      <c r="R7" s="11">
        <f t="shared" si="7"/>
        <v>218600</v>
      </c>
      <c r="S7" s="35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4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4">
        <f t="shared" ref="AC7:AC23" si="16">$AB$28/$AB$26</f>
        <v>3.9924142299088757E-2</v>
      </c>
      <c r="AD7" s="11">
        <f>ROUND($AB$26*(($Z7*$G7)/SUMPRODUCT($Z$7:$Z$23,$G$7:$G$23))*AC7,0)</f>
        <v>0</v>
      </c>
      <c r="AE7" s="40">
        <f t="shared" ref="AE7:AE23" si="17">AB7+AD7</f>
        <v>0</v>
      </c>
      <c r="AF7" s="11">
        <f t="shared" si="9"/>
        <v>0</v>
      </c>
      <c r="AG7" s="35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4">
        <f t="shared" ref="AO7:AO23" si="22">$AP$27/$AP$26</f>
        <v>0.32999311079100646</v>
      </c>
      <c r="AP7" s="11">
        <f>ROUND($AP$26*(($AN7*$H7)/SUMPRODUCT($AN$6:$AN$23,$H$6:$H$23))*AO7,0)</f>
        <v>0</v>
      </c>
      <c r="AQ7" s="34">
        <f t="shared" ref="AQ7:AQ23" si="23">$AP$28/$AP$26</f>
        <v>0.67000688920899354</v>
      </c>
      <c r="AR7" s="40">
        <f>ROUND($AP$26*(($AN7*$H7)/SUMPRODUCT($AN$6:$AN$23,$H$6:$H$23))*AQ7,0)</f>
        <v>0</v>
      </c>
      <c r="AS7" s="40">
        <f t="shared" ref="AS7:AS23" si="24">AP7+AR7</f>
        <v>0</v>
      </c>
      <c r="AT7" s="11">
        <f t="shared" si="10"/>
        <v>0</v>
      </c>
      <c r="AU7" s="35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39"/>
      <c r="BB7" s="43">
        <f>ROUND(Q7/1000,1)</f>
        <v>1967.4</v>
      </c>
      <c r="BC7" s="44">
        <f>ROUND(AE7/1000,1)</f>
        <v>0</v>
      </c>
      <c r="BD7" s="44">
        <f t="shared" si="11"/>
        <v>0</v>
      </c>
      <c r="BF7" s="26"/>
      <c r="BG7" s="26"/>
      <c r="BH7" s="26"/>
    </row>
    <row r="8" spans="1:1046" ht="15" x14ac:dyDescent="0.2">
      <c r="A8" s="69">
        <v>3</v>
      </c>
      <c r="B8" s="4" t="s">
        <v>6</v>
      </c>
      <c r="C8" s="1">
        <v>1.492</v>
      </c>
      <c r="D8" s="1">
        <v>1.492</v>
      </c>
      <c r="E8" s="1">
        <v>1.492</v>
      </c>
      <c r="F8" s="32">
        <f t="shared" si="0"/>
        <v>0.9</v>
      </c>
      <c r="G8" s="32">
        <f t="shared" si="1"/>
        <v>0.9</v>
      </c>
      <c r="H8" s="32">
        <f t="shared" si="1"/>
        <v>0.9</v>
      </c>
      <c r="I8" s="20">
        <v>0.1</v>
      </c>
      <c r="J8" s="20">
        <v>0.1</v>
      </c>
      <c r="K8" s="20">
        <v>0.1</v>
      </c>
      <c r="L8" s="12">
        <v>1</v>
      </c>
      <c r="M8" s="34">
        <f t="shared" si="2"/>
        <v>0.95590079318791554</v>
      </c>
      <c r="N8" s="11">
        <f t="shared" si="3"/>
        <v>1880591</v>
      </c>
      <c r="O8" s="34">
        <f t="shared" si="4"/>
        <v>4.409920681208445E-2</v>
      </c>
      <c r="P8" s="40">
        <f t="shared" si="5"/>
        <v>86759</v>
      </c>
      <c r="Q8" s="40">
        <f t="shared" si="6"/>
        <v>1967350</v>
      </c>
      <c r="R8" s="11">
        <f t="shared" si="7"/>
        <v>218600</v>
      </c>
      <c r="S8" s="35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4">
        <f t="shared" si="14"/>
        <v>0.96007585770091119</v>
      </c>
      <c r="AB8" s="11">
        <f t="shared" si="15"/>
        <v>0</v>
      </c>
      <c r="AC8" s="34">
        <f t="shared" si="16"/>
        <v>3.9924142299088757E-2</v>
      </c>
      <c r="AD8" s="11">
        <f>ROUND($AB$26*(($Z8*$G8)/SUMPRODUCT($Z$7:$Z$23,$G$7:$G$23))*AC8,0)</f>
        <v>0</v>
      </c>
      <c r="AE8" s="40">
        <f t="shared" si="17"/>
        <v>0</v>
      </c>
      <c r="AF8" s="11">
        <f t="shared" si="9"/>
        <v>0</v>
      </c>
      <c r="AG8" s="35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4">
        <f t="shared" si="22"/>
        <v>0.32999311079100646</v>
      </c>
      <c r="AP8" s="11">
        <f>ROUND($AP$26*(($AN8*$H8)/SUMPRODUCT($AN$6:$AN$23,$H$6:$H$23))*AO8,0)</f>
        <v>0</v>
      </c>
      <c r="AQ8" s="34">
        <f t="shared" si="23"/>
        <v>0.67000688920899354</v>
      </c>
      <c r="AR8" s="40">
        <f>ROUND($AP$26*(($AN8*$H8)/SUMPRODUCT($AN$6:$AN$23,$H$6:$H$23))*AQ8,0)</f>
        <v>0</v>
      </c>
      <c r="AS8" s="40">
        <f t="shared" si="24"/>
        <v>0</v>
      </c>
      <c r="AT8" s="11">
        <f t="shared" si="10"/>
        <v>0</v>
      </c>
      <c r="AU8" s="35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39"/>
      <c r="BB8" s="43">
        <f>ROUND(Q8/1000,1)</f>
        <v>1967.4</v>
      </c>
      <c r="BC8" s="44">
        <f>ROUND(AE8/1000,1)</f>
        <v>0</v>
      </c>
      <c r="BD8" s="44">
        <f t="shared" si="11"/>
        <v>0</v>
      </c>
      <c r="BF8" s="26"/>
      <c r="BG8" s="26"/>
      <c r="BH8" s="26"/>
    </row>
    <row r="9" spans="1:1046" ht="15" x14ac:dyDescent="0.2">
      <c r="A9" s="69">
        <v>4</v>
      </c>
      <c r="B9" s="4" t="s">
        <v>7</v>
      </c>
      <c r="C9" s="1">
        <v>1.492</v>
      </c>
      <c r="D9" s="1">
        <v>1.492</v>
      </c>
      <c r="E9" s="1">
        <v>1.492</v>
      </c>
      <c r="F9" s="32">
        <f t="shared" si="0"/>
        <v>0.9</v>
      </c>
      <c r="G9" s="32">
        <f t="shared" si="1"/>
        <v>0.9</v>
      </c>
      <c r="H9" s="32">
        <f t="shared" si="1"/>
        <v>0.9</v>
      </c>
      <c r="I9" s="20">
        <v>0.1</v>
      </c>
      <c r="J9" s="20">
        <v>0.1</v>
      </c>
      <c r="K9" s="20">
        <v>0.1</v>
      </c>
      <c r="L9" s="12"/>
      <c r="M9" s="34">
        <f t="shared" si="2"/>
        <v>0.95590079318791554</v>
      </c>
      <c r="N9" s="11">
        <f t="shared" si="3"/>
        <v>0</v>
      </c>
      <c r="O9" s="34">
        <f t="shared" si="4"/>
        <v>4.409920681208445E-2</v>
      </c>
      <c r="P9" s="40">
        <f t="shared" si="5"/>
        <v>0</v>
      </c>
      <c r="Q9" s="40">
        <f t="shared" si="6"/>
        <v>0</v>
      </c>
      <c r="R9" s="11">
        <f t="shared" si="7"/>
        <v>0</v>
      </c>
      <c r="S9" s="35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4">
        <f t="shared" si="14"/>
        <v>0.96007585770091119</v>
      </c>
      <c r="AB9" s="11">
        <f t="shared" si="15"/>
        <v>0</v>
      </c>
      <c r="AC9" s="34">
        <f t="shared" si="16"/>
        <v>3.9924142299088757E-2</v>
      </c>
      <c r="AD9" s="11">
        <f>ROUND($AB$26*(($Z9*$G9)/SUMPRODUCT($Z$7:$Z$23,$G$7:$G$23))*AC9,0)</f>
        <v>0</v>
      </c>
      <c r="AE9" s="40">
        <f t="shared" si="17"/>
        <v>0</v>
      </c>
      <c r="AF9" s="11">
        <f t="shared" si="9"/>
        <v>0</v>
      </c>
      <c r="AG9" s="35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4">
        <f t="shared" si="22"/>
        <v>0.32999311079100646</v>
      </c>
      <c r="AP9" s="11">
        <f>ROUND($AP$26*(($AN9*$H9)/SUMPRODUCT($AN$6:$AN$23,$H$6:$H$23))*AO9,0)</f>
        <v>0</v>
      </c>
      <c r="AQ9" s="34">
        <f t="shared" si="23"/>
        <v>0.67000688920899354</v>
      </c>
      <c r="AR9" s="40">
        <f>ROUND($AP$26*(($AN9*$H9)/SUMPRODUCT($AN$6:$AN$23,$H$6:$H$23))*AQ9,0)</f>
        <v>0</v>
      </c>
      <c r="AS9" s="40">
        <f t="shared" si="24"/>
        <v>0</v>
      </c>
      <c r="AT9" s="11">
        <f t="shared" si="10"/>
        <v>0</v>
      </c>
      <c r="AU9" s="35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39"/>
      <c r="BB9" s="43">
        <f>ROUND(Q9/1000,1)</f>
        <v>0</v>
      </c>
      <c r="BC9" s="44">
        <f>ROUND(AE9/1000,1)</f>
        <v>0</v>
      </c>
      <c r="BD9" s="44">
        <f t="shared" si="11"/>
        <v>0</v>
      </c>
      <c r="BF9" s="26"/>
      <c r="BG9" s="26"/>
      <c r="BH9" s="26"/>
    </row>
    <row r="10" spans="1:1046" ht="15" x14ac:dyDescent="0.2">
      <c r="A10" s="69">
        <v>5</v>
      </c>
      <c r="B10" s="4" t="s">
        <v>8</v>
      </c>
      <c r="C10" s="1">
        <v>1.492</v>
      </c>
      <c r="D10" s="1">
        <v>1.492</v>
      </c>
      <c r="E10" s="1">
        <v>1.492</v>
      </c>
      <c r="F10" s="32">
        <f t="shared" si="0"/>
        <v>0.88</v>
      </c>
      <c r="G10" s="32">
        <f t="shared" si="1"/>
        <v>0.88</v>
      </c>
      <c r="H10" s="32">
        <f t="shared" si="1"/>
        <v>0.89</v>
      </c>
      <c r="I10" s="20">
        <v>0.12</v>
      </c>
      <c r="J10" s="20">
        <v>0.12</v>
      </c>
      <c r="K10" s="20">
        <v>0.11</v>
      </c>
      <c r="L10" s="12">
        <v>3</v>
      </c>
      <c r="M10" s="34">
        <f t="shared" si="2"/>
        <v>0.95590079318791554</v>
      </c>
      <c r="N10" s="11">
        <f t="shared" si="3"/>
        <v>5516401</v>
      </c>
      <c r="O10" s="34">
        <f t="shared" si="4"/>
        <v>4.409920681208445E-2</v>
      </c>
      <c r="P10" s="40">
        <f t="shared" si="5"/>
        <v>254492</v>
      </c>
      <c r="Q10" s="40">
        <f t="shared" si="6"/>
        <v>5770893</v>
      </c>
      <c r="R10" s="11">
        <f t="shared" si="7"/>
        <v>787000</v>
      </c>
      <c r="S10" s="35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4">
        <f t="shared" si="14"/>
        <v>0.96007585770091119</v>
      </c>
      <c r="AB10" s="11">
        <f t="shared" si="15"/>
        <v>0</v>
      </c>
      <c r="AC10" s="34">
        <f t="shared" si="16"/>
        <v>3.9924142299088757E-2</v>
      </c>
      <c r="AD10" s="11">
        <f>ROUND($AB$26*(($Z10*$G10)/SUMPRODUCT($Z$7:$Z$23,$G$7:$G$23))*AC10,0)</f>
        <v>0</v>
      </c>
      <c r="AE10" s="40">
        <f t="shared" si="17"/>
        <v>0</v>
      </c>
      <c r="AF10" s="11">
        <f t="shared" si="9"/>
        <v>0</v>
      </c>
      <c r="AG10" s="35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4">
        <f t="shared" si="22"/>
        <v>0.32999311079100646</v>
      </c>
      <c r="AP10" s="11">
        <f>ROUND($AP$26*(($AN10*$H10)/SUMPRODUCT($AN$6:$AN$23,$H$6:$H$23))*AO10,0)</f>
        <v>0</v>
      </c>
      <c r="AQ10" s="34">
        <f t="shared" si="23"/>
        <v>0.67000688920899354</v>
      </c>
      <c r="AR10" s="40">
        <f>ROUND($AP$26*(($AN10*$H10)/SUMPRODUCT($AN$6:$AN$23,$H$6:$H$23))*AQ10,0)</f>
        <v>0</v>
      </c>
      <c r="AS10" s="40">
        <f t="shared" si="24"/>
        <v>0</v>
      </c>
      <c r="AT10" s="11">
        <f t="shared" si="10"/>
        <v>0</v>
      </c>
      <c r="AU10" s="35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39"/>
      <c r="BB10" s="43">
        <f>ROUNDDOWN(Q10/1000,1)</f>
        <v>5770.8</v>
      </c>
      <c r="BC10" s="44">
        <f>ROUND(AE10/1000,1)</f>
        <v>0</v>
      </c>
      <c r="BD10" s="44">
        <f t="shared" si="11"/>
        <v>0</v>
      </c>
      <c r="BF10" s="26"/>
      <c r="BG10" s="26"/>
      <c r="BH10" s="26"/>
    </row>
    <row r="11" spans="1:1046" ht="15" x14ac:dyDescent="0.2">
      <c r="A11" s="69">
        <v>6</v>
      </c>
      <c r="B11" s="4" t="s">
        <v>9</v>
      </c>
      <c r="C11" s="1">
        <v>1.492</v>
      </c>
      <c r="D11" s="1">
        <v>1.492</v>
      </c>
      <c r="E11" s="1">
        <v>1.492</v>
      </c>
      <c r="F11" s="32">
        <f t="shared" si="0"/>
        <v>0.9</v>
      </c>
      <c r="G11" s="32">
        <f t="shared" si="1"/>
        <v>0.9</v>
      </c>
      <c r="H11" s="32">
        <f t="shared" si="1"/>
        <v>0.87</v>
      </c>
      <c r="I11" s="20">
        <v>0.1</v>
      </c>
      <c r="J11" s="20">
        <v>0.1</v>
      </c>
      <c r="K11" s="20">
        <v>0.13</v>
      </c>
      <c r="L11" s="12">
        <v>3</v>
      </c>
      <c r="M11" s="34">
        <f t="shared" si="2"/>
        <v>0.95590079318791554</v>
      </c>
      <c r="N11" s="11">
        <f t="shared" si="3"/>
        <v>5641774</v>
      </c>
      <c r="O11" s="34">
        <f t="shared" si="4"/>
        <v>4.409920681208445E-2</v>
      </c>
      <c r="P11" s="40">
        <f t="shared" si="5"/>
        <v>260276</v>
      </c>
      <c r="Q11" s="40">
        <f t="shared" si="6"/>
        <v>5902050</v>
      </c>
      <c r="R11" s="11">
        <f t="shared" si="7"/>
        <v>655800</v>
      </c>
      <c r="S11" s="35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4">
        <f t="shared" si="14"/>
        <v>0.96007585770091119</v>
      </c>
      <c r="AB11" s="11">
        <f t="shared" si="15"/>
        <v>5659813</v>
      </c>
      <c r="AC11" s="34">
        <f t="shared" si="16"/>
        <v>3.9924142299088757E-2</v>
      </c>
      <c r="AD11" s="11">
        <f>ROUND($AB$26*(($Z11*$G11)/SUMPRODUCT($Z$7:$Z$23,$G$7:$G$23))*AC11,0)</f>
        <v>235360</v>
      </c>
      <c r="AE11" s="40">
        <f t="shared" si="17"/>
        <v>5895173</v>
      </c>
      <c r="AF11" s="11">
        <f t="shared" si="9"/>
        <v>655100</v>
      </c>
      <c r="AG11" s="35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4">
        <f t="shared" si="22"/>
        <v>0.32999311079100646</v>
      </c>
      <c r="AP11" s="11">
        <f>ROUND($AP$26*(($AN11*$H11)/SUMPRODUCT($AN$6:$AN$23,$H$6:$H$23))*AO11,0)-1</f>
        <v>110192</v>
      </c>
      <c r="AQ11" s="34">
        <f t="shared" si="23"/>
        <v>0.67000688920899354</v>
      </c>
      <c r="AR11" s="40">
        <f>ROUND($AP$26*(($AN11*$H11)/SUMPRODUCT($AN$6:$AN$23,$H$6:$H$23))*AQ11,0)+1</f>
        <v>223733</v>
      </c>
      <c r="AS11" s="40">
        <f t="shared" si="24"/>
        <v>333925</v>
      </c>
      <c r="AT11" s="11">
        <f t="shared" si="10"/>
        <v>49900</v>
      </c>
      <c r="AU11" s="35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39"/>
      <c r="BB11" s="43">
        <f>ROUNDDOWN(Q11/1000,1)</f>
        <v>5902</v>
      </c>
      <c r="BC11" s="44">
        <f>ROUNDDOWN(AE11/1000,1)</f>
        <v>5895.1</v>
      </c>
      <c r="BD11" s="44">
        <f t="shared" si="11"/>
        <v>333.9</v>
      </c>
      <c r="BF11" s="26"/>
      <c r="BG11" s="26"/>
      <c r="BH11" s="26"/>
    </row>
    <row r="12" spans="1:1046" ht="15" x14ac:dyDescent="0.2">
      <c r="A12" s="69">
        <v>7</v>
      </c>
      <c r="B12" s="4" t="s">
        <v>10</v>
      </c>
      <c r="C12" s="1">
        <v>1.492</v>
      </c>
      <c r="D12" s="1">
        <v>1.492</v>
      </c>
      <c r="E12" s="1">
        <v>1.492</v>
      </c>
      <c r="F12" s="32">
        <f t="shared" si="0"/>
        <v>0.88</v>
      </c>
      <c r="G12" s="32">
        <f t="shared" si="1"/>
        <v>0.88</v>
      </c>
      <c r="H12" s="32">
        <f t="shared" si="1"/>
        <v>0.89</v>
      </c>
      <c r="I12" s="20">
        <v>0.12</v>
      </c>
      <c r="J12" s="20">
        <v>0.12</v>
      </c>
      <c r="K12" s="20">
        <v>0.11</v>
      </c>
      <c r="L12" s="12"/>
      <c r="M12" s="34">
        <f t="shared" si="2"/>
        <v>0.95590079318791554</v>
      </c>
      <c r="N12" s="11">
        <f t="shared" si="3"/>
        <v>0</v>
      </c>
      <c r="O12" s="34">
        <f t="shared" si="4"/>
        <v>4.409920681208445E-2</v>
      </c>
      <c r="P12" s="40">
        <f t="shared" si="5"/>
        <v>0</v>
      </c>
      <c r="Q12" s="40">
        <f t="shared" si="6"/>
        <v>0</v>
      </c>
      <c r="R12" s="11">
        <f t="shared" si="7"/>
        <v>0</v>
      </c>
      <c r="S12" s="35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4">
        <f t="shared" si="14"/>
        <v>0.96007585770091119</v>
      </c>
      <c r="AB12" s="11">
        <f t="shared" si="15"/>
        <v>5534039</v>
      </c>
      <c r="AC12" s="34">
        <f t="shared" si="16"/>
        <v>3.9924142299088757E-2</v>
      </c>
      <c r="AD12" s="11">
        <f>ROUND($AB$26*(($Z12*$G12)/SUMPRODUCT($Z$7:$Z$23,$G$7:$G$23))*AC12,0)+1</f>
        <v>230130</v>
      </c>
      <c r="AE12" s="40">
        <f t="shared" si="17"/>
        <v>5764169</v>
      </c>
      <c r="AF12" s="11">
        <f t="shared" si="9"/>
        <v>786100</v>
      </c>
      <c r="AG12" s="35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4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4">
        <f t="shared" si="23"/>
        <v>0.67000688920899354</v>
      </c>
      <c r="AR12" s="40">
        <f t="shared" ref="AR12:AR23" si="31">ROUND($AP$26*(($AN12*$H12)/SUMPRODUCT($AN$6:$AN$23,$H$6:$H$23))*AQ12,0)</f>
        <v>228875</v>
      </c>
      <c r="AS12" s="40">
        <f t="shared" si="24"/>
        <v>341601</v>
      </c>
      <c r="AT12" s="11">
        <f t="shared" si="10"/>
        <v>42300</v>
      </c>
      <c r="AU12" s="35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39"/>
      <c r="BB12" s="43">
        <f t="shared" ref="BB12:BB18" si="32">ROUND(Q12/1000,1)</f>
        <v>0</v>
      </c>
      <c r="BC12" s="44">
        <f>ROUNDDOWN(AE12/1000,1)</f>
        <v>5764.1</v>
      </c>
      <c r="BD12" s="44">
        <f t="shared" si="11"/>
        <v>341.6</v>
      </c>
      <c r="BF12" s="26"/>
      <c r="BG12" s="26"/>
      <c r="BH12" s="26"/>
    </row>
    <row r="13" spans="1:1046" ht="15" x14ac:dyDescent="0.2">
      <c r="A13" s="69">
        <v>8</v>
      </c>
      <c r="B13" s="4" t="s">
        <v>11</v>
      </c>
      <c r="C13" s="1">
        <v>1.492</v>
      </c>
      <c r="D13" s="1">
        <v>1.492</v>
      </c>
      <c r="E13" s="1">
        <v>1.492</v>
      </c>
      <c r="F13" s="32">
        <f t="shared" si="0"/>
        <v>0.87</v>
      </c>
      <c r="G13" s="32">
        <f t="shared" si="1"/>
        <v>0.87</v>
      </c>
      <c r="H13" s="32">
        <f t="shared" si="1"/>
        <v>0.89</v>
      </c>
      <c r="I13" s="20">
        <v>0.13</v>
      </c>
      <c r="J13" s="20">
        <v>0.13</v>
      </c>
      <c r="K13" s="20">
        <v>0.11</v>
      </c>
      <c r="L13" s="12"/>
      <c r="M13" s="34">
        <f t="shared" si="2"/>
        <v>0.95590079318791554</v>
      </c>
      <c r="N13" s="11">
        <f t="shared" si="3"/>
        <v>0</v>
      </c>
      <c r="O13" s="34">
        <f t="shared" si="4"/>
        <v>4.409920681208445E-2</v>
      </c>
      <c r="P13" s="40">
        <f t="shared" si="5"/>
        <v>0</v>
      </c>
      <c r="Q13" s="40">
        <f t="shared" si="6"/>
        <v>0</v>
      </c>
      <c r="R13" s="11">
        <f t="shared" si="7"/>
        <v>0</v>
      </c>
      <c r="S13" s="35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4">
        <f t="shared" si="14"/>
        <v>0.96007585770091119</v>
      </c>
      <c r="AB13" s="11">
        <f t="shared" si="15"/>
        <v>0</v>
      </c>
      <c r="AC13" s="34">
        <f t="shared" si="16"/>
        <v>3.9924142299088757E-2</v>
      </c>
      <c r="AD13" s="11">
        <f t="shared" ref="AD13:AD23" si="33">ROUND($AB$26*(($Z13*$G13)/SUMPRODUCT($Z$7:$Z$23,$G$7:$G$23))*AC13,0)</f>
        <v>0</v>
      </c>
      <c r="AE13" s="40">
        <f t="shared" si="17"/>
        <v>0</v>
      </c>
      <c r="AF13" s="11">
        <f t="shared" si="9"/>
        <v>0</v>
      </c>
      <c r="AG13" s="35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4">
        <f t="shared" si="22"/>
        <v>0.32999311079100646</v>
      </c>
      <c r="AP13" s="11">
        <f t="shared" si="30"/>
        <v>0</v>
      </c>
      <c r="AQ13" s="34">
        <f t="shared" si="23"/>
        <v>0.67000688920899354</v>
      </c>
      <c r="AR13" s="40">
        <f t="shared" si="31"/>
        <v>0</v>
      </c>
      <c r="AS13" s="40">
        <f t="shared" si="24"/>
        <v>0</v>
      </c>
      <c r="AT13" s="11">
        <f t="shared" si="10"/>
        <v>0</v>
      </c>
      <c r="AU13" s="35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39"/>
      <c r="BB13" s="43">
        <f t="shared" si="32"/>
        <v>0</v>
      </c>
      <c r="BC13" s="44">
        <f t="shared" ref="BC13:BC23" si="34">ROUND(AE13/1000,1)</f>
        <v>0</v>
      </c>
      <c r="BD13" s="44">
        <f t="shared" si="11"/>
        <v>0</v>
      </c>
      <c r="BF13" s="26"/>
      <c r="BG13" s="26"/>
      <c r="BH13" s="26"/>
    </row>
    <row r="14" spans="1:1046" ht="15" x14ac:dyDescent="0.2">
      <c r="A14" s="69">
        <v>9</v>
      </c>
      <c r="B14" s="4" t="s">
        <v>12</v>
      </c>
      <c r="C14" s="1">
        <v>1.492</v>
      </c>
      <c r="D14" s="1">
        <v>1.492</v>
      </c>
      <c r="E14" s="1">
        <v>1.492</v>
      </c>
      <c r="F14" s="32">
        <f t="shared" si="0"/>
        <v>0.9</v>
      </c>
      <c r="G14" s="32">
        <f t="shared" si="1"/>
        <v>0.9</v>
      </c>
      <c r="H14" s="32">
        <f t="shared" si="1"/>
        <v>0.9</v>
      </c>
      <c r="I14" s="20">
        <v>0.1</v>
      </c>
      <c r="J14" s="20">
        <v>0.1</v>
      </c>
      <c r="K14" s="20">
        <v>0.1</v>
      </c>
      <c r="L14" s="12"/>
      <c r="M14" s="34">
        <f t="shared" si="2"/>
        <v>0.95590079318791554</v>
      </c>
      <c r="N14" s="11">
        <f t="shared" si="3"/>
        <v>0</v>
      </c>
      <c r="O14" s="34">
        <f t="shared" si="4"/>
        <v>4.409920681208445E-2</v>
      </c>
      <c r="P14" s="40">
        <f t="shared" si="5"/>
        <v>0</v>
      </c>
      <c r="Q14" s="40">
        <f t="shared" si="6"/>
        <v>0</v>
      </c>
      <c r="R14" s="11">
        <f t="shared" si="7"/>
        <v>0</v>
      </c>
      <c r="S14" s="35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4">
        <f t="shared" si="14"/>
        <v>0.96007585770091119</v>
      </c>
      <c r="AB14" s="11">
        <f t="shared" si="15"/>
        <v>1886604</v>
      </c>
      <c r="AC14" s="34">
        <f t="shared" si="16"/>
        <v>3.9924142299088757E-2</v>
      </c>
      <c r="AD14" s="11">
        <f t="shared" si="33"/>
        <v>78453</v>
      </c>
      <c r="AE14" s="40">
        <f t="shared" si="17"/>
        <v>1965057</v>
      </c>
      <c r="AF14" s="11">
        <f t="shared" si="9"/>
        <v>218400</v>
      </c>
      <c r="AG14" s="35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4">
        <f t="shared" si="22"/>
        <v>0.32999311079100646</v>
      </c>
      <c r="AP14" s="11">
        <f t="shared" si="30"/>
        <v>37998</v>
      </c>
      <c r="AQ14" s="34">
        <f t="shared" si="23"/>
        <v>0.67000688920899354</v>
      </c>
      <c r="AR14" s="40">
        <f t="shared" si="31"/>
        <v>77149</v>
      </c>
      <c r="AS14" s="40">
        <f t="shared" si="24"/>
        <v>115147</v>
      </c>
      <c r="AT14" s="11">
        <f t="shared" si="10"/>
        <v>12800</v>
      </c>
      <c r="AU14" s="35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39"/>
      <c r="BB14" s="43">
        <f t="shared" si="32"/>
        <v>0</v>
      </c>
      <c r="BC14" s="44">
        <f t="shared" si="34"/>
        <v>1965.1</v>
      </c>
      <c r="BD14" s="44">
        <f t="shared" si="11"/>
        <v>115.1</v>
      </c>
      <c r="BF14" s="26"/>
      <c r="BG14" s="26"/>
      <c r="BH14" s="26"/>
    </row>
    <row r="15" spans="1:1046" ht="15" x14ac:dyDescent="0.2">
      <c r="A15" s="69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2">
        <f t="shared" si="0"/>
        <v>0.9</v>
      </c>
      <c r="G15" s="32">
        <f t="shared" si="1"/>
        <v>0.9</v>
      </c>
      <c r="H15" s="32">
        <f t="shared" si="1"/>
        <v>0.9</v>
      </c>
      <c r="I15" s="20">
        <v>0.1</v>
      </c>
      <c r="J15" s="20">
        <v>0.1</v>
      </c>
      <c r="K15" s="20">
        <v>0.1</v>
      </c>
      <c r="L15" s="12">
        <v>1</v>
      </c>
      <c r="M15" s="34">
        <f t="shared" si="2"/>
        <v>0.95590079318791554</v>
      </c>
      <c r="N15" s="11">
        <f t="shared" si="3"/>
        <v>1880591</v>
      </c>
      <c r="O15" s="34">
        <f t="shared" si="4"/>
        <v>4.409920681208445E-2</v>
      </c>
      <c r="P15" s="40">
        <f t="shared" si="5"/>
        <v>86759</v>
      </c>
      <c r="Q15" s="40">
        <f t="shared" si="6"/>
        <v>1967350</v>
      </c>
      <c r="R15" s="11">
        <f t="shared" si="7"/>
        <v>218600</v>
      </c>
      <c r="S15" s="35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4">
        <f t="shared" si="14"/>
        <v>0.96007585770091119</v>
      </c>
      <c r="AB15" s="11">
        <f t="shared" si="15"/>
        <v>3773209</v>
      </c>
      <c r="AC15" s="34">
        <f t="shared" si="16"/>
        <v>3.9924142299088757E-2</v>
      </c>
      <c r="AD15" s="11">
        <f t="shared" si="33"/>
        <v>156906</v>
      </c>
      <c r="AE15" s="40">
        <f t="shared" si="17"/>
        <v>3930115</v>
      </c>
      <c r="AF15" s="11">
        <f t="shared" si="9"/>
        <v>436700</v>
      </c>
      <c r="AG15" s="35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4">
        <f t="shared" si="22"/>
        <v>0.32999311079100646</v>
      </c>
      <c r="AP15" s="11">
        <f t="shared" si="30"/>
        <v>75995</v>
      </c>
      <c r="AQ15" s="34">
        <f t="shared" si="23"/>
        <v>0.67000688920899354</v>
      </c>
      <c r="AR15" s="40">
        <f t="shared" si="31"/>
        <v>154298</v>
      </c>
      <c r="AS15" s="40">
        <f t="shared" si="24"/>
        <v>230293</v>
      </c>
      <c r="AT15" s="11">
        <f t="shared" si="10"/>
        <v>25600</v>
      </c>
      <c r="AU15" s="35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39"/>
      <c r="BB15" s="43">
        <f t="shared" si="32"/>
        <v>1967.4</v>
      </c>
      <c r="BC15" s="44">
        <f t="shared" si="34"/>
        <v>3930.1</v>
      </c>
      <c r="BD15" s="44">
        <f t="shared" si="11"/>
        <v>230.3</v>
      </c>
      <c r="BF15" s="26"/>
      <c r="BG15" s="26"/>
      <c r="BH15" s="26"/>
    </row>
    <row r="16" spans="1:1046" ht="15" x14ac:dyDescent="0.2">
      <c r="A16" s="69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2">
        <f t="shared" si="0"/>
        <v>0.89</v>
      </c>
      <c r="G16" s="32">
        <f t="shared" si="1"/>
        <v>0.89</v>
      </c>
      <c r="H16" s="32">
        <f t="shared" si="1"/>
        <v>0.89</v>
      </c>
      <c r="I16" s="20">
        <v>0.11</v>
      </c>
      <c r="J16" s="20">
        <v>0.11</v>
      </c>
      <c r="K16" s="20">
        <v>0.11</v>
      </c>
      <c r="L16" s="12"/>
      <c r="M16" s="34">
        <f t="shared" si="2"/>
        <v>0.95590079318791554</v>
      </c>
      <c r="N16" s="11">
        <f t="shared" si="3"/>
        <v>0</v>
      </c>
      <c r="O16" s="34">
        <f t="shared" si="4"/>
        <v>4.409920681208445E-2</v>
      </c>
      <c r="P16" s="40">
        <f t="shared" si="5"/>
        <v>0</v>
      </c>
      <c r="Q16" s="40">
        <f t="shared" si="6"/>
        <v>0</v>
      </c>
      <c r="R16" s="11">
        <f t="shared" si="7"/>
        <v>0</v>
      </c>
      <c r="S16" s="35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4">
        <f t="shared" si="14"/>
        <v>0.96007585770091119</v>
      </c>
      <c r="AB16" s="11">
        <f t="shared" si="15"/>
        <v>0</v>
      </c>
      <c r="AC16" s="34">
        <f t="shared" si="16"/>
        <v>3.9924142299088757E-2</v>
      </c>
      <c r="AD16" s="11">
        <f t="shared" si="33"/>
        <v>0</v>
      </c>
      <c r="AE16" s="40">
        <f t="shared" si="17"/>
        <v>0</v>
      </c>
      <c r="AF16" s="11">
        <f t="shared" si="9"/>
        <v>0</v>
      </c>
      <c r="AG16" s="35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4">
        <f t="shared" si="22"/>
        <v>0.32999311079100646</v>
      </c>
      <c r="AP16" s="11">
        <f t="shared" si="30"/>
        <v>0</v>
      </c>
      <c r="AQ16" s="34">
        <f t="shared" si="23"/>
        <v>0.67000688920899354</v>
      </c>
      <c r="AR16" s="40">
        <f t="shared" si="31"/>
        <v>0</v>
      </c>
      <c r="AS16" s="40">
        <f t="shared" si="24"/>
        <v>0</v>
      </c>
      <c r="AT16" s="11">
        <f t="shared" si="10"/>
        <v>0</v>
      </c>
      <c r="AU16" s="35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39"/>
      <c r="BB16" s="43">
        <f t="shared" si="32"/>
        <v>0</v>
      </c>
      <c r="BC16" s="44">
        <f t="shared" si="34"/>
        <v>0</v>
      </c>
      <c r="BD16" s="44">
        <f t="shared" si="11"/>
        <v>0</v>
      </c>
      <c r="BF16" s="26"/>
      <c r="BG16" s="26"/>
      <c r="BH16" s="26"/>
    </row>
    <row r="17" spans="1:1046" ht="15" x14ac:dyDescent="0.2">
      <c r="A17" s="69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2">
        <f t="shared" si="0"/>
        <v>0.91</v>
      </c>
      <c r="G17" s="32">
        <f t="shared" si="1"/>
        <v>0.91</v>
      </c>
      <c r="H17" s="32">
        <f t="shared" si="1"/>
        <v>0.9</v>
      </c>
      <c r="I17" s="20">
        <v>0.09</v>
      </c>
      <c r="J17" s="20">
        <v>0.09</v>
      </c>
      <c r="K17" s="20">
        <v>0.1</v>
      </c>
      <c r="L17" s="12">
        <v>1</v>
      </c>
      <c r="M17" s="34">
        <f t="shared" si="2"/>
        <v>0.95590079318791554</v>
      </c>
      <c r="N17" s="11">
        <f>ROUND($N$26*(($L17*$F17)/SUMPRODUCT($F$6:$F$23,$L$6:$L$23))*M17,0)</f>
        <v>1901487</v>
      </c>
      <c r="O17" s="34">
        <f>$N$28/$N$26</f>
        <v>4.409920681208445E-2</v>
      </c>
      <c r="P17" s="40">
        <f>ROUND($N$26*(($L17*$F17)/SUMPRODUCT($F$6:$F$23,$L$6:$L$23))*O17,0)-3</f>
        <v>87720</v>
      </c>
      <c r="Q17" s="40">
        <f t="shared" si="6"/>
        <v>1989207</v>
      </c>
      <c r="R17" s="11">
        <f t="shared" si="7"/>
        <v>196800</v>
      </c>
      <c r="S17" s="35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4">
        <f t="shared" si="14"/>
        <v>0.96007585770091119</v>
      </c>
      <c r="AB17" s="11">
        <f t="shared" si="15"/>
        <v>1907567</v>
      </c>
      <c r="AC17" s="34">
        <f t="shared" si="16"/>
        <v>3.9924142299088757E-2</v>
      </c>
      <c r="AD17" s="11">
        <f t="shared" si="33"/>
        <v>79325</v>
      </c>
      <c r="AE17" s="40">
        <f t="shared" si="17"/>
        <v>1986892</v>
      </c>
      <c r="AF17" s="11">
        <f t="shared" si="9"/>
        <v>196600</v>
      </c>
      <c r="AG17" s="35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4">
        <f t="shared" si="22"/>
        <v>0.32999311079100646</v>
      </c>
      <c r="AP17" s="11">
        <f t="shared" si="30"/>
        <v>37998</v>
      </c>
      <c r="AQ17" s="34">
        <f t="shared" si="23"/>
        <v>0.67000688920899354</v>
      </c>
      <c r="AR17" s="40">
        <f t="shared" si="31"/>
        <v>77149</v>
      </c>
      <c r="AS17" s="40">
        <f t="shared" si="24"/>
        <v>115147</v>
      </c>
      <c r="AT17" s="11">
        <f t="shared" si="10"/>
        <v>12800</v>
      </c>
      <c r="AU17" s="35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39"/>
      <c r="BB17" s="43">
        <f t="shared" si="32"/>
        <v>1989.2</v>
      </c>
      <c r="BC17" s="44">
        <f t="shared" si="34"/>
        <v>1986.9</v>
      </c>
      <c r="BD17" s="44">
        <f>ROUNDUP(AS17/1000,1)</f>
        <v>115.19999999999999</v>
      </c>
      <c r="BF17" s="26"/>
      <c r="BG17" s="26"/>
      <c r="BH17" s="26"/>
    </row>
    <row r="18" spans="1:1046" ht="15" x14ac:dyDescent="0.2">
      <c r="A18" s="69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2">
        <f t="shared" si="0"/>
        <v>0.9</v>
      </c>
      <c r="G18" s="32">
        <f t="shared" si="1"/>
        <v>0.9</v>
      </c>
      <c r="H18" s="32">
        <f t="shared" si="1"/>
        <v>0.9</v>
      </c>
      <c r="I18" s="20">
        <v>0.1</v>
      </c>
      <c r="J18" s="20">
        <v>0.1</v>
      </c>
      <c r="K18" s="20">
        <v>0.1</v>
      </c>
      <c r="L18" s="12"/>
      <c r="M18" s="34">
        <f t="shared" si="2"/>
        <v>0.95590079318791554</v>
      </c>
      <c r="N18" s="11">
        <f t="shared" si="3"/>
        <v>0</v>
      </c>
      <c r="O18" s="34">
        <f t="shared" ref="O18:O23" si="35">$N$28/$N$26</f>
        <v>4.409920681208445E-2</v>
      </c>
      <c r="P18" s="40">
        <f t="shared" ref="P18:P23" si="36">ROUND($N$26*(($L18*$F18)/SUMPRODUCT($F$6:$F$23,$L$6:$L$23))*O18,0)</f>
        <v>0</v>
      </c>
      <c r="Q18" s="40">
        <f t="shared" si="6"/>
        <v>0</v>
      </c>
      <c r="R18" s="11">
        <f t="shared" si="7"/>
        <v>0</v>
      </c>
      <c r="S18" s="35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4">
        <f t="shared" si="14"/>
        <v>0.96007585770091119</v>
      </c>
      <c r="AB18" s="11">
        <f t="shared" si="15"/>
        <v>1886604</v>
      </c>
      <c r="AC18" s="34">
        <f t="shared" si="16"/>
        <v>3.9924142299088757E-2</v>
      </c>
      <c r="AD18" s="11">
        <f t="shared" si="33"/>
        <v>78453</v>
      </c>
      <c r="AE18" s="40">
        <f t="shared" si="17"/>
        <v>1965057</v>
      </c>
      <c r="AF18" s="11">
        <f t="shared" si="9"/>
        <v>218400</v>
      </c>
      <c r="AG18" s="35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4">
        <f t="shared" si="22"/>
        <v>0.32999311079100646</v>
      </c>
      <c r="AP18" s="11">
        <f t="shared" si="30"/>
        <v>37998</v>
      </c>
      <c r="AQ18" s="34">
        <f t="shared" si="23"/>
        <v>0.67000688920899354</v>
      </c>
      <c r="AR18" s="40">
        <f t="shared" si="31"/>
        <v>77149</v>
      </c>
      <c r="AS18" s="40">
        <f t="shared" si="24"/>
        <v>115147</v>
      </c>
      <c r="AT18" s="11">
        <f t="shared" si="10"/>
        <v>12800</v>
      </c>
      <c r="AU18" s="35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39"/>
      <c r="BB18" s="43">
        <f t="shared" si="32"/>
        <v>0</v>
      </c>
      <c r="BC18" s="44">
        <f t="shared" si="34"/>
        <v>1965.1</v>
      </c>
      <c r="BD18" s="44">
        <f>ROUNDUP(AS18/1000,1)</f>
        <v>115.19999999999999</v>
      </c>
      <c r="BF18" s="26"/>
      <c r="BG18" s="26"/>
      <c r="BH18" s="26"/>
    </row>
    <row r="19" spans="1:1046" ht="15" x14ac:dyDescent="0.2">
      <c r="A19" s="69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2">
        <f t="shared" si="0"/>
        <v>0.9</v>
      </c>
      <c r="G19" s="32">
        <f t="shared" si="1"/>
        <v>0.9</v>
      </c>
      <c r="H19" s="32">
        <f t="shared" si="1"/>
        <v>0.9</v>
      </c>
      <c r="I19" s="20">
        <v>0.1</v>
      </c>
      <c r="J19" s="20">
        <v>0.1</v>
      </c>
      <c r="K19" s="20">
        <v>0.1</v>
      </c>
      <c r="L19" s="12">
        <v>3</v>
      </c>
      <c r="M19" s="34">
        <f t="shared" si="2"/>
        <v>0.95590079318791554</v>
      </c>
      <c r="N19" s="11">
        <f t="shared" si="3"/>
        <v>5641774</v>
      </c>
      <c r="O19" s="34">
        <f t="shared" si="35"/>
        <v>4.409920681208445E-2</v>
      </c>
      <c r="P19" s="40">
        <f t="shared" si="36"/>
        <v>260276</v>
      </c>
      <c r="Q19" s="40">
        <f t="shared" si="6"/>
        <v>5902050</v>
      </c>
      <c r="R19" s="11">
        <f t="shared" si="7"/>
        <v>655800</v>
      </c>
      <c r="S19" s="35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4">
        <f t="shared" si="14"/>
        <v>0.96007585770091119</v>
      </c>
      <c r="AB19" s="11">
        <f t="shared" si="15"/>
        <v>1886604</v>
      </c>
      <c r="AC19" s="34">
        <f t="shared" si="16"/>
        <v>3.9924142299088757E-2</v>
      </c>
      <c r="AD19" s="11">
        <f t="shared" si="33"/>
        <v>78453</v>
      </c>
      <c r="AE19" s="40">
        <f t="shared" si="17"/>
        <v>1965057</v>
      </c>
      <c r="AF19" s="11">
        <f t="shared" si="9"/>
        <v>218400</v>
      </c>
      <c r="AG19" s="35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4">
        <f t="shared" si="22"/>
        <v>0.32999311079100646</v>
      </c>
      <c r="AP19" s="11">
        <f t="shared" si="30"/>
        <v>37998</v>
      </c>
      <c r="AQ19" s="34">
        <f t="shared" si="23"/>
        <v>0.67000688920899354</v>
      </c>
      <c r="AR19" s="40">
        <f t="shared" si="31"/>
        <v>77149</v>
      </c>
      <c r="AS19" s="40">
        <f t="shared" si="24"/>
        <v>115147</v>
      </c>
      <c r="AT19" s="11">
        <f t="shared" si="10"/>
        <v>12800</v>
      </c>
      <c r="AU19" s="35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39"/>
      <c r="BB19" s="43">
        <f>ROUNDDOWN(Q19/1000,1)</f>
        <v>5902</v>
      </c>
      <c r="BC19" s="44">
        <f t="shared" si="34"/>
        <v>1965.1</v>
      </c>
      <c r="BD19" s="44">
        <f>ROUND(AS19/1000,1)</f>
        <v>115.1</v>
      </c>
      <c r="BF19" s="26"/>
      <c r="BG19" s="26"/>
      <c r="BH19" s="26"/>
    </row>
    <row r="20" spans="1:1046" ht="15" x14ac:dyDescent="0.2">
      <c r="A20" s="69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2">
        <f t="shared" si="0"/>
        <v>0.88</v>
      </c>
      <c r="G20" s="32">
        <f t="shared" si="1"/>
        <v>0.88</v>
      </c>
      <c r="H20" s="32">
        <f t="shared" si="1"/>
        <v>0.9</v>
      </c>
      <c r="I20" s="20">
        <v>0.12</v>
      </c>
      <c r="J20" s="20">
        <v>0.12</v>
      </c>
      <c r="K20" s="20">
        <v>0.1</v>
      </c>
      <c r="L20" s="12"/>
      <c r="M20" s="34">
        <f t="shared" si="2"/>
        <v>0.95590079318791554</v>
      </c>
      <c r="N20" s="11">
        <f t="shared" si="3"/>
        <v>0</v>
      </c>
      <c r="O20" s="34">
        <f t="shared" si="35"/>
        <v>4.409920681208445E-2</v>
      </c>
      <c r="P20" s="40">
        <f t="shared" si="36"/>
        <v>0</v>
      </c>
      <c r="Q20" s="40">
        <f t="shared" si="6"/>
        <v>0</v>
      </c>
      <c r="R20" s="11">
        <f t="shared" si="7"/>
        <v>0</v>
      </c>
      <c r="S20" s="35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4">
        <f t="shared" si="14"/>
        <v>0.96007585770091119</v>
      </c>
      <c r="AB20" s="11">
        <f t="shared" si="15"/>
        <v>3689360</v>
      </c>
      <c r="AC20" s="34">
        <f t="shared" si="16"/>
        <v>3.9924142299088757E-2</v>
      </c>
      <c r="AD20" s="11">
        <f t="shared" si="33"/>
        <v>153420</v>
      </c>
      <c r="AE20" s="40">
        <f t="shared" si="17"/>
        <v>3842780</v>
      </c>
      <c r="AF20" s="11">
        <f t="shared" si="9"/>
        <v>524100</v>
      </c>
      <c r="AG20" s="35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4">
        <f t="shared" si="22"/>
        <v>0.32999311079100646</v>
      </c>
      <c r="AP20" s="11">
        <f t="shared" si="30"/>
        <v>75995</v>
      </c>
      <c r="AQ20" s="34">
        <f t="shared" si="23"/>
        <v>0.67000688920899354</v>
      </c>
      <c r="AR20" s="40">
        <f t="shared" si="31"/>
        <v>154298</v>
      </c>
      <c r="AS20" s="40">
        <f t="shared" si="24"/>
        <v>230293</v>
      </c>
      <c r="AT20" s="11">
        <f t="shared" si="10"/>
        <v>25600</v>
      </c>
      <c r="AU20" s="35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39"/>
      <c r="BB20" s="43">
        <f>ROUND(Q20/1000,1)</f>
        <v>0</v>
      </c>
      <c r="BC20" s="44">
        <f t="shared" si="34"/>
        <v>3842.8</v>
      </c>
      <c r="BD20" s="44">
        <f>ROUND(AS20/1000,1)</f>
        <v>230.3</v>
      </c>
      <c r="BF20" s="26"/>
      <c r="BG20" s="26"/>
      <c r="BH20" s="26"/>
    </row>
    <row r="21" spans="1:1046" ht="15" x14ac:dyDescent="0.2">
      <c r="A21" s="69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2">
        <f t="shared" si="0"/>
        <v>0.91</v>
      </c>
      <c r="G21" s="32">
        <f t="shared" si="1"/>
        <v>0.91</v>
      </c>
      <c r="H21" s="32">
        <f t="shared" si="1"/>
        <v>0.9</v>
      </c>
      <c r="I21" s="20">
        <v>0.09</v>
      </c>
      <c r="J21" s="20">
        <v>0.09</v>
      </c>
      <c r="K21" s="20">
        <v>0.1</v>
      </c>
      <c r="L21" s="12"/>
      <c r="M21" s="34">
        <f t="shared" si="2"/>
        <v>0.95590079318791554</v>
      </c>
      <c r="N21" s="11">
        <f t="shared" si="3"/>
        <v>0</v>
      </c>
      <c r="O21" s="34">
        <f t="shared" si="35"/>
        <v>4.409920681208445E-2</v>
      </c>
      <c r="P21" s="40">
        <f t="shared" si="36"/>
        <v>0</v>
      </c>
      <c r="Q21" s="40">
        <f t="shared" si="6"/>
        <v>0</v>
      </c>
      <c r="R21" s="11">
        <f t="shared" si="7"/>
        <v>0</v>
      </c>
      <c r="S21" s="35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4">
        <f t="shared" si="14"/>
        <v>0.96007585770091119</v>
      </c>
      <c r="AB21" s="11">
        <f t="shared" si="15"/>
        <v>0</v>
      </c>
      <c r="AC21" s="34">
        <f t="shared" si="16"/>
        <v>3.9924142299088757E-2</v>
      </c>
      <c r="AD21" s="11">
        <f t="shared" si="33"/>
        <v>0</v>
      </c>
      <c r="AE21" s="40">
        <f t="shared" si="17"/>
        <v>0</v>
      </c>
      <c r="AF21" s="11">
        <f t="shared" si="9"/>
        <v>0</v>
      </c>
      <c r="AG21" s="35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4">
        <f t="shared" si="22"/>
        <v>0.32999311079100646</v>
      </c>
      <c r="AP21" s="11">
        <f t="shared" si="30"/>
        <v>0</v>
      </c>
      <c r="AQ21" s="34">
        <f t="shared" si="23"/>
        <v>0.67000688920899354</v>
      </c>
      <c r="AR21" s="40">
        <f t="shared" si="31"/>
        <v>0</v>
      </c>
      <c r="AS21" s="40">
        <f t="shared" si="24"/>
        <v>0</v>
      </c>
      <c r="AT21" s="11">
        <f t="shared" si="10"/>
        <v>0</v>
      </c>
      <c r="AU21" s="35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39"/>
      <c r="BB21" s="43">
        <f>ROUND(Q21/1000,1)</f>
        <v>0</v>
      </c>
      <c r="BC21" s="44">
        <f t="shared" si="34"/>
        <v>0</v>
      </c>
      <c r="BD21" s="44">
        <f>ROUND(AS21/1000,1)</f>
        <v>0</v>
      </c>
      <c r="BF21" s="26"/>
      <c r="BG21" s="26"/>
      <c r="BH21" s="26"/>
    </row>
    <row r="22" spans="1:1046" ht="15" x14ac:dyDescent="0.2">
      <c r="A22" s="69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2">
        <f t="shared" si="0"/>
        <v>0.9</v>
      </c>
      <c r="G22" s="32">
        <f>100%-J22</f>
        <v>0.9</v>
      </c>
      <c r="H22" s="32">
        <f>100%-K22</f>
        <v>0.9</v>
      </c>
      <c r="I22" s="20">
        <v>0.1</v>
      </c>
      <c r="J22" s="20">
        <v>0.1</v>
      </c>
      <c r="K22" s="20">
        <v>0.1</v>
      </c>
      <c r="L22" s="12">
        <v>1</v>
      </c>
      <c r="M22" s="34">
        <f t="shared" si="2"/>
        <v>0.95590079318791554</v>
      </c>
      <c r="N22" s="11">
        <f t="shared" si="3"/>
        <v>1880591</v>
      </c>
      <c r="O22" s="34">
        <f t="shared" si="35"/>
        <v>4.409920681208445E-2</v>
      </c>
      <c r="P22" s="40">
        <f t="shared" si="36"/>
        <v>86759</v>
      </c>
      <c r="Q22" s="40">
        <f t="shared" si="6"/>
        <v>1967350</v>
      </c>
      <c r="R22" s="11">
        <f t="shared" si="7"/>
        <v>218600</v>
      </c>
      <c r="S22" s="35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4">
        <f t="shared" si="14"/>
        <v>0.96007585770091119</v>
      </c>
      <c r="AB22" s="11">
        <f t="shared" si="15"/>
        <v>0</v>
      </c>
      <c r="AC22" s="34">
        <f t="shared" si="16"/>
        <v>3.9924142299088757E-2</v>
      </c>
      <c r="AD22" s="11">
        <f t="shared" si="33"/>
        <v>0</v>
      </c>
      <c r="AE22" s="40">
        <f t="shared" si="17"/>
        <v>0</v>
      </c>
      <c r="AF22" s="11">
        <f t="shared" si="9"/>
        <v>0</v>
      </c>
      <c r="AG22" s="35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4">
        <f t="shared" si="22"/>
        <v>0.32999311079100646</v>
      </c>
      <c r="AP22" s="11">
        <f t="shared" si="30"/>
        <v>0</v>
      </c>
      <c r="AQ22" s="34">
        <f t="shared" si="23"/>
        <v>0.67000688920899354</v>
      </c>
      <c r="AR22" s="40">
        <f t="shared" si="31"/>
        <v>0</v>
      </c>
      <c r="AS22" s="40">
        <f t="shared" si="24"/>
        <v>0</v>
      </c>
      <c r="AT22" s="11">
        <f t="shared" si="10"/>
        <v>0</v>
      </c>
      <c r="AU22" s="35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39"/>
      <c r="BB22" s="43">
        <f>ROUND(Q22/1000,1)</f>
        <v>1967.4</v>
      </c>
      <c r="BC22" s="44">
        <f t="shared" si="34"/>
        <v>0</v>
      </c>
      <c r="BD22" s="44">
        <f>ROUND(AS22/1000,1)</f>
        <v>0</v>
      </c>
      <c r="BF22" s="26"/>
      <c r="BG22" s="26"/>
      <c r="BH22" s="26"/>
    </row>
    <row r="23" spans="1:1046" ht="15" x14ac:dyDescent="0.2">
      <c r="A23" s="69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2">
        <f t="shared" si="0"/>
        <v>0.75</v>
      </c>
      <c r="G23" s="32">
        <f>100%-J23</f>
        <v>0.75</v>
      </c>
      <c r="H23" s="32">
        <f>100%-K23</f>
        <v>0.77</v>
      </c>
      <c r="I23" s="20">
        <v>0.25</v>
      </c>
      <c r="J23" s="20">
        <v>0.25</v>
      </c>
      <c r="K23" s="20">
        <v>0.23</v>
      </c>
      <c r="L23" s="12"/>
      <c r="M23" s="34">
        <f t="shared" si="2"/>
        <v>0.95590079318791554</v>
      </c>
      <c r="N23" s="11">
        <f t="shared" si="3"/>
        <v>0</v>
      </c>
      <c r="O23" s="34">
        <f t="shared" si="35"/>
        <v>4.409920681208445E-2</v>
      </c>
      <c r="P23" s="40">
        <f t="shared" si="36"/>
        <v>0</v>
      </c>
      <c r="Q23" s="40">
        <f t="shared" si="6"/>
        <v>0</v>
      </c>
      <c r="R23" s="11">
        <f t="shared" si="7"/>
        <v>0</v>
      </c>
      <c r="S23" s="30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4">
        <f t="shared" si="14"/>
        <v>0.96007585770091119</v>
      </c>
      <c r="AB23" s="11">
        <f t="shared" si="15"/>
        <v>0</v>
      </c>
      <c r="AC23" s="34">
        <f t="shared" si="16"/>
        <v>3.9924142299088757E-2</v>
      </c>
      <c r="AD23" s="11">
        <f t="shared" si="33"/>
        <v>0</v>
      </c>
      <c r="AE23" s="40">
        <f t="shared" si="17"/>
        <v>0</v>
      </c>
      <c r="AF23" s="11">
        <f t="shared" si="9"/>
        <v>0</v>
      </c>
      <c r="AG23" s="35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4">
        <f t="shared" si="22"/>
        <v>0.32999311079100646</v>
      </c>
      <c r="AP23" s="11">
        <f t="shared" si="30"/>
        <v>0</v>
      </c>
      <c r="AQ23" s="34">
        <f t="shared" si="23"/>
        <v>0.67000688920899354</v>
      </c>
      <c r="AR23" s="40">
        <f t="shared" si="31"/>
        <v>0</v>
      </c>
      <c r="AS23" s="40">
        <f t="shared" si="24"/>
        <v>0</v>
      </c>
      <c r="AT23" s="11">
        <f t="shared" si="10"/>
        <v>0</v>
      </c>
      <c r="AU23" s="35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39"/>
      <c r="BB23" s="43">
        <f>ROUND(Q23/1000,1)</f>
        <v>0</v>
      </c>
      <c r="BC23" s="44">
        <f t="shared" si="34"/>
        <v>0</v>
      </c>
      <c r="BD23" s="44">
        <f>ROUND(AS23/1000,1)</f>
        <v>0</v>
      </c>
      <c r="BF23" s="26"/>
      <c r="BG23" s="26"/>
      <c r="BH23" s="26"/>
    </row>
    <row r="24" spans="1:1046" s="24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2">
        <f t="shared" ref="P24:Z24" si="37">SUM(P6:P23)</f>
        <v>1209800</v>
      </c>
      <c r="Q24" s="22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2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1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2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1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2">
        <f>SUM(AY6:AY23)</f>
        <v>1069800</v>
      </c>
      <c r="AZ24" s="14">
        <f>SUM(AZ6:AZ23)</f>
        <v>526900</v>
      </c>
      <c r="BA24" s="66"/>
      <c r="BB24" s="45">
        <f>SUM(BB6:BB23)</f>
        <v>27433.600000000002</v>
      </c>
      <c r="BC24" s="45">
        <f>SUM(BC6:BC23)</f>
        <v>27314.3</v>
      </c>
      <c r="BD24" s="45">
        <f>SUM(BD6:BD23)</f>
        <v>1596.7</v>
      </c>
      <c r="BE24" s="23"/>
      <c r="BF24" s="27"/>
      <c r="BG24" s="27"/>
      <c r="BH24" s="27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</row>
    <row r="25" spans="1:1046" s="56" customFormat="1" x14ac:dyDescent="0.2">
      <c r="A25" s="50"/>
      <c r="B25" s="50"/>
      <c r="C25" s="51"/>
      <c r="D25" s="51"/>
      <c r="E25" s="51"/>
      <c r="F25" s="51"/>
      <c r="G25" s="51"/>
      <c r="H25" s="51"/>
      <c r="I25" s="59"/>
      <c r="J25" s="59"/>
      <c r="K25" s="59"/>
      <c r="L25" s="52"/>
      <c r="M25" s="53"/>
      <c r="N25" s="39"/>
      <c r="O25" s="53"/>
      <c r="P25" s="39"/>
      <c r="Q25" s="39"/>
      <c r="R25" s="53"/>
      <c r="S25" s="53"/>
      <c r="T25" s="53"/>
      <c r="U25" s="53"/>
      <c r="V25" s="53"/>
      <c r="W25" s="53"/>
      <c r="X25" s="53"/>
      <c r="Y25" s="53"/>
      <c r="Z25" s="54"/>
      <c r="AA25" s="54"/>
      <c r="AB25" s="54"/>
      <c r="AC25" s="55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7">
        <f>Q24</f>
        <v>27433600</v>
      </c>
      <c r="BC25" s="57">
        <f>AE24</f>
        <v>27314300</v>
      </c>
      <c r="BD25" s="57">
        <f>AS24</f>
        <v>1596700</v>
      </c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4"/>
      <c r="ALJ25" s="54"/>
      <c r="ALK25" s="54"/>
      <c r="ALL25" s="54"/>
      <c r="ALM25" s="54"/>
      <c r="ALN25" s="54"/>
      <c r="ALO25" s="54"/>
      <c r="ALP25" s="54"/>
      <c r="ALQ25" s="54"/>
      <c r="ALR25" s="54"/>
      <c r="ALS25" s="54"/>
      <c r="ALT25" s="54"/>
      <c r="ALU25" s="54"/>
      <c r="ALV25" s="54"/>
      <c r="ALW25" s="54"/>
      <c r="ALX25" s="54"/>
      <c r="ALY25" s="54"/>
      <c r="ALZ25" s="54"/>
      <c r="AMA25" s="54"/>
      <c r="AMB25" s="54"/>
      <c r="AMC25" s="54"/>
      <c r="AMD25" s="54"/>
      <c r="AME25" s="54"/>
      <c r="AMF25" s="54"/>
      <c r="AMG25" s="54"/>
      <c r="AMH25" s="54"/>
      <c r="AMI25" s="54"/>
      <c r="AMJ25" s="54"/>
      <c r="AMK25" s="54"/>
      <c r="AML25" s="54"/>
      <c r="AMM25" s="54"/>
      <c r="AMN25" s="54"/>
      <c r="AMO25" s="54"/>
      <c r="AMP25" s="54"/>
      <c r="AMQ25" s="54"/>
      <c r="AMR25" s="54"/>
      <c r="AMS25" s="54"/>
      <c r="AMT25" s="54"/>
      <c r="AMU25" s="54"/>
      <c r="AMV25" s="54"/>
      <c r="AMW25" s="54"/>
      <c r="AMX25" s="54"/>
      <c r="AMY25" s="54"/>
      <c r="AMZ25" s="54"/>
      <c r="ANA25" s="54"/>
      <c r="ANB25" s="54"/>
      <c r="ANC25" s="54"/>
      <c r="AND25" s="54"/>
      <c r="ANE25" s="54"/>
      <c r="ANF25" s="54"/>
    </row>
    <row r="26" spans="1:1046" s="49" customFormat="1" x14ac:dyDescent="0.2">
      <c r="A26" s="15"/>
      <c r="B26" s="15"/>
      <c r="C26" s="15"/>
      <c r="D26" s="15"/>
      <c r="E26" s="15"/>
      <c r="F26" s="15"/>
      <c r="G26" s="15"/>
      <c r="H26" s="15"/>
      <c r="I26" s="60"/>
      <c r="J26" s="60"/>
      <c r="K26" s="60"/>
      <c r="L26" s="15"/>
      <c r="M26" s="47"/>
      <c r="N26" s="33">
        <f>N27+N28</f>
        <v>27433600</v>
      </c>
      <c r="O26" s="33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8"/>
      <c r="AA26" s="47"/>
      <c r="AB26" s="37">
        <f>AB27+AB28</f>
        <v>27314300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7"/>
      <c r="AP26" s="37">
        <f>AP27+AP28</f>
        <v>1596700</v>
      </c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>
        <f>BB25-BB24*1000</f>
        <v>0</v>
      </c>
      <c r="BC26" s="48">
        <f>BC25-BC24*1000</f>
        <v>0</v>
      </c>
      <c r="BD26" s="48">
        <f>BD25-BD24*1000</f>
        <v>0</v>
      </c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</row>
    <row r="27" spans="1:1046" s="49" customFormat="1" x14ac:dyDescent="0.2">
      <c r="A27" s="15"/>
      <c r="B27" s="15"/>
      <c r="C27" s="15"/>
      <c r="D27" s="15"/>
      <c r="E27" s="15"/>
      <c r="F27" s="15"/>
      <c r="G27" s="15"/>
      <c r="H27" s="15"/>
      <c r="I27" s="60"/>
      <c r="J27" s="60"/>
      <c r="K27" s="60"/>
      <c r="L27" s="15"/>
      <c r="M27" s="33">
        <f>N27+N28</f>
        <v>27433600</v>
      </c>
      <c r="N27" s="46">
        <f>26223800</f>
        <v>26223800</v>
      </c>
      <c r="O27" s="46" t="s">
        <v>32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8"/>
      <c r="AA27" s="48">
        <f>AB27+AB28</f>
        <v>27314300</v>
      </c>
      <c r="AB27" s="37">
        <f>26223800</f>
        <v>26223800</v>
      </c>
      <c r="AC27" s="48" t="s">
        <v>32</v>
      </c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>
        <f>AP27+AP28</f>
        <v>1596700</v>
      </c>
      <c r="AP27" s="37">
        <v>526900</v>
      </c>
      <c r="AQ27" s="48" t="s">
        <v>32</v>
      </c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</row>
    <row r="28" spans="1:1046" s="49" customFormat="1" x14ac:dyDescent="0.2">
      <c r="A28" s="15"/>
      <c r="B28" s="15"/>
      <c r="C28" s="15"/>
      <c r="D28" s="15"/>
      <c r="E28" s="15"/>
      <c r="F28" s="15"/>
      <c r="G28" s="15"/>
      <c r="H28" s="15"/>
      <c r="I28" s="60"/>
      <c r="J28" s="60"/>
      <c r="K28" s="60"/>
      <c r="L28" s="15"/>
      <c r="M28" s="36"/>
      <c r="N28" s="37">
        <v>1209800</v>
      </c>
      <c r="O28" s="37" t="s">
        <v>33</v>
      </c>
      <c r="P28" s="38"/>
      <c r="Q28" s="38"/>
      <c r="R28" s="15"/>
      <c r="S28" s="15"/>
      <c r="T28" s="15"/>
      <c r="U28" s="15"/>
      <c r="V28" s="15"/>
      <c r="W28" s="15"/>
      <c r="X28" s="15"/>
      <c r="Y28" s="15"/>
      <c r="Z28" s="48"/>
      <c r="AA28" s="48"/>
      <c r="AB28" s="37">
        <v>1090500</v>
      </c>
      <c r="AC28" s="48" t="s">
        <v>33</v>
      </c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37">
        <v>1069800</v>
      </c>
      <c r="AQ28" s="48" t="s">
        <v>33</v>
      </c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</row>
    <row r="29" spans="1:1046" x14ac:dyDescent="0.2">
      <c r="O29" s="58"/>
    </row>
    <row r="30" spans="1:1046" x14ac:dyDescent="0.2">
      <c r="P30" s="28"/>
      <c r="Q30" s="28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47"/>
  <sheetViews>
    <sheetView tabSelected="1" zoomScaleNormal="100" zoomScaleSheetLayoutView="70" workbookViewId="0">
      <selection activeCell="A3" sqref="A3:Q3"/>
    </sheetView>
  </sheetViews>
  <sheetFormatPr defaultRowHeight="12.75" x14ac:dyDescent="0.2"/>
  <cols>
    <col min="1" max="1" width="4" style="85" customWidth="1"/>
    <col min="2" max="2" width="21" style="85" customWidth="1"/>
    <col min="3" max="5" width="7" style="85" customWidth="1"/>
    <col min="6" max="6" width="12.140625" style="85" customWidth="1"/>
    <col min="7" max="7" width="13.85546875" style="85" customWidth="1"/>
    <col min="8" max="8" width="21.28515625" style="85" customWidth="1"/>
    <col min="9" max="9" width="16.5703125" style="85" customWidth="1"/>
    <col min="10" max="11" width="17.5703125" style="85" customWidth="1"/>
    <col min="12" max="13" width="12.140625" style="85" customWidth="1"/>
    <col min="14" max="14" width="17.5703125" style="85" customWidth="1"/>
    <col min="15" max="15" width="12.140625" style="85" customWidth="1"/>
    <col min="16" max="16" width="12" style="85" customWidth="1"/>
    <col min="17" max="17" width="12.28515625" style="85" customWidth="1"/>
    <col min="18" max="985" width="9.140625" style="85" customWidth="1"/>
    <col min="986" max="16384" width="9.140625" style="85"/>
  </cols>
  <sheetData>
    <row r="1" spans="1:17" ht="15.75" x14ac:dyDescent="0.25">
      <c r="Q1" s="73" t="s">
        <v>49</v>
      </c>
    </row>
    <row r="3" spans="1:17" ht="62.25" customHeight="1" x14ac:dyDescent="0.2">
      <c r="A3" s="132" t="s">
        <v>52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</row>
    <row r="4" spans="1:17" ht="18.75" x14ac:dyDescent="0.2">
      <c r="A4" s="86"/>
      <c r="B4" s="87"/>
      <c r="C4" s="74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88"/>
      <c r="P4" s="88"/>
      <c r="Q4" s="88"/>
    </row>
    <row r="5" spans="1:17" s="89" customFormat="1" ht="20.25" customHeight="1" x14ac:dyDescent="0.25">
      <c r="A5" s="124" t="s">
        <v>0</v>
      </c>
      <c r="B5" s="124" t="s">
        <v>1</v>
      </c>
      <c r="C5" s="125"/>
      <c r="D5" s="126"/>
      <c r="E5" s="127"/>
      <c r="F5" s="131" t="s">
        <v>51</v>
      </c>
      <c r="G5" s="131"/>
      <c r="H5" s="131"/>
      <c r="I5" s="131"/>
      <c r="J5" s="131"/>
      <c r="K5" s="131"/>
      <c r="L5" s="131"/>
      <c r="M5" s="131"/>
      <c r="N5" s="131"/>
      <c r="O5" s="133" t="s">
        <v>50</v>
      </c>
      <c r="P5" s="134"/>
      <c r="Q5" s="135"/>
    </row>
    <row r="6" spans="1:17" s="89" customFormat="1" ht="60" x14ac:dyDescent="0.25">
      <c r="A6" s="124"/>
      <c r="B6" s="124"/>
      <c r="C6" s="128"/>
      <c r="D6" s="129"/>
      <c r="E6" s="130"/>
      <c r="F6" s="98" t="s">
        <v>24</v>
      </c>
      <c r="G6" s="98" t="s">
        <v>42</v>
      </c>
      <c r="H6" s="99" t="s">
        <v>3</v>
      </c>
      <c r="I6" s="98" t="s">
        <v>24</v>
      </c>
      <c r="J6" s="98" t="s">
        <v>27</v>
      </c>
      <c r="K6" s="99" t="s">
        <v>3</v>
      </c>
      <c r="L6" s="98" t="s">
        <v>24</v>
      </c>
      <c r="M6" s="98" t="s">
        <v>27</v>
      </c>
      <c r="N6" s="99" t="s">
        <v>3</v>
      </c>
      <c r="O6" s="76">
        <v>2024</v>
      </c>
      <c r="P6" s="76">
        <v>2025</v>
      </c>
      <c r="Q6" s="76">
        <v>2026</v>
      </c>
    </row>
    <row r="7" spans="1:17" s="89" customFormat="1" ht="17.25" customHeight="1" x14ac:dyDescent="0.25">
      <c r="A7" s="124"/>
      <c r="B7" s="124"/>
      <c r="C7" s="136"/>
      <c r="D7" s="136"/>
      <c r="E7" s="136"/>
      <c r="F7" s="137">
        <v>2024</v>
      </c>
      <c r="G7" s="137"/>
      <c r="H7" s="137"/>
      <c r="I7" s="137">
        <v>2025</v>
      </c>
      <c r="J7" s="137"/>
      <c r="K7" s="137"/>
      <c r="L7" s="137">
        <v>2026</v>
      </c>
      <c r="M7" s="137"/>
      <c r="N7" s="137"/>
    </row>
    <row r="8" spans="1:17" ht="15" x14ac:dyDescent="0.2">
      <c r="A8" s="76">
        <v>1</v>
      </c>
      <c r="B8" s="77" t="s">
        <v>4</v>
      </c>
      <c r="C8" s="78">
        <v>2024</v>
      </c>
      <c r="D8" s="78">
        <v>2025</v>
      </c>
      <c r="E8" s="78">
        <v>2026</v>
      </c>
      <c r="F8" s="72"/>
      <c r="G8" s="79">
        <v>12200000</v>
      </c>
      <c r="H8" s="80">
        <f>ROUND((G8*F8)*(1-C8),-2)</f>
        <v>0</v>
      </c>
      <c r="I8" s="72">
        <v>1</v>
      </c>
      <c r="J8" s="79">
        <v>12200000</v>
      </c>
      <c r="K8" s="80">
        <v>11000000</v>
      </c>
      <c r="L8" s="72"/>
      <c r="M8" s="79">
        <v>12200000</v>
      </c>
      <c r="N8" s="80">
        <f>ROUND((M8*L8)*(1-E9),-2)</f>
        <v>0</v>
      </c>
      <c r="O8" s="90">
        <f>H8/1000</f>
        <v>0</v>
      </c>
      <c r="P8" s="90">
        <f t="shared" ref="P8:P26" si="0">K8/1000</f>
        <v>11000</v>
      </c>
      <c r="Q8" s="90">
        <f>N8/1000</f>
        <v>0</v>
      </c>
    </row>
    <row r="9" spans="1:17" ht="15" x14ac:dyDescent="0.2">
      <c r="A9" s="76">
        <v>2</v>
      </c>
      <c r="B9" s="77" t="s">
        <v>5</v>
      </c>
      <c r="C9" s="81">
        <v>0.11</v>
      </c>
      <c r="D9" s="81">
        <v>0.1</v>
      </c>
      <c r="E9" s="81">
        <v>0.1</v>
      </c>
      <c r="F9" s="72"/>
      <c r="G9" s="79">
        <v>12200000</v>
      </c>
      <c r="H9" s="80">
        <f t="shared" ref="H9:H25" si="1">ROUND((G9*F9)*(1-C9),-2)</f>
        <v>0</v>
      </c>
      <c r="I9" s="72"/>
      <c r="J9" s="79">
        <v>12200000</v>
      </c>
      <c r="K9" s="80"/>
      <c r="L9" s="72"/>
      <c r="M9" s="79">
        <v>12200000</v>
      </c>
      <c r="N9" s="80">
        <f t="shared" ref="N9:N23" si="2">ROUND((M9*L9)*(1-E10),-2)</f>
        <v>0</v>
      </c>
      <c r="O9" s="90">
        <f>H9/1000</f>
        <v>0</v>
      </c>
      <c r="P9" s="90">
        <f>K9/1000</f>
        <v>0</v>
      </c>
      <c r="Q9" s="90">
        <f t="shared" ref="Q9:Q26" si="3">N9/1000</f>
        <v>0</v>
      </c>
    </row>
    <row r="10" spans="1:17" ht="15" x14ac:dyDescent="0.2">
      <c r="A10" s="76">
        <v>3</v>
      </c>
      <c r="B10" s="77" t="s">
        <v>6</v>
      </c>
      <c r="C10" s="81">
        <v>0.1</v>
      </c>
      <c r="D10" s="81">
        <v>0.11</v>
      </c>
      <c r="E10" s="81">
        <v>0.11</v>
      </c>
      <c r="F10" s="72"/>
      <c r="G10" s="79">
        <v>12200000</v>
      </c>
      <c r="H10" s="80"/>
      <c r="I10" s="72"/>
      <c r="J10" s="79">
        <v>12200000</v>
      </c>
      <c r="K10" s="80">
        <f t="shared" ref="K10:K26" si="4">ROUND((J10*I10)*(1-D11),-2)</f>
        <v>0</v>
      </c>
      <c r="L10" s="72"/>
      <c r="M10" s="79">
        <v>12200000</v>
      </c>
      <c r="N10" s="80">
        <f t="shared" si="2"/>
        <v>0</v>
      </c>
      <c r="O10" s="90">
        <f t="shared" ref="O10:O26" si="5">H10/1000</f>
        <v>0</v>
      </c>
      <c r="P10" s="90">
        <f t="shared" si="0"/>
        <v>0</v>
      </c>
      <c r="Q10" s="90">
        <f t="shared" si="3"/>
        <v>0</v>
      </c>
    </row>
    <row r="11" spans="1:17" ht="15" x14ac:dyDescent="0.2">
      <c r="A11" s="76">
        <v>4</v>
      </c>
      <c r="B11" s="77" t="s">
        <v>7</v>
      </c>
      <c r="C11" s="81">
        <v>0.1</v>
      </c>
      <c r="D11" s="81">
        <v>0.1</v>
      </c>
      <c r="E11" s="81">
        <v>0.11</v>
      </c>
      <c r="F11" s="72">
        <v>2</v>
      </c>
      <c r="G11" s="79">
        <v>12200000</v>
      </c>
      <c r="H11" s="80">
        <v>22025900</v>
      </c>
      <c r="I11" s="72">
        <v>1</v>
      </c>
      <c r="J11" s="79">
        <v>12200000</v>
      </c>
      <c r="K11" s="80">
        <v>11000000</v>
      </c>
      <c r="L11" s="72"/>
      <c r="M11" s="79">
        <v>12200000</v>
      </c>
      <c r="N11" s="80">
        <f t="shared" si="2"/>
        <v>0</v>
      </c>
      <c r="O11" s="90">
        <f t="shared" si="5"/>
        <v>22025.9</v>
      </c>
      <c r="P11" s="90">
        <f t="shared" si="0"/>
        <v>11000</v>
      </c>
      <c r="Q11" s="90">
        <f t="shared" si="3"/>
        <v>0</v>
      </c>
    </row>
    <row r="12" spans="1:17" ht="15" x14ac:dyDescent="0.2">
      <c r="A12" s="76">
        <v>5</v>
      </c>
      <c r="B12" s="77" t="s">
        <v>8</v>
      </c>
      <c r="C12" s="81">
        <v>0.1</v>
      </c>
      <c r="D12" s="81">
        <v>0.11</v>
      </c>
      <c r="E12" s="81">
        <v>0.1</v>
      </c>
      <c r="F12" s="72">
        <v>2</v>
      </c>
      <c r="G12" s="79">
        <v>12200000</v>
      </c>
      <c r="H12" s="80">
        <v>21416500</v>
      </c>
      <c r="I12" s="72">
        <v>2</v>
      </c>
      <c r="J12" s="79">
        <v>12200000</v>
      </c>
      <c r="K12" s="80">
        <v>22000000</v>
      </c>
      <c r="L12" s="72"/>
      <c r="M12" s="79">
        <v>12200000</v>
      </c>
      <c r="N12" s="80">
        <f t="shared" si="2"/>
        <v>0</v>
      </c>
      <c r="O12" s="90">
        <f t="shared" si="5"/>
        <v>21416.5</v>
      </c>
      <c r="P12" s="90">
        <f t="shared" si="0"/>
        <v>22000</v>
      </c>
      <c r="Q12" s="90">
        <f t="shared" si="3"/>
        <v>0</v>
      </c>
    </row>
    <row r="13" spans="1:17" ht="15" x14ac:dyDescent="0.2">
      <c r="A13" s="76">
        <v>6</v>
      </c>
      <c r="B13" s="77" t="s">
        <v>9</v>
      </c>
      <c r="C13" s="81">
        <v>0.11</v>
      </c>
      <c r="D13" s="81">
        <v>0.1</v>
      </c>
      <c r="E13" s="81">
        <v>0.11</v>
      </c>
      <c r="F13" s="72">
        <v>3</v>
      </c>
      <c r="G13" s="79">
        <v>12200000</v>
      </c>
      <c r="H13" s="80">
        <v>34091600</v>
      </c>
      <c r="I13" s="72">
        <v>3</v>
      </c>
      <c r="J13" s="79">
        <v>12200000</v>
      </c>
      <c r="K13" s="80">
        <v>31777900</v>
      </c>
      <c r="L13" s="72">
        <v>2</v>
      </c>
      <c r="M13" s="79">
        <v>12200000</v>
      </c>
      <c r="N13" s="80">
        <v>21360000</v>
      </c>
      <c r="O13" s="90">
        <f t="shared" si="5"/>
        <v>34091.599999999999</v>
      </c>
      <c r="P13" s="90">
        <f t="shared" si="0"/>
        <v>31777.9</v>
      </c>
      <c r="Q13" s="90">
        <f t="shared" si="3"/>
        <v>21360</v>
      </c>
    </row>
    <row r="14" spans="1:17" ht="15" x14ac:dyDescent="0.2">
      <c r="A14" s="76">
        <v>7</v>
      </c>
      <c r="B14" s="77" t="s">
        <v>10</v>
      </c>
      <c r="C14" s="81">
        <v>0.13</v>
      </c>
      <c r="D14" s="81">
        <v>0.13</v>
      </c>
      <c r="E14" s="81">
        <v>0.12</v>
      </c>
      <c r="F14" s="72"/>
      <c r="G14" s="79">
        <v>12200000</v>
      </c>
      <c r="H14" s="80">
        <f t="shared" si="1"/>
        <v>0</v>
      </c>
      <c r="I14" s="72">
        <v>1</v>
      </c>
      <c r="J14" s="79">
        <v>12200000</v>
      </c>
      <c r="K14" s="80">
        <v>11000000</v>
      </c>
      <c r="L14" s="72"/>
      <c r="M14" s="79">
        <v>12200000</v>
      </c>
      <c r="N14" s="80">
        <f t="shared" si="2"/>
        <v>0</v>
      </c>
      <c r="O14" s="90">
        <f t="shared" si="5"/>
        <v>0</v>
      </c>
      <c r="P14" s="90">
        <f t="shared" si="0"/>
        <v>11000</v>
      </c>
      <c r="Q14" s="90">
        <f t="shared" si="3"/>
        <v>0</v>
      </c>
    </row>
    <row r="15" spans="1:17" ht="15" x14ac:dyDescent="0.2">
      <c r="A15" s="76">
        <v>8</v>
      </c>
      <c r="B15" s="77" t="s">
        <v>11</v>
      </c>
      <c r="C15" s="81">
        <v>0.1</v>
      </c>
      <c r="D15" s="81">
        <v>0.11</v>
      </c>
      <c r="E15" s="81">
        <v>0.11</v>
      </c>
      <c r="F15" s="72"/>
      <c r="G15" s="79">
        <v>12200000</v>
      </c>
      <c r="H15" s="80">
        <f t="shared" si="1"/>
        <v>0</v>
      </c>
      <c r="I15" s="72"/>
      <c r="J15" s="79">
        <v>12200000</v>
      </c>
      <c r="K15" s="80">
        <f t="shared" si="4"/>
        <v>0</v>
      </c>
      <c r="L15" s="72"/>
      <c r="M15" s="79">
        <v>12200000</v>
      </c>
      <c r="N15" s="80">
        <f t="shared" si="2"/>
        <v>0</v>
      </c>
      <c r="O15" s="90">
        <f t="shared" si="5"/>
        <v>0</v>
      </c>
      <c r="P15" s="90">
        <f t="shared" si="0"/>
        <v>0</v>
      </c>
      <c r="Q15" s="90">
        <f t="shared" si="3"/>
        <v>0</v>
      </c>
    </row>
    <row r="16" spans="1:17" ht="15" x14ac:dyDescent="0.2">
      <c r="A16" s="76">
        <v>9</v>
      </c>
      <c r="B16" s="77" t="s">
        <v>12</v>
      </c>
      <c r="C16" s="81">
        <v>0.1</v>
      </c>
      <c r="D16" s="81">
        <v>0.1</v>
      </c>
      <c r="E16" s="81">
        <v>0.1</v>
      </c>
      <c r="F16" s="72">
        <v>2</v>
      </c>
      <c r="G16" s="79">
        <v>12200000</v>
      </c>
      <c r="H16" s="80">
        <v>23001000</v>
      </c>
      <c r="I16" s="72">
        <v>1</v>
      </c>
      <c r="J16" s="79">
        <v>12200000</v>
      </c>
      <c r="K16" s="80">
        <v>11000000</v>
      </c>
      <c r="L16" s="72">
        <v>1</v>
      </c>
      <c r="M16" s="79">
        <v>12200000</v>
      </c>
      <c r="N16" s="80">
        <v>10800000</v>
      </c>
      <c r="O16" s="90">
        <f t="shared" si="5"/>
        <v>23001</v>
      </c>
      <c r="P16" s="90">
        <f t="shared" si="0"/>
        <v>11000</v>
      </c>
      <c r="Q16" s="90">
        <f t="shared" si="3"/>
        <v>10800</v>
      </c>
    </row>
    <row r="17" spans="1:17" ht="15" x14ac:dyDescent="0.2">
      <c r="A17" s="76">
        <v>10</v>
      </c>
      <c r="B17" s="77" t="s">
        <v>13</v>
      </c>
      <c r="C17" s="81">
        <v>0.1</v>
      </c>
      <c r="D17" s="81">
        <v>0.11</v>
      </c>
      <c r="E17" s="81">
        <v>0.12</v>
      </c>
      <c r="F17" s="72"/>
      <c r="G17" s="79">
        <v>12200000</v>
      </c>
      <c r="H17" s="80">
        <f t="shared" si="1"/>
        <v>0</v>
      </c>
      <c r="I17" s="72"/>
      <c r="J17" s="79">
        <v>12200000</v>
      </c>
      <c r="K17" s="80">
        <f t="shared" si="4"/>
        <v>0</v>
      </c>
      <c r="L17" s="72"/>
      <c r="M17" s="79">
        <v>12200000</v>
      </c>
      <c r="N17" s="80">
        <f t="shared" si="2"/>
        <v>0</v>
      </c>
      <c r="O17" s="90">
        <f t="shared" si="5"/>
        <v>0</v>
      </c>
      <c r="P17" s="90">
        <f t="shared" si="0"/>
        <v>0</v>
      </c>
      <c r="Q17" s="90">
        <f>N17/1000</f>
        <v>0</v>
      </c>
    </row>
    <row r="18" spans="1:17" ht="15" x14ac:dyDescent="0.2">
      <c r="A18" s="76">
        <v>11</v>
      </c>
      <c r="B18" s="77" t="s">
        <v>14</v>
      </c>
      <c r="C18" s="81">
        <v>0.11</v>
      </c>
      <c r="D18" s="81">
        <v>0.1</v>
      </c>
      <c r="E18" s="81">
        <v>0.11</v>
      </c>
      <c r="F18" s="72">
        <v>1</v>
      </c>
      <c r="G18" s="79">
        <v>12200000</v>
      </c>
      <c r="H18" s="80">
        <v>11590600</v>
      </c>
      <c r="I18" s="72">
        <v>1</v>
      </c>
      <c r="J18" s="79">
        <v>12200000</v>
      </c>
      <c r="K18" s="80">
        <v>11000000</v>
      </c>
      <c r="L18" s="72"/>
      <c r="M18" s="79">
        <v>12200000</v>
      </c>
      <c r="N18" s="80">
        <f t="shared" si="2"/>
        <v>0</v>
      </c>
      <c r="O18" s="90">
        <f t="shared" si="5"/>
        <v>11590.6</v>
      </c>
      <c r="P18" s="90">
        <f t="shared" si="0"/>
        <v>11000</v>
      </c>
      <c r="Q18" s="90">
        <f t="shared" si="3"/>
        <v>0</v>
      </c>
    </row>
    <row r="19" spans="1:17" ht="15" x14ac:dyDescent="0.2">
      <c r="A19" s="76">
        <v>12</v>
      </c>
      <c r="B19" s="77" t="s">
        <v>15</v>
      </c>
      <c r="C19" s="81">
        <v>0.11</v>
      </c>
      <c r="D19" s="81">
        <v>0.1</v>
      </c>
      <c r="E19" s="81">
        <v>0.11</v>
      </c>
      <c r="F19" s="72"/>
      <c r="G19" s="79">
        <v>12200000</v>
      </c>
      <c r="H19" s="80">
        <f t="shared" si="1"/>
        <v>0</v>
      </c>
      <c r="I19" s="72">
        <v>1</v>
      </c>
      <c r="J19" s="79">
        <v>12200000</v>
      </c>
      <c r="K19" s="80">
        <v>11000000</v>
      </c>
      <c r="L19" s="72">
        <v>2</v>
      </c>
      <c r="M19" s="79">
        <v>12200000</v>
      </c>
      <c r="N19" s="80">
        <v>21600000</v>
      </c>
      <c r="O19" s="90">
        <f t="shared" si="5"/>
        <v>0</v>
      </c>
      <c r="P19" s="90">
        <f t="shared" si="0"/>
        <v>11000</v>
      </c>
      <c r="Q19" s="90">
        <f t="shared" si="3"/>
        <v>21600</v>
      </c>
    </row>
    <row r="20" spans="1:17" ht="15" x14ac:dyDescent="0.2">
      <c r="A20" s="76">
        <v>13</v>
      </c>
      <c r="B20" s="77" t="s">
        <v>16</v>
      </c>
      <c r="C20" s="81">
        <v>0.1</v>
      </c>
      <c r="D20" s="81">
        <v>0.11</v>
      </c>
      <c r="E20" s="81">
        <v>0.1</v>
      </c>
      <c r="F20" s="72"/>
      <c r="G20" s="79">
        <v>12200000</v>
      </c>
      <c r="H20" s="80">
        <f t="shared" si="1"/>
        <v>0</v>
      </c>
      <c r="I20" s="72"/>
      <c r="J20" s="79">
        <v>12200000</v>
      </c>
      <c r="K20" s="80">
        <f t="shared" si="4"/>
        <v>0</v>
      </c>
      <c r="L20" s="72"/>
      <c r="M20" s="79">
        <v>12200000</v>
      </c>
      <c r="N20" s="80">
        <f t="shared" si="2"/>
        <v>0</v>
      </c>
      <c r="O20" s="90">
        <f t="shared" si="5"/>
        <v>0</v>
      </c>
      <c r="P20" s="90">
        <f t="shared" si="0"/>
        <v>0</v>
      </c>
      <c r="Q20" s="90">
        <f t="shared" si="3"/>
        <v>0</v>
      </c>
    </row>
    <row r="21" spans="1:17" ht="15" x14ac:dyDescent="0.2">
      <c r="A21" s="76">
        <v>14</v>
      </c>
      <c r="B21" s="77" t="s">
        <v>17</v>
      </c>
      <c r="C21" s="81">
        <v>0.1</v>
      </c>
      <c r="D21" s="81">
        <v>0.1</v>
      </c>
      <c r="E21" s="81">
        <v>0.11</v>
      </c>
      <c r="F21" s="72"/>
      <c r="G21" s="79">
        <v>12200000</v>
      </c>
      <c r="H21" s="80">
        <f t="shared" si="1"/>
        <v>0</v>
      </c>
      <c r="I21" s="72">
        <v>3</v>
      </c>
      <c r="J21" s="79">
        <v>12200000</v>
      </c>
      <c r="K21" s="80">
        <v>30304100</v>
      </c>
      <c r="L21" s="72">
        <v>3</v>
      </c>
      <c r="M21" s="79">
        <v>12200000</v>
      </c>
      <c r="N21" s="80">
        <v>32040000</v>
      </c>
      <c r="O21" s="90">
        <f t="shared" si="5"/>
        <v>0</v>
      </c>
      <c r="P21" s="90">
        <f t="shared" si="0"/>
        <v>30304.1</v>
      </c>
      <c r="Q21" s="90">
        <f t="shared" si="3"/>
        <v>32040</v>
      </c>
    </row>
    <row r="22" spans="1:17" ht="15" x14ac:dyDescent="0.2">
      <c r="A22" s="76">
        <v>15</v>
      </c>
      <c r="B22" s="77" t="s">
        <v>18</v>
      </c>
      <c r="C22" s="81">
        <v>0.11</v>
      </c>
      <c r="D22" s="81">
        <v>0.11</v>
      </c>
      <c r="E22" s="81">
        <v>0.13</v>
      </c>
      <c r="F22" s="72"/>
      <c r="G22" s="79">
        <v>12200000</v>
      </c>
      <c r="H22" s="80">
        <f t="shared" si="1"/>
        <v>0</v>
      </c>
      <c r="I22" s="72">
        <v>1</v>
      </c>
      <c r="J22" s="79">
        <v>12200000</v>
      </c>
      <c r="K22" s="80">
        <v>11000000</v>
      </c>
      <c r="L22" s="72">
        <v>1</v>
      </c>
      <c r="M22" s="79">
        <v>12200000</v>
      </c>
      <c r="N22" s="80">
        <v>10680000</v>
      </c>
      <c r="O22" s="90">
        <f t="shared" si="5"/>
        <v>0</v>
      </c>
      <c r="P22" s="90">
        <f t="shared" si="0"/>
        <v>11000</v>
      </c>
      <c r="Q22" s="90">
        <f t="shared" si="3"/>
        <v>10680</v>
      </c>
    </row>
    <row r="23" spans="1:17" ht="15" x14ac:dyDescent="0.2">
      <c r="A23" s="76">
        <v>16</v>
      </c>
      <c r="B23" s="77" t="s">
        <v>19</v>
      </c>
      <c r="C23" s="81">
        <v>0.11</v>
      </c>
      <c r="D23" s="81">
        <v>0.12</v>
      </c>
      <c r="E23" s="81">
        <v>0.1</v>
      </c>
      <c r="F23" s="72"/>
      <c r="G23" s="79">
        <v>12200000</v>
      </c>
      <c r="H23" s="80">
        <f t="shared" si="1"/>
        <v>0</v>
      </c>
      <c r="I23" s="72">
        <v>2</v>
      </c>
      <c r="J23" s="79">
        <v>12200000</v>
      </c>
      <c r="K23" s="80">
        <v>22000000</v>
      </c>
      <c r="L23" s="72"/>
      <c r="M23" s="79">
        <v>12200000</v>
      </c>
      <c r="N23" s="80">
        <f t="shared" si="2"/>
        <v>0</v>
      </c>
      <c r="O23" s="90">
        <f t="shared" si="5"/>
        <v>0</v>
      </c>
      <c r="P23" s="90">
        <f t="shared" si="0"/>
        <v>22000</v>
      </c>
      <c r="Q23" s="90">
        <f t="shared" si="3"/>
        <v>0</v>
      </c>
    </row>
    <row r="24" spans="1:17" ht="15" x14ac:dyDescent="0.2">
      <c r="A24" s="76">
        <v>17</v>
      </c>
      <c r="B24" s="77" t="s">
        <v>20</v>
      </c>
      <c r="C24" s="81">
        <v>0.09</v>
      </c>
      <c r="D24" s="81">
        <v>0.09</v>
      </c>
      <c r="E24" s="81">
        <v>0.09</v>
      </c>
      <c r="F24" s="72">
        <v>1</v>
      </c>
      <c r="G24" s="79">
        <v>12200000</v>
      </c>
      <c r="H24" s="80">
        <v>11581600</v>
      </c>
      <c r="I24" s="72">
        <v>1</v>
      </c>
      <c r="J24" s="79">
        <v>12200000</v>
      </c>
      <c r="K24" s="80">
        <v>11000000</v>
      </c>
      <c r="L24" s="72">
        <v>1</v>
      </c>
      <c r="M24" s="79">
        <v>12200000</v>
      </c>
      <c r="N24" s="80">
        <v>10680000</v>
      </c>
      <c r="O24" s="90">
        <f t="shared" si="5"/>
        <v>11581.6</v>
      </c>
      <c r="P24" s="90">
        <f t="shared" si="0"/>
        <v>11000</v>
      </c>
      <c r="Q24" s="90">
        <f t="shared" si="3"/>
        <v>10680</v>
      </c>
    </row>
    <row r="25" spans="1:17" ht="15" x14ac:dyDescent="0.2">
      <c r="A25" s="76">
        <v>18</v>
      </c>
      <c r="B25" s="77" t="s">
        <v>21</v>
      </c>
      <c r="C25" s="81">
        <v>0.11</v>
      </c>
      <c r="D25" s="81">
        <v>0.11</v>
      </c>
      <c r="E25" s="81">
        <v>0.1</v>
      </c>
      <c r="F25" s="72"/>
      <c r="G25" s="79">
        <v>12200000</v>
      </c>
      <c r="H25" s="80">
        <f t="shared" si="1"/>
        <v>0</v>
      </c>
      <c r="I25" s="72">
        <v>1</v>
      </c>
      <c r="J25" s="79">
        <v>12200000</v>
      </c>
      <c r="K25" s="80">
        <v>11000000</v>
      </c>
      <c r="L25" s="72"/>
      <c r="M25" s="79">
        <v>12200000</v>
      </c>
      <c r="N25" s="80">
        <f>ROUND((M25*L25)*(1-E26),-2)</f>
        <v>0</v>
      </c>
      <c r="O25" s="90">
        <f t="shared" si="5"/>
        <v>0</v>
      </c>
      <c r="P25" s="90">
        <f t="shared" si="0"/>
        <v>11000</v>
      </c>
      <c r="Q25" s="90">
        <f t="shared" si="3"/>
        <v>0</v>
      </c>
    </row>
    <row r="26" spans="1:17" ht="17.25" hidden="1" customHeight="1" x14ac:dyDescent="0.2">
      <c r="A26" s="76">
        <v>19</v>
      </c>
      <c r="B26" s="77" t="s">
        <v>28</v>
      </c>
      <c r="C26" s="81">
        <v>0.24</v>
      </c>
      <c r="D26" s="81">
        <v>0.22</v>
      </c>
      <c r="E26" s="81">
        <v>0.21</v>
      </c>
      <c r="F26" s="72"/>
      <c r="G26" s="79"/>
      <c r="H26" s="80"/>
      <c r="I26" s="72">
        <f t="shared" ref="I26" si="6">F26</f>
        <v>0</v>
      </c>
      <c r="J26" s="79">
        <f t="shared" ref="J26" si="7">ROUND(I26*$J$29,0)</f>
        <v>0</v>
      </c>
      <c r="K26" s="80">
        <f t="shared" si="4"/>
        <v>0</v>
      </c>
      <c r="L26" s="72"/>
      <c r="M26" s="79"/>
      <c r="N26" s="80"/>
      <c r="O26" s="90">
        <f t="shared" si="5"/>
        <v>0</v>
      </c>
      <c r="P26" s="90">
        <f t="shared" si="0"/>
        <v>0</v>
      </c>
      <c r="Q26" s="90">
        <f t="shared" si="3"/>
        <v>0</v>
      </c>
    </row>
    <row r="27" spans="1:17" s="91" customFormat="1" ht="14.25" x14ac:dyDescent="0.2">
      <c r="A27" s="82"/>
      <c r="B27" s="82" t="s">
        <v>22</v>
      </c>
      <c r="C27" s="83"/>
      <c r="D27" s="83"/>
      <c r="E27" s="83"/>
      <c r="F27" s="84">
        <f>SUM(F8:F26)</f>
        <v>11</v>
      </c>
      <c r="G27" s="84"/>
      <c r="H27" s="84">
        <f>SUM(H8:H26)</f>
        <v>123707200</v>
      </c>
      <c r="I27" s="84">
        <f>SUM(I8:I26)</f>
        <v>19</v>
      </c>
      <c r="J27" s="84"/>
      <c r="K27" s="84">
        <f>SUM(K8:K26)</f>
        <v>205082000</v>
      </c>
      <c r="L27" s="84">
        <f>SUM(L8:L26)</f>
        <v>10</v>
      </c>
      <c r="M27" s="84">
        <f>SUM(M8:M26)</f>
        <v>219600000</v>
      </c>
      <c r="N27" s="84">
        <f>SUM(N8:N25)</f>
        <v>107160000</v>
      </c>
      <c r="O27" s="100">
        <f>SUM(O8:O26)</f>
        <v>123707.20000000001</v>
      </c>
      <c r="P27" s="100">
        <f>SUM(P8:P26)</f>
        <v>205082</v>
      </c>
      <c r="Q27" s="100">
        <f>SUM(Q8:Q26)</f>
        <v>107160</v>
      </c>
    </row>
    <row r="28" spans="1:17" x14ac:dyDescent="0.2">
      <c r="H28" s="92"/>
    </row>
    <row r="29" spans="1:17" x14ac:dyDescent="0.2">
      <c r="G29" s="93"/>
      <c r="H29" s="92"/>
      <c r="I29" s="93"/>
      <c r="J29" s="93"/>
      <c r="M29" s="93"/>
      <c r="N29" s="92"/>
    </row>
    <row r="31" spans="1:17" ht="12" customHeight="1" x14ac:dyDescent="0.2">
      <c r="F31" s="92"/>
      <c r="G31" s="92"/>
      <c r="H31" s="92"/>
      <c r="M31" s="92"/>
      <c r="N31" s="92"/>
    </row>
    <row r="32" spans="1:17" hidden="1" x14ac:dyDescent="0.2">
      <c r="J32" s="92"/>
    </row>
    <row r="33" spans="7:14" hidden="1" x14ac:dyDescent="0.2">
      <c r="G33" s="94" t="s">
        <v>47</v>
      </c>
      <c r="H33" s="95">
        <v>2024</v>
      </c>
      <c r="I33" s="95">
        <v>2025</v>
      </c>
      <c r="J33" s="95">
        <v>2026</v>
      </c>
      <c r="N33" s="92"/>
    </row>
    <row r="34" spans="7:14" hidden="1" x14ac:dyDescent="0.2">
      <c r="G34" s="94" t="s">
        <v>43</v>
      </c>
      <c r="H34" s="94">
        <v>207766000</v>
      </c>
      <c r="I34" s="94">
        <f>+K27</f>
        <v>205082000</v>
      </c>
      <c r="J34" s="94">
        <v>207800000</v>
      </c>
    </row>
    <row r="35" spans="7:14" hidden="1" x14ac:dyDescent="0.2">
      <c r="G35" s="94" t="s">
        <v>44</v>
      </c>
      <c r="H35" s="94">
        <v>200000000</v>
      </c>
      <c r="I35" s="94">
        <v>200000000</v>
      </c>
      <c r="J35" s="94">
        <v>200000000</v>
      </c>
    </row>
    <row r="36" spans="7:14" hidden="1" x14ac:dyDescent="0.2">
      <c r="G36" s="94" t="s">
        <v>45</v>
      </c>
      <c r="H36" s="94">
        <f>300000000+62071530</f>
        <v>362071530</v>
      </c>
      <c r="I36" s="94">
        <v>300000000</v>
      </c>
      <c r="J36" s="94">
        <v>300000000</v>
      </c>
    </row>
    <row r="37" spans="7:14" hidden="1" x14ac:dyDescent="0.2">
      <c r="G37" s="94" t="s">
        <v>46</v>
      </c>
      <c r="H37" s="94">
        <v>110000000</v>
      </c>
      <c r="I37" s="94">
        <v>110000000</v>
      </c>
      <c r="J37" s="94">
        <v>110000000</v>
      </c>
    </row>
    <row r="38" spans="7:14" hidden="1" x14ac:dyDescent="0.2">
      <c r="G38" s="94" t="s">
        <v>26</v>
      </c>
      <c r="H38" s="96">
        <f>SUM(H34:H37)</f>
        <v>879837530</v>
      </c>
      <c r="I38" s="96">
        <f t="shared" ref="I38:J38" si="8">SUM(I34:I37)</f>
        <v>815082000</v>
      </c>
      <c r="J38" s="96">
        <f t="shared" si="8"/>
        <v>817800000</v>
      </c>
    </row>
    <row r="39" spans="7:14" hidden="1" x14ac:dyDescent="0.2"/>
    <row r="40" spans="7:14" hidden="1" x14ac:dyDescent="0.2">
      <c r="G40" s="94" t="s">
        <v>48</v>
      </c>
      <c r="H40" s="95">
        <v>2024</v>
      </c>
      <c r="I40" s="95">
        <v>2025</v>
      </c>
      <c r="J40" s="95">
        <v>2026</v>
      </c>
    </row>
    <row r="41" spans="7:14" hidden="1" x14ac:dyDescent="0.2">
      <c r="G41" s="94" t="s">
        <v>43</v>
      </c>
      <c r="H41" s="94">
        <v>123707200</v>
      </c>
      <c r="I41" s="94">
        <v>205082000</v>
      </c>
      <c r="J41" s="94">
        <v>107160000</v>
      </c>
    </row>
    <row r="42" spans="7:14" hidden="1" x14ac:dyDescent="0.2">
      <c r="G42" s="94" t="s">
        <v>44</v>
      </c>
      <c r="H42" s="94">
        <v>250000000</v>
      </c>
      <c r="I42" s="94">
        <v>200000000</v>
      </c>
      <c r="J42" s="94">
        <v>233000000</v>
      </c>
    </row>
    <row r="43" spans="7:14" hidden="1" x14ac:dyDescent="0.2">
      <c r="G43" s="94" t="s">
        <v>45</v>
      </c>
      <c r="H43" s="94">
        <v>362071530</v>
      </c>
      <c r="I43" s="94">
        <v>300000000</v>
      </c>
      <c r="J43" s="94">
        <v>323000000</v>
      </c>
    </row>
    <row r="44" spans="7:14" hidden="1" x14ac:dyDescent="0.2">
      <c r="G44" s="94" t="s">
        <v>46</v>
      </c>
      <c r="H44" s="94">
        <v>110000000</v>
      </c>
      <c r="I44" s="94">
        <v>110000000</v>
      </c>
      <c r="J44" s="94">
        <v>84615380</v>
      </c>
    </row>
    <row r="45" spans="7:14" hidden="1" x14ac:dyDescent="0.2">
      <c r="G45" s="94" t="s">
        <v>26</v>
      </c>
      <c r="H45" s="96">
        <f>SUM(H41:H44)</f>
        <v>845778730</v>
      </c>
      <c r="I45" s="96">
        <f t="shared" ref="I45:J45" si="9">SUM(I41:I44)</f>
        <v>815082000</v>
      </c>
      <c r="J45" s="96">
        <f t="shared" si="9"/>
        <v>747775380</v>
      </c>
    </row>
    <row r="46" spans="7:14" hidden="1" x14ac:dyDescent="0.2"/>
    <row r="47" spans="7:14" hidden="1" x14ac:dyDescent="0.2">
      <c r="H47" s="97">
        <f>+H38-H45</f>
        <v>34058800</v>
      </c>
      <c r="I47" s="97">
        <f t="shared" ref="I47:J47" si="10">+I38-I45</f>
        <v>0</v>
      </c>
      <c r="J47" s="97">
        <f t="shared" si="10"/>
        <v>70024620</v>
      </c>
    </row>
  </sheetData>
  <mergeCells count="10">
    <mergeCell ref="A5:A7"/>
    <mergeCell ref="B5:B7"/>
    <mergeCell ref="C5:E6"/>
    <mergeCell ref="F5:N5"/>
    <mergeCell ref="A3:Q3"/>
    <mergeCell ref="O5:Q5"/>
    <mergeCell ref="C7:E7"/>
    <mergeCell ref="F7:H7"/>
    <mergeCell ref="I7:K7"/>
    <mergeCell ref="L7:N7"/>
  </mergeCells>
  <pageMargins left="0.43307086614173229" right="0.23622047244094491" top="0.74803149606299213" bottom="0.74803149606299213" header="0.31496062992125984" footer="0.31496062992125984"/>
  <pageSetup paperSize="9" scale="63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Приложение(9)_4_исход</vt:lpstr>
      <vt:lpstr>Кап ремонт шк стадионов</vt:lpstr>
      <vt:lpstr>'Кап ремонт шк стадионов'!Заголовки_для_печати</vt:lpstr>
      <vt:lpstr>'Приложение(9)_4_исход'!Заголовки_для_печати</vt:lpstr>
      <vt:lpstr>'Кап ремонт шк стадионов'!Область_печати</vt:lpstr>
      <vt:lpstr>'Приложение(9)_4_исход'!Область_печати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2023-10-05T11:10:17Z</cp:lastPrinted>
  <dcterms:created xsi:type="dcterms:W3CDTF">1996-10-08T23:32:33Z</dcterms:created>
  <dcterms:modified xsi:type="dcterms:W3CDTF">2023-10-05T11:24:05Z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