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315" windowWidth="29040" windowHeight="13620" tabRatio="904" firstSheet="1" activeTab="1"/>
  </bookViews>
  <sheets>
    <sheet name="Приложение(9)_4_исход" sheetId="17" state="hidden" r:id="rId1"/>
    <sheet name="расчет спорт стадионы" sheetId="41" r:id="rId2"/>
  </sheets>
  <definedNames>
    <definedName name="_xlnm.Print_Titles" localSheetId="0">'Приложение(9)_4_исход'!$A:$B</definedName>
    <definedName name="_xlnm.Print_Titles" localSheetId="1">'расчет спорт стадионы'!$B:$B</definedName>
    <definedName name="_xlnm.Print_Area" localSheetId="0">'Приложение(9)_4_исход'!$A$1:$BE$24</definedName>
    <definedName name="_xlnm.Print_Area" localSheetId="1">'расчет спорт стадионы'!$A$1:$AO$37</definedName>
  </definedNames>
  <calcPr calcId="145621"/>
</workbook>
</file>

<file path=xl/calcChain.xml><?xml version="1.0" encoding="utf-8"?>
<calcChain xmlns="http://schemas.openxmlformats.org/spreadsheetml/2006/main">
  <c r="L9" i="41" l="1"/>
  <c r="AF21" i="41" l="1"/>
  <c r="AF20" i="41"/>
  <c r="AF17" i="41"/>
  <c r="AF15" i="41"/>
  <c r="AF14" i="41"/>
  <c r="AF13" i="41"/>
  <c r="AF12" i="41"/>
  <c r="AF11" i="41"/>
  <c r="AF10" i="41"/>
  <c r="AE10" i="41"/>
  <c r="AG25" i="41"/>
  <c r="AE25" i="41" s="1"/>
  <c r="AG24" i="41"/>
  <c r="AF24" i="41" s="1"/>
  <c r="AG21" i="41"/>
  <c r="AE21" i="41" s="1"/>
  <c r="AG20" i="41"/>
  <c r="AE20" i="41" s="1"/>
  <c r="AG17" i="41"/>
  <c r="AE17" i="41" s="1"/>
  <c r="AG15" i="41"/>
  <c r="AE15" i="41" s="1"/>
  <c r="AG13" i="41"/>
  <c r="AE13" i="41" s="1"/>
  <c r="AG12" i="41"/>
  <c r="AE12" i="41" s="1"/>
  <c r="AG11" i="41"/>
  <c r="AE11" i="41" s="1"/>
  <c r="AG10" i="41"/>
  <c r="AG14" i="41"/>
  <c r="AG16" i="41"/>
  <c r="AE16" i="41" s="1"/>
  <c r="AG18" i="41"/>
  <c r="AG19" i="41"/>
  <c r="AF19" i="41" s="1"/>
  <c r="AG22" i="41"/>
  <c r="AG23" i="41"/>
  <c r="AF23" i="41" s="1"/>
  <c r="AE24" i="41"/>
  <c r="AG26" i="41"/>
  <c r="AG9" i="41"/>
  <c r="AF9" i="41" s="1"/>
  <c r="AE14" i="41"/>
  <c r="AF16" i="41"/>
  <c r="AE18" i="41"/>
  <c r="AF18" i="41"/>
  <c r="AE19" i="41"/>
  <c r="AE22" i="41"/>
  <c r="AF22" i="41"/>
  <c r="AE23" i="41"/>
  <c r="AF25" i="41"/>
  <c r="AE26" i="41"/>
  <c r="AF26" i="41"/>
  <c r="V21" i="41"/>
  <c r="V19" i="41"/>
  <c r="V17" i="41"/>
  <c r="V16" i="41"/>
  <c r="V11" i="41"/>
  <c r="V10" i="41"/>
  <c r="V9" i="41"/>
  <c r="U9" i="41"/>
  <c r="U17" i="41"/>
  <c r="U19" i="41"/>
  <c r="U16" i="41"/>
  <c r="U11" i="41"/>
  <c r="W25" i="41"/>
  <c r="W17" i="41"/>
  <c r="W9" i="41"/>
  <c r="W13" i="41"/>
  <c r="U13" i="41" s="1"/>
  <c r="V12" i="41"/>
  <c r="U12" i="41"/>
  <c r="AH12" i="41" l="1"/>
  <c r="AD10" i="41"/>
  <c r="AE9" i="41"/>
  <c r="AO8" i="41" l="1"/>
  <c r="AN8" i="41"/>
  <c r="AM8" i="41"/>
  <c r="H35" i="41" l="1"/>
  <c r="H37" i="41" s="1"/>
  <c r="J37" i="41" s="1"/>
  <c r="AO32" i="41"/>
  <c r="AN32" i="41"/>
  <c r="AM32" i="41"/>
  <c r="AL30" i="41"/>
  <c r="AI30" i="41"/>
  <c r="AD30" i="41"/>
  <c r="AB30" i="41"/>
  <c r="Y30" i="41"/>
  <c r="Q30" i="41"/>
  <c r="O30" i="41"/>
  <c r="G30" i="41"/>
  <c r="AL29" i="41"/>
  <c r="AI29" i="41"/>
  <c r="AD29" i="41"/>
  <c r="AB29" i="41"/>
  <c r="Y29" i="41"/>
  <c r="Q29" i="41"/>
  <c r="O29" i="41"/>
  <c r="G29" i="41"/>
  <c r="AL28" i="41"/>
  <c r="AI28" i="41"/>
  <c r="AD28" i="41"/>
  <c r="AB28" i="41"/>
  <c r="Y28" i="41"/>
  <c r="Q28" i="41"/>
  <c r="O28" i="41"/>
  <c r="G28" i="41"/>
  <c r="AG27" i="41"/>
  <c r="AG31" i="41" s="1"/>
  <c r="AF27" i="41"/>
  <c r="AF31" i="41" s="1"/>
  <c r="AE27" i="41"/>
  <c r="AE31" i="41" s="1"/>
  <c r="AD33" i="41" s="1"/>
  <c r="Z27" i="41"/>
  <c r="Z31" i="41" s="1"/>
  <c r="P27" i="41"/>
  <c r="P31" i="41" s="1"/>
  <c r="F27" i="41"/>
  <c r="F31" i="41" s="1"/>
  <c r="AL26" i="41"/>
  <c r="AD26" i="41"/>
  <c r="AB26" i="41"/>
  <c r="Y26" i="41"/>
  <c r="O26" i="41"/>
  <c r="AA26" i="41"/>
  <c r="Q26" i="41"/>
  <c r="G26" i="41"/>
  <c r="AL25" i="41"/>
  <c r="AD25" i="41"/>
  <c r="AB25" i="41"/>
  <c r="AA25" i="41"/>
  <c r="Q25" i="41"/>
  <c r="G25" i="41"/>
  <c r="AL24" i="41"/>
  <c r="AD24" i="41"/>
  <c r="AB24" i="41"/>
  <c r="O24" i="41"/>
  <c r="AA24" i="41"/>
  <c r="Q24" i="41"/>
  <c r="G24" i="41"/>
  <c r="AL23" i="41"/>
  <c r="AI23" i="41"/>
  <c r="AD23" i="41"/>
  <c r="AB23" i="41"/>
  <c r="Y23" i="41"/>
  <c r="AA23" i="41"/>
  <c r="Q23" i="41"/>
  <c r="G23" i="41"/>
  <c r="AL22" i="41"/>
  <c r="AD22" i="41"/>
  <c r="AB22" i="41"/>
  <c r="AA22" i="41"/>
  <c r="Q22" i="41"/>
  <c r="G22" i="41"/>
  <c r="AL21" i="41"/>
  <c r="AD21" i="41"/>
  <c r="AB21" i="41"/>
  <c r="AA21" i="41"/>
  <c r="Q21" i="41"/>
  <c r="G21" i="41"/>
  <c r="AL20" i="41"/>
  <c r="AD20" i="41"/>
  <c r="AB20" i="41"/>
  <c r="AA20" i="41"/>
  <c r="Q20" i="41"/>
  <c r="G20" i="41"/>
  <c r="AL19" i="41"/>
  <c r="AI19" i="41"/>
  <c r="AD19" i="41"/>
  <c r="AB19" i="41"/>
  <c r="AA19" i="41"/>
  <c r="Q19" i="41"/>
  <c r="G19" i="41"/>
  <c r="AL18" i="41"/>
  <c r="AI18" i="41"/>
  <c r="AD18" i="41"/>
  <c r="AB18" i="41"/>
  <c r="AA18" i="41"/>
  <c r="Q18" i="41"/>
  <c r="G18" i="41"/>
  <c r="AL17" i="41"/>
  <c r="AD17" i="41"/>
  <c r="AB17" i="41"/>
  <c r="O17" i="41"/>
  <c r="AA17" i="41"/>
  <c r="Q17" i="41"/>
  <c r="G17" i="41"/>
  <c r="AL16" i="41"/>
  <c r="AI16" i="41"/>
  <c r="AD16" i="41"/>
  <c r="AB16" i="41"/>
  <c r="O16" i="41"/>
  <c r="AA16" i="41"/>
  <c r="Q16" i="41"/>
  <c r="G16" i="41"/>
  <c r="AL15" i="41"/>
  <c r="AD15" i="41"/>
  <c r="AB15" i="41"/>
  <c r="AA15" i="41"/>
  <c r="Q15" i="41"/>
  <c r="G15" i="41"/>
  <c r="AL14" i="41"/>
  <c r="AD14" i="41"/>
  <c r="AB14" i="41"/>
  <c r="Y14" i="41"/>
  <c r="AA14" i="41"/>
  <c r="Q14" i="41"/>
  <c r="G14" i="41"/>
  <c r="AL13" i="41"/>
  <c r="AD13" i="41"/>
  <c r="AB13" i="41"/>
  <c r="AA13" i="41"/>
  <c r="Q13" i="41"/>
  <c r="G13" i="41"/>
  <c r="AL12" i="41"/>
  <c r="AD12" i="41"/>
  <c r="AB12" i="41"/>
  <c r="AA12" i="41"/>
  <c r="Q12" i="41"/>
  <c r="G12" i="41"/>
  <c r="AL11" i="41"/>
  <c r="AD11" i="41"/>
  <c r="AB11" i="41"/>
  <c r="AA11" i="41"/>
  <c r="Q11" i="41"/>
  <c r="G11" i="41"/>
  <c r="AL10" i="41"/>
  <c r="AB10" i="41"/>
  <c r="O10" i="41"/>
  <c r="AA10" i="41"/>
  <c r="Q10" i="41"/>
  <c r="G10" i="41"/>
  <c r="AL9" i="41"/>
  <c r="AI9" i="41"/>
  <c r="AD9" i="41"/>
  <c r="AB9" i="41"/>
  <c r="AA9" i="41"/>
  <c r="Q9" i="41"/>
  <c r="G9" i="41"/>
  <c r="AB27" i="41" l="1"/>
  <c r="AB31" i="41" s="1"/>
  <c r="AL27" i="41"/>
  <c r="AL31" i="41" s="1"/>
  <c r="AD27" i="41"/>
  <c r="AD31" i="41" s="1"/>
  <c r="G27" i="41"/>
  <c r="G31" i="41" s="1"/>
  <c r="Q27" i="41"/>
  <c r="Q31" i="41" s="1"/>
  <c r="AA27" i="41"/>
  <c r="AA31" i="41" s="1"/>
  <c r="AD34" i="41"/>
  <c r="S35" i="41"/>
  <c r="AC35" i="41"/>
  <c r="S37" i="41" l="1"/>
  <c r="T34" i="41"/>
  <c r="T33" i="41"/>
  <c r="AC28" i="41"/>
  <c r="AH28" i="41" s="1"/>
  <c r="AC19" i="41"/>
  <c r="AH19" i="41" s="1"/>
  <c r="AC11" i="41"/>
  <c r="AC26" i="41"/>
  <c r="AC18" i="41"/>
  <c r="AH18" i="41" s="1"/>
  <c r="AC10" i="41"/>
  <c r="AC25" i="41"/>
  <c r="AC17" i="41"/>
  <c r="AC9" i="41"/>
  <c r="AC29" i="41"/>
  <c r="AH29" i="41" s="1"/>
  <c r="AC24" i="41"/>
  <c r="AC16" i="41"/>
  <c r="AH16" i="41" s="1"/>
  <c r="AC12" i="41"/>
  <c r="AC23" i="41"/>
  <c r="AH23" i="41" s="1"/>
  <c r="AC15" i="41"/>
  <c r="AC22" i="41"/>
  <c r="AC14" i="41"/>
  <c r="AC30" i="41"/>
  <c r="AH30" i="41" s="1"/>
  <c r="AC21" i="41"/>
  <c r="AC13" i="41"/>
  <c r="AC20" i="41"/>
  <c r="AC37" i="41"/>
  <c r="S28" i="41"/>
  <c r="S20" i="41"/>
  <c r="S12" i="41"/>
  <c r="S19" i="41"/>
  <c r="Y19" i="41" s="1"/>
  <c r="S11" i="41"/>
  <c r="S21" i="41"/>
  <c r="S26" i="41"/>
  <c r="S18" i="41"/>
  <c r="S10" i="41"/>
  <c r="Y10" i="41" s="1"/>
  <c r="S29" i="41"/>
  <c r="S25" i="41"/>
  <c r="S17" i="41"/>
  <c r="Y17" i="41" s="1"/>
  <c r="S9" i="41"/>
  <c r="S24" i="41"/>
  <c r="Y24" i="41" s="1"/>
  <c r="S16" i="41"/>
  <c r="Y16" i="41" s="1"/>
  <c r="S23" i="41"/>
  <c r="S15" i="41"/>
  <c r="S30" i="41"/>
  <c r="S22" i="41"/>
  <c r="S14" i="41"/>
  <c r="S13" i="41"/>
  <c r="I21" i="41"/>
  <c r="O21" i="41" s="1"/>
  <c r="I13" i="41"/>
  <c r="I30" i="41"/>
  <c r="I28" i="41"/>
  <c r="I20" i="41"/>
  <c r="I12" i="41"/>
  <c r="I14" i="41"/>
  <c r="I19" i="41"/>
  <c r="I11" i="41"/>
  <c r="I26" i="41"/>
  <c r="I18" i="41"/>
  <c r="O18" i="41" s="1"/>
  <c r="I10" i="41"/>
  <c r="I29" i="41"/>
  <c r="I25" i="41"/>
  <c r="I17" i="41"/>
  <c r="I9" i="41"/>
  <c r="I24" i="41"/>
  <c r="I16" i="41"/>
  <c r="I23" i="41"/>
  <c r="I15" i="41"/>
  <c r="I22" i="41"/>
  <c r="AH10" i="41" l="1"/>
  <c r="AI10" i="41"/>
  <c r="AH14" i="41"/>
  <c r="AI14" i="41"/>
  <c r="AH22" i="41"/>
  <c r="AI22" i="41"/>
  <c r="AH24" i="41"/>
  <c r="AI24" i="41"/>
  <c r="AH20" i="41"/>
  <c r="AI20" i="41"/>
  <c r="AH25" i="41"/>
  <c r="AI25" i="41"/>
  <c r="AH26" i="41"/>
  <c r="AI26" i="41"/>
  <c r="AH21" i="41"/>
  <c r="AI21" i="41"/>
  <c r="AH17" i="41"/>
  <c r="AI17" i="41"/>
  <c r="AH15" i="41"/>
  <c r="AI15" i="41"/>
  <c r="AH13" i="41"/>
  <c r="AI13" i="41"/>
  <c r="AI12" i="41"/>
  <c r="AH11" i="41"/>
  <c r="AI11" i="41"/>
  <c r="Y12" i="41"/>
  <c r="W20" i="41"/>
  <c r="U20" i="41" s="1"/>
  <c r="O22" i="41"/>
  <c r="O20" i="41"/>
  <c r="O25" i="41"/>
  <c r="M22" i="41"/>
  <c r="L22" i="41" s="1"/>
  <c r="M29" i="41"/>
  <c r="L29" i="41" s="1"/>
  <c r="N29" i="41"/>
  <c r="M20" i="41"/>
  <c r="K20" i="41" s="1"/>
  <c r="X30" i="41"/>
  <c r="W30" i="41"/>
  <c r="U30" i="41" s="1"/>
  <c r="W29" i="41"/>
  <c r="V29" i="41" s="1"/>
  <c r="X29" i="41"/>
  <c r="Y20" i="41"/>
  <c r="O15" i="41"/>
  <c r="M15" i="41"/>
  <c r="N15" i="41" s="1"/>
  <c r="N10" i="41"/>
  <c r="M10" i="41"/>
  <c r="L10" i="41" s="1"/>
  <c r="N28" i="41"/>
  <c r="M28" i="41"/>
  <c r="L28" i="41" s="1"/>
  <c r="W15" i="41"/>
  <c r="V15" i="41" s="1"/>
  <c r="Y15" i="41"/>
  <c r="W10" i="41"/>
  <c r="X28" i="41"/>
  <c r="W28" i="41"/>
  <c r="V28" i="41" s="1"/>
  <c r="O23" i="41"/>
  <c r="M23" i="41"/>
  <c r="N23" i="41" s="1"/>
  <c r="M18" i="41"/>
  <c r="L18" i="41" s="1"/>
  <c r="N30" i="41"/>
  <c r="M30" i="41"/>
  <c r="L30" i="41" s="1"/>
  <c r="X23" i="41"/>
  <c r="W23" i="41"/>
  <c r="V23" i="41" s="1"/>
  <c r="Y18" i="41"/>
  <c r="W18" i="41"/>
  <c r="U18" i="41" s="1"/>
  <c r="N16" i="41"/>
  <c r="M16" i="41"/>
  <c r="L16" i="41" s="1"/>
  <c r="N26" i="41"/>
  <c r="M26" i="41"/>
  <c r="L26" i="41" s="1"/>
  <c r="O13" i="41"/>
  <c r="M13" i="41"/>
  <c r="L13" i="41" s="1"/>
  <c r="W16" i="41"/>
  <c r="X26" i="41"/>
  <c r="W26" i="41"/>
  <c r="U26" i="41" s="1"/>
  <c r="N24" i="41"/>
  <c r="M24" i="41"/>
  <c r="L24" i="41" s="1"/>
  <c r="O11" i="41"/>
  <c r="M11" i="41"/>
  <c r="K11" i="41" s="1"/>
  <c r="M21" i="41"/>
  <c r="L21" i="41" s="1"/>
  <c r="W24" i="41"/>
  <c r="V24" i="41" s="1"/>
  <c r="Y21" i="41"/>
  <c r="W21" i="41"/>
  <c r="X21" i="41" s="1"/>
  <c r="M9" i="41"/>
  <c r="I27" i="41"/>
  <c r="O9" i="41"/>
  <c r="O19" i="41"/>
  <c r="M19" i="41"/>
  <c r="K19" i="41" s="1"/>
  <c r="Y13" i="41"/>
  <c r="X13" i="41"/>
  <c r="S27" i="41"/>
  <c r="Y9" i="41"/>
  <c r="X9" i="41"/>
  <c r="Y11" i="41"/>
  <c r="W11" i="41"/>
  <c r="M17" i="41"/>
  <c r="L17" i="41" s="1"/>
  <c r="N17" i="41"/>
  <c r="O14" i="41"/>
  <c r="M14" i="41"/>
  <c r="N14" i="41" s="1"/>
  <c r="X14" i="41"/>
  <c r="W14" i="41"/>
  <c r="U14" i="41" s="1"/>
  <c r="W19" i="41"/>
  <c r="M25" i="41"/>
  <c r="K25" i="41" s="1"/>
  <c r="O12" i="41"/>
  <c r="M12" i="41"/>
  <c r="K12" i="41" s="1"/>
  <c r="Y22" i="41"/>
  <c r="W22" i="41"/>
  <c r="X22" i="41" s="1"/>
  <c r="U25" i="41"/>
  <c r="Y25" i="41"/>
  <c r="W12" i="41"/>
  <c r="AC27" i="41"/>
  <c r="AI27" i="41" s="1"/>
  <c r="AH9" i="41"/>
  <c r="L23" i="41" l="1"/>
  <c r="X24" i="41"/>
  <c r="X19" i="41"/>
  <c r="X17" i="41"/>
  <c r="X16" i="41"/>
  <c r="AK12" i="41"/>
  <c r="X10" i="41"/>
  <c r="V13" i="41"/>
  <c r="V22" i="41"/>
  <c r="T11" i="41"/>
  <c r="X12" i="41"/>
  <c r="L12" i="41"/>
  <c r="H12" i="41" s="1"/>
  <c r="L14" i="41"/>
  <c r="N25" i="41"/>
  <c r="N20" i="41"/>
  <c r="N18" i="41"/>
  <c r="N21" i="41"/>
  <c r="N22" i="41"/>
  <c r="L11" i="41"/>
  <c r="J11" i="41" s="1"/>
  <c r="K26" i="41"/>
  <c r="J26" i="41" s="1"/>
  <c r="U21" i="41"/>
  <c r="K23" i="41"/>
  <c r="K29" i="41"/>
  <c r="AJ29" i="41" s="1"/>
  <c r="AM29" i="41" s="1"/>
  <c r="U28" i="41"/>
  <c r="T28" i="41" s="1"/>
  <c r="K30" i="41"/>
  <c r="H30" i="41" s="1"/>
  <c r="V30" i="41"/>
  <c r="AK30" i="41" s="1"/>
  <c r="K22" i="41"/>
  <c r="H22" i="41" s="1"/>
  <c r="V25" i="41"/>
  <c r="R25" i="41" s="1"/>
  <c r="N12" i="41"/>
  <c r="X18" i="41"/>
  <c r="U22" i="41"/>
  <c r="X11" i="41"/>
  <c r="U10" i="41"/>
  <c r="T10" i="41" s="1"/>
  <c r="N9" i="41"/>
  <c r="K9" i="41"/>
  <c r="AJ9" i="41" s="1"/>
  <c r="X25" i="41"/>
  <c r="N13" i="41"/>
  <c r="K21" i="41"/>
  <c r="J21" i="41" s="1"/>
  <c r="U15" i="41"/>
  <c r="R15" i="41" s="1"/>
  <c r="K10" i="41"/>
  <c r="AJ10" i="41" s="1"/>
  <c r="AM10" i="41" s="1"/>
  <c r="V26" i="41"/>
  <c r="R26" i="41" s="1"/>
  <c r="V18" i="41"/>
  <c r="R18" i="41" s="1"/>
  <c r="AK17" i="41"/>
  <c r="U23" i="41"/>
  <c r="T23" i="41" s="1"/>
  <c r="X15" i="41"/>
  <c r="L25" i="41"/>
  <c r="J25" i="41" s="1"/>
  <c r="V14" i="41"/>
  <c r="AK14" i="41" s="1"/>
  <c r="K14" i="41"/>
  <c r="I31" i="41"/>
  <c r="O27" i="41"/>
  <c r="T16" i="41"/>
  <c r="V20" i="41"/>
  <c r="AK20" i="41" s="1"/>
  <c r="S31" i="41"/>
  <c r="Y27" i="41"/>
  <c r="N19" i="41"/>
  <c r="U24" i="41"/>
  <c r="N11" i="41"/>
  <c r="K13" i="41"/>
  <c r="K28" i="41"/>
  <c r="K15" i="41"/>
  <c r="X20" i="41"/>
  <c r="M27" i="41"/>
  <c r="M31" i="41" s="1"/>
  <c r="K16" i="41"/>
  <c r="L15" i="41"/>
  <c r="AH27" i="41"/>
  <c r="AC31" i="41"/>
  <c r="R19" i="41"/>
  <c r="L19" i="41"/>
  <c r="J19" i="41" s="1"/>
  <c r="L20" i="41"/>
  <c r="J20" i="41" s="1"/>
  <c r="K17" i="41"/>
  <c r="K24" i="41"/>
  <c r="K18" i="41"/>
  <c r="U29" i="41"/>
  <c r="W27" i="41"/>
  <c r="W31" i="41" s="1"/>
  <c r="AH31" i="41" l="1"/>
  <c r="AI31" i="41"/>
  <c r="AJ12" i="41"/>
  <c r="AM12" i="41" s="1"/>
  <c r="AK11" i="41"/>
  <c r="T12" i="41"/>
  <c r="R12" i="41"/>
  <c r="R23" i="41"/>
  <c r="R21" i="41"/>
  <c r="AK23" i="41"/>
  <c r="R11" i="41"/>
  <c r="T21" i="41"/>
  <c r="AK21" i="41"/>
  <c r="J22" i="41"/>
  <c r="AJ22" i="41"/>
  <c r="AM22" i="41" s="1"/>
  <c r="AJ26" i="41"/>
  <c r="AM26" i="41" s="1"/>
  <c r="T17" i="41"/>
  <c r="H26" i="41"/>
  <c r="T25" i="41"/>
  <c r="J10" i="41"/>
  <c r="R13" i="41"/>
  <c r="T22" i="41"/>
  <c r="J30" i="41"/>
  <c r="AJ30" i="41"/>
  <c r="AM30" i="41" s="1"/>
  <c r="R22" i="41"/>
  <c r="AK22" i="41"/>
  <c r="AK13" i="41"/>
  <c r="AK26" i="41"/>
  <c r="T26" i="41"/>
  <c r="H9" i="41"/>
  <c r="H10" i="41"/>
  <c r="T30" i="41"/>
  <c r="R30" i="41"/>
  <c r="J12" i="41"/>
  <c r="J9" i="41"/>
  <c r="H29" i="41"/>
  <c r="T15" i="41"/>
  <c r="AK28" i="41"/>
  <c r="R28" i="41"/>
  <c r="J29" i="41"/>
  <c r="AK15" i="41"/>
  <c r="R14" i="41"/>
  <c r="R17" i="41"/>
  <c r="J23" i="41"/>
  <c r="H23" i="41"/>
  <c r="AK10" i="41"/>
  <c r="R10" i="41"/>
  <c r="AJ23" i="41"/>
  <c r="AM23" i="41" s="1"/>
  <c r="R20" i="41"/>
  <c r="T13" i="41"/>
  <c r="AK25" i="41"/>
  <c r="T18" i="41"/>
  <c r="AJ25" i="41"/>
  <c r="AM25" i="41" s="1"/>
  <c r="AJ21" i="41"/>
  <c r="AM21" i="41" s="1"/>
  <c r="H25" i="41"/>
  <c r="H21" i="41"/>
  <c r="T14" i="41"/>
  <c r="AK18" i="41"/>
  <c r="K27" i="41"/>
  <c r="K31" i="41" s="1"/>
  <c r="I33" i="41" s="1"/>
  <c r="X27" i="41"/>
  <c r="T20" i="41"/>
  <c r="T19" i="41"/>
  <c r="AJ16" i="41"/>
  <c r="AM16" i="41" s="1"/>
  <c r="J16" i="41"/>
  <c r="H16" i="41"/>
  <c r="T24" i="41"/>
  <c r="R24" i="41"/>
  <c r="AK24" i="41"/>
  <c r="X31" i="41"/>
  <c r="Y31" i="41"/>
  <c r="AJ11" i="41"/>
  <c r="AM11" i="41" s="1"/>
  <c r="T29" i="41"/>
  <c r="R29" i="41"/>
  <c r="AK29" i="41"/>
  <c r="L27" i="41"/>
  <c r="L31" i="41" s="1"/>
  <c r="I34" i="41" s="1"/>
  <c r="N31" i="41"/>
  <c r="O31" i="41"/>
  <c r="H11" i="41"/>
  <c r="J18" i="41"/>
  <c r="H18" i="41"/>
  <c r="AJ18" i="41"/>
  <c r="AM18" i="41" s="1"/>
  <c r="V27" i="41"/>
  <c r="V31" i="41" s="1"/>
  <c r="AM9" i="41"/>
  <c r="N27" i="41"/>
  <c r="AK16" i="41"/>
  <c r="J24" i="41"/>
  <c r="H24" i="41"/>
  <c r="AJ24" i="41"/>
  <c r="AM24" i="41" s="1"/>
  <c r="AK9" i="41"/>
  <c r="H14" i="41"/>
  <c r="AJ14" i="41"/>
  <c r="AM14" i="41" s="1"/>
  <c r="J14" i="41"/>
  <c r="R16" i="41"/>
  <c r="AJ19" i="41"/>
  <c r="AM19" i="41" s="1"/>
  <c r="J17" i="41"/>
  <c r="H17" i="41"/>
  <c r="AJ17" i="41"/>
  <c r="AM17" i="41" s="1"/>
  <c r="AJ15" i="41"/>
  <c r="AM15" i="41" s="1"/>
  <c r="H15" i="41"/>
  <c r="J15" i="41"/>
  <c r="R9" i="41"/>
  <c r="AJ20" i="41"/>
  <c r="AM20" i="41" s="1"/>
  <c r="H19" i="41"/>
  <c r="J28" i="41"/>
  <c r="H28" i="41"/>
  <c r="AJ28" i="41"/>
  <c r="AM28" i="41" s="1"/>
  <c r="T9" i="41"/>
  <c r="H20" i="41"/>
  <c r="AK19" i="41"/>
  <c r="J13" i="41"/>
  <c r="H13" i="41"/>
  <c r="AJ13" i="41"/>
  <c r="AM13" i="41" s="1"/>
  <c r="U27" i="41"/>
  <c r="U31" i="41" s="1"/>
  <c r="J27" i="41" l="1"/>
  <c r="J31" i="41" s="1"/>
  <c r="H27" i="41"/>
  <c r="H31" i="41" s="1"/>
  <c r="R27" i="41"/>
  <c r="R31" i="41" s="1"/>
  <c r="AJ27" i="41"/>
  <c r="AJ31" i="41" s="1"/>
  <c r="AK27" i="41"/>
  <c r="AK31" i="41" s="1"/>
  <c r="T27" i="41"/>
  <c r="T31" i="41" s="1"/>
  <c r="AM27" i="41"/>
  <c r="AM31" i="41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O16" i="17" l="1"/>
  <c r="AP16" i="17" s="1"/>
  <c r="AQ8" i="17"/>
  <c r="AR8" i="17" s="1"/>
  <c r="AY8" i="17" s="1"/>
  <c r="AO10" i="17"/>
  <c r="AP10" i="17" s="1"/>
  <c r="AQ20" i="17"/>
  <c r="AR20" i="17" s="1"/>
  <c r="AY20" i="17" s="1"/>
  <c r="AO12" i="17"/>
  <c r="AP12" i="17" s="1"/>
  <c r="AQ12" i="17"/>
  <c r="AR12" i="17" s="1"/>
  <c r="AY12" i="17" s="1"/>
  <c r="AO14" i="17"/>
  <c r="AP14" i="17" s="1"/>
  <c r="AO6" i="17"/>
  <c r="AP6" i="17" s="1"/>
  <c r="AQ16" i="17"/>
  <c r="AR16" i="17" s="1"/>
  <c r="AY16" i="17" s="1"/>
  <c r="AO8" i="17"/>
  <c r="AP8" i="17" s="1"/>
  <c r="AZ8" i="17" s="1"/>
  <c r="AO18" i="17"/>
  <c r="AP18" i="17" s="1"/>
  <c r="AO20" i="17"/>
  <c r="AP20" i="17" s="1"/>
  <c r="AO7" i="17"/>
  <c r="AO11" i="17"/>
  <c r="AP11" i="17" s="1"/>
  <c r="AO15" i="17"/>
  <c r="AP15" i="17" s="1"/>
  <c r="AO19" i="17"/>
  <c r="AP19" i="17" s="1"/>
  <c r="AO23" i="17"/>
  <c r="AP23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Q23" i="17"/>
  <c r="AR23" i="17" s="1"/>
  <c r="AY23" i="17" s="1"/>
  <c r="AO22" i="17"/>
  <c r="AP22" i="17" s="1"/>
  <c r="AQ6" i="17"/>
  <c r="AR6" i="17" s="1"/>
  <c r="AQ10" i="17"/>
  <c r="AR10" i="17" s="1"/>
  <c r="AY10" i="17" s="1"/>
  <c r="AQ14" i="17"/>
  <c r="AR14" i="17" s="1"/>
  <c r="AY14" i="17" s="1"/>
  <c r="AQ18" i="17"/>
  <c r="AR18" i="17" s="1"/>
  <c r="AY18" i="17" s="1"/>
  <c r="AQ22" i="17"/>
  <c r="AR22" i="17" s="1"/>
  <c r="AY22" i="17" s="1"/>
  <c r="AO9" i="17"/>
  <c r="AP9" i="17" s="1"/>
  <c r="AZ9" i="17" s="1"/>
  <c r="AO13" i="17"/>
  <c r="AP13" i="17" s="1"/>
  <c r="AO17" i="17"/>
  <c r="AP17" i="17" s="1"/>
  <c r="AO21" i="17"/>
  <c r="AP21" i="17" s="1"/>
  <c r="AQ9" i="17"/>
  <c r="AR9" i="17" s="1"/>
  <c r="AY9" i="17" s="1"/>
  <c r="AQ13" i="17"/>
  <c r="AR13" i="17" s="1"/>
  <c r="AY13" i="17" s="1"/>
  <c r="AQ17" i="17"/>
  <c r="AR17" i="17" s="1"/>
  <c r="AY17" i="17" s="1"/>
  <c r="AC10" i="17"/>
  <c r="AD10" i="17" s="1"/>
  <c r="AK10" i="17" s="1"/>
  <c r="AA9" i="17"/>
  <c r="AB9" i="17" s="1"/>
  <c r="AL9" i="17" s="1"/>
  <c r="AC11" i="17"/>
  <c r="AD11" i="17" s="1"/>
  <c r="AK11" i="17" s="1"/>
  <c r="AC12" i="17"/>
  <c r="AD12" i="17" s="1"/>
  <c r="AK12" i="17" s="1"/>
  <c r="AC13" i="17"/>
  <c r="AD13" i="17" s="1"/>
  <c r="AK13" i="17" s="1"/>
  <c r="AC21" i="17"/>
  <c r="AD21" i="17" s="1"/>
  <c r="AK21" i="17" s="1"/>
  <c r="AC20" i="17"/>
  <c r="AD20" i="17" s="1"/>
  <c r="AK20" i="17" s="1"/>
  <c r="AC14" i="17"/>
  <c r="AD14" i="17" s="1"/>
  <c r="AK14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A10" i="17"/>
  <c r="AB10" i="17" s="1"/>
  <c r="AL10" i="17" s="1"/>
  <c r="AC8" i="17"/>
  <c r="AD8" i="17" s="1"/>
  <c r="AK8" i="17" s="1"/>
  <c r="AA7" i="17"/>
  <c r="AB7" i="17" s="1"/>
  <c r="AA6" i="17"/>
  <c r="AP7" i="17"/>
  <c r="AR19" i="17"/>
  <c r="AY19" i="17" s="1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AT9" i="17" s="1"/>
  <c r="AV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P21" i="17" s="1"/>
  <c r="W21" i="17" s="1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1" i="17"/>
  <c r="W11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P12" i="17"/>
  <c r="W12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BD9" i="17" l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<sst xmlns="http://schemas.openxmlformats.org/spreadsheetml/2006/main" count="145" uniqueCount="69">
  <si>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</si>
  <si>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</si>
  <si>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</si>
  <si>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</si>
  <si>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</si>
  <si>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</si>
  <si>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</si>
  <si>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</si>
  <si>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</si>
  <si>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</si>
  <si>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</si>
  <si>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</si>
  <si>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</si>
  <si>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</si>
  <si>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</si>
  <si>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</si>
  <si>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</si>
  <si>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</si>
  <si>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</si>
  <si>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</si>
  <si>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</si>
  <si>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</si>
  <si>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</si>
  <si>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</si>
  <si>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</si>
  <si>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</si>
  <si>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</si>
  <si>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</si>
  <si>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</si>
  <si>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</si>
  <si>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</si>
  <si>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</si>
  <si>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</si>
  <si>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</si>
  <si>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</si>
  <si>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</si>
  <si>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</si>
  <si>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</si>
  <si>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</si>
  <si>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№ п\п</t>
  </si>
  <si>
    <t>Название муниципального района</t>
  </si>
  <si>
    <t>предельный уровень софинансирования, %</t>
  </si>
  <si>
    <t>2024 год</t>
  </si>
  <si>
    <t>Количество Центров в МР (ГО)</t>
  </si>
  <si>
    <t>ВСЕГО</t>
  </si>
  <si>
    <t>распределение</t>
  </si>
  <si>
    <t>ИТОГО ФБ+ОБ</t>
  </si>
  <si>
    <t>фб_по предельному уровню</t>
  </si>
  <si>
    <t>об_по рпедельному уровню</t>
  </si>
  <si>
    <t>ФБ+ОБ+МБ</t>
  </si>
  <si>
    <t>об_по предельному уровню</t>
  </si>
  <si>
    <t>мб_по предельному уровню</t>
  </si>
  <si>
    <t>Волосовский</t>
  </si>
  <si>
    <t>Волховский</t>
  </si>
  <si>
    <t>Гатчинский</t>
  </si>
  <si>
    <t>Ломоносовский</t>
  </si>
  <si>
    <t>средняя стоимость 1 объекта</t>
  </si>
  <si>
    <t>Всего по МР (ГО)</t>
  </si>
  <si>
    <t>ГУ</t>
  </si>
  <si>
    <t>0702</t>
  </si>
  <si>
    <t>0703</t>
  </si>
  <si>
    <t>0704</t>
  </si>
  <si>
    <t>проверка % софинансирования МБ</t>
  </si>
  <si>
    <t>В проект закона, руб</t>
  </si>
  <si>
    <t>В проект закона, тыс. руб.</t>
  </si>
  <si>
    <t>2025 год</t>
  </si>
  <si>
    <t>2026 год</t>
  </si>
  <si>
    <t>Расчет объма субсидий бюджетам муниципальных образований Ленинградской областина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на 2024 год и на плановый период 2025 и 2026 годов</t>
  </si>
  <si>
    <t>Приложение 48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</si>
</sst>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0.0%"/>
    <numFmt numFmtId="177" formatCode="0.00000000000000%"/>
    <numFmt numFmtId="178" formatCode="0.000000000%"/>
    <numFmt numFmtId="179" formatCode="0.0000000000000%"/>
    <numFmt numFmtId="180" formatCode="_(* #,##0.0_);_(* \(#,##0.0\);_(* \-??_);_(@_)"/>
    <numFmt numFmtId="181" formatCode="_(* #,##0.0000_);_(* \(#,##0.0000\);_(* \-??_);_(@_)"/>
  </numFmts>
  <fonts count="28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6">
    <xf numFmtId="0" fontId="0" fillId="0" borderId="0"/>
    <xf numFmtId="164" fontId="20" fillId="0" borderId="0" applyBorder="0" applyProtection="0"/>
    <xf numFmtId="9" fontId="20" fillId="0" borderId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5" fillId="0" borderId="0" applyBorder="0" applyProtection="0"/>
    <xf numFmtId="9" fontId="5" fillId="0" borderId="0" applyBorder="0" applyProtection="0"/>
    <xf numFmtId="173" fontId="21" fillId="0" borderId="0" applyFill="0" applyBorder="0" applyAlignment="0" applyProtection="0"/>
    <xf numFmtId="9" fontId="21" fillId="0" borderId="0" applyFill="0" applyBorder="0" applyAlignment="0" applyProtection="0"/>
    <xf numFmtId="0" fontId="7" fillId="0" borderId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9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5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" fillId="0" borderId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173" fontId="5" fillId="0" borderId="0" applyFill="0" applyBorder="0" applyAlignment="0" applyProtection="0"/>
    <xf numFmtId="173" fontId="5" fillId="0" borderId="0" applyFill="0" applyBorder="0" applyAlignment="0" applyProtection="0"/>
    <xf numFmtId="9" fontId="5" fillId="0" borderId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167" fontId="10" fillId="0" borderId="1" xfId="1" applyNumberFormat="1" applyFont="1" applyBorder="1" applyAlignment="1" applyProtection="1">
      <alignment vertical="center" wrapText="1"/>
    </xf>
    <xf numFmtId="167" fontId="12" fillId="0" borderId="1" xfId="1" applyNumberFormat="1" applyFont="1" applyBorder="1" applyAlignment="1" applyProtection="1">
      <alignment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4" fillId="0" borderId="1" xfId="11" applyFont="1" applyBorder="1" applyAlignment="1">
      <alignment vertical="center" wrapText="1"/>
    </xf>
    <xf numFmtId="0" fontId="5" fillId="0" borderId="0" xfId="7"/>
    <xf numFmtId="0" fontId="15" fillId="0" borderId="0" xfId="11" applyFont="1" applyBorder="1" applyAlignment="1">
      <alignment vertical="center" wrapText="1"/>
    </xf>
    <xf numFmtId="0" fontId="11" fillId="0" borderId="1" xfId="8" applyFont="1" applyBorder="1" applyAlignment="1">
      <alignment horizontal="center" vertical="center" wrapText="1"/>
    </xf>
    <xf numFmtId="166" fontId="11" fillId="0" borderId="1" xfId="1" applyNumberFormat="1" applyFont="1" applyBorder="1" applyAlignment="1" applyProtection="1">
      <alignment horizontal="center" vertical="center" wrapText="1"/>
    </xf>
    <xf numFmtId="1" fontId="11" fillId="0" borderId="1" xfId="8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1" fontId="11" fillId="0" borderId="1" xfId="60" applyNumberFormat="1" applyFont="1" applyBorder="1" applyAlignment="1" applyProtection="1">
      <alignment horizontal="center" vertical="center" wrapText="1"/>
    </xf>
    <xf numFmtId="170" fontId="16" fillId="0" borderId="1" xfId="60" applyNumberFormat="1" applyFont="1" applyBorder="1" applyAlignment="1" applyProtection="1">
      <alignment horizontal="center" vertical="center" wrapText="1"/>
    </xf>
    <xf numFmtId="4" fontId="16" fillId="0" borderId="1" xfId="1" applyNumberFormat="1" applyFont="1" applyBorder="1" applyAlignment="1" applyProtection="1">
      <alignment horizontal="center" vertical="center" wrapText="1"/>
    </xf>
    <xf numFmtId="0" fontId="17" fillId="0" borderId="0" xfId="11" applyFont="1"/>
    <xf numFmtId="0" fontId="7" fillId="0" borderId="0" xfId="11" applyFont="1"/>
    <xf numFmtId="167" fontId="12" fillId="0" borderId="1" xfId="1" applyNumberFormat="1" applyFont="1" applyFill="1" applyBorder="1" applyAlignment="1" applyProtection="1">
      <alignment vertical="center" wrapText="1"/>
    </xf>
    <xf numFmtId="0" fontId="7" fillId="0" borderId="0" xfId="11" applyFont="1" applyFill="1"/>
    <xf numFmtId="0" fontId="8" fillId="0" borderId="0" xfId="11" applyFont="1" applyFill="1" applyBorder="1" applyAlignment="1">
      <alignment horizontal="center" vertical="center" wrapText="1"/>
    </xf>
    <xf numFmtId="168" fontId="10" fillId="0" borderId="1" xfId="2" applyNumberFormat="1" applyFont="1" applyFill="1" applyBorder="1" applyAlignment="1" applyProtection="1">
      <alignment vertical="center" wrapText="1"/>
    </xf>
    <xf numFmtId="4" fontId="16" fillId="0" borderId="1" xfId="60" applyNumberFormat="1" applyFont="1" applyBorder="1" applyAlignment="1" applyProtection="1">
      <alignment horizontal="center"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0" fontId="19" fillId="0" borderId="0" xfId="7" applyFont="1"/>
    <xf numFmtId="0" fontId="19" fillId="0" borderId="0" xfId="0" applyFont="1"/>
    <xf numFmtId="0" fontId="11" fillId="0" borderId="1" xfId="8" applyFont="1" applyFill="1" applyBorder="1" applyAlignment="1">
      <alignment horizontal="center" vertical="center" wrapText="1"/>
    </xf>
    <xf numFmtId="169" fontId="5" fillId="0" borderId="0" xfId="7" applyNumberFormat="1"/>
    <xf numFmtId="169" fontId="19" fillId="0" borderId="0" xfId="7" applyNumberFormat="1" applyFont="1"/>
    <xf numFmtId="171" fontId="20" fillId="0" borderId="0" xfId="2" applyNumberFormat="1"/>
    <xf numFmtId="166" fontId="11" fillId="0" borderId="1" xfId="1" applyNumberFormat="1" applyFont="1" applyFill="1" applyBorder="1" applyAlignment="1" applyProtection="1">
      <alignment horizontal="center" vertical="center" wrapText="1"/>
    </xf>
    <xf numFmtId="172" fontId="20" fillId="0" borderId="1" xfId="2" applyNumberFormat="1" applyBorder="1" applyProtection="1"/>
    <xf numFmtId="0" fontId="13" fillId="0" borderId="1" xfId="8" applyFont="1" applyBorder="1" applyAlignment="1">
      <alignment horizontal="center" vertical="center" wrapText="1"/>
    </xf>
    <xf numFmtId="9" fontId="20" fillId="0" borderId="1" xfId="2" applyBorder="1" applyProtection="1"/>
    <xf numFmtId="4" fontId="17" fillId="0" borderId="0" xfId="11" applyNumberFormat="1" applyFont="1"/>
    <xf numFmtId="174" fontId="20" fillId="0" borderId="1" xfId="2" applyNumberFormat="1" applyBorder="1" applyProtection="1"/>
    <xf numFmtId="171" fontId="20" fillId="0" borderId="1" xfId="2" applyNumberFormat="1" applyBorder="1" applyProtection="1"/>
    <xf numFmtId="0" fontId="17" fillId="0" borderId="0" xfId="11" applyFont="1" applyAlignment="1">
      <alignment horizontal="right"/>
    </xf>
    <xf numFmtId="4" fontId="22" fillId="0" borderId="0" xfId="7" applyNumberFormat="1" applyFont="1"/>
    <xf numFmtId="171" fontId="17" fillId="0" borderId="0" xfId="11" applyNumberFormat="1" applyFont="1"/>
    <xf numFmtId="4" fontId="11" fillId="0" borderId="0" xfId="1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7" applyAlignment="1">
      <alignment wrapText="1"/>
    </xf>
    <xf numFmtId="0" fontId="0" fillId="0" borderId="0" xfId="0" applyAlignment="1">
      <alignment wrapText="1"/>
    </xf>
    <xf numFmtId="169" fontId="5" fillId="0" borderId="1" xfId="7" applyNumberFormat="1" applyBorder="1" applyAlignment="1">
      <alignment horizontal="center"/>
    </xf>
    <xf numFmtId="169" fontId="5" fillId="0" borderId="1" xfId="7" applyNumberFormat="1" applyBorder="1"/>
    <xf numFmtId="169" fontId="16" fillId="0" borderId="1" xfId="1" applyNumberFormat="1" applyFont="1" applyBorder="1" applyAlignment="1" applyProtection="1">
      <alignment horizontal="center" vertical="center" wrapText="1"/>
    </xf>
    <xf numFmtId="4" fontId="17" fillId="0" borderId="0" xfId="11" applyNumberFormat="1" applyFont="1" applyFill="1"/>
    <xf numFmtId="166" fontId="17" fillId="0" borderId="0" xfId="1" applyNumberFormat="1" applyFont="1" applyBorder="1" applyAlignment="1" applyProtection="1"/>
    <xf numFmtId="0" fontId="22" fillId="0" borderId="0" xfId="7" applyFont="1"/>
    <xf numFmtId="0" fontId="22" fillId="0" borderId="0" xfId="0" applyFont="1"/>
    <xf numFmtId="0" fontId="7" fillId="0" borderId="0" xfId="11" applyFont="1" applyBorder="1"/>
    <xf numFmtId="167" fontId="7" fillId="0" borderId="0" xfId="11" applyNumberFormat="1" applyFont="1" applyBorder="1"/>
    <xf numFmtId="170" fontId="7" fillId="0" borderId="0" xfId="11" applyNumberFormat="1" applyFont="1" applyBorder="1"/>
    <xf numFmtId="166" fontId="7" fillId="0" borderId="0" xfId="11" applyNumberFormat="1" applyFont="1" applyBorder="1"/>
    <xf numFmtId="0" fontId="5" fillId="0" borderId="0" xfId="7" applyBorder="1"/>
    <xf numFmtId="166" fontId="5" fillId="0" borderId="0" xfId="7" applyNumberFormat="1" applyBorder="1"/>
    <xf numFmtId="0" fontId="0" fillId="0" borderId="0" xfId="0" applyBorder="1"/>
    <xf numFmtId="4" fontId="5" fillId="0" borderId="0" xfId="7" applyNumberFormat="1" applyBorder="1"/>
    <xf numFmtId="175" fontId="7" fillId="0" borderId="0" xfId="11" applyNumberFormat="1" applyFont="1"/>
    <xf numFmtId="167" fontId="7" fillId="0" borderId="0" xfId="11" applyNumberFormat="1" applyFont="1" applyFill="1" applyBorder="1"/>
    <xf numFmtId="0" fontId="17" fillId="0" borderId="0" xfId="11" applyFont="1" applyFill="1"/>
    <xf numFmtId="0" fontId="5" fillId="0" borderId="1" xfId="7" applyBorder="1" applyAlignment="1">
      <alignment horizontal="center" wrapText="1"/>
    </xf>
    <xf numFmtId="4" fontId="16" fillId="3" borderId="1" xfId="1" applyNumberFormat="1" applyFont="1" applyFill="1" applyBorder="1" applyAlignment="1" applyProtection="1">
      <alignment horizontal="center" vertical="center" wrapText="1"/>
    </xf>
    <xf numFmtId="0" fontId="13" fillId="0" borderId="0" xfId="8" applyFont="1" applyBorder="1" applyAlignment="1">
      <alignment horizontal="center" vertical="center" wrapText="1"/>
    </xf>
    <xf numFmtId="166" fontId="11" fillId="0" borderId="0" xfId="1" applyNumberFormat="1" applyFont="1" applyBorder="1" applyAlignment="1" applyProtection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170" fontId="16" fillId="0" borderId="0" xfId="60" applyNumberFormat="1" applyFont="1" applyBorder="1" applyAlignment="1" applyProtection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0" fontId="15" fillId="0" borderId="0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10" fillId="0" borderId="1" xfId="11" applyFont="1" applyBorder="1" applyAlignment="1">
      <alignment horizontal="center" vertical="center" wrapText="1"/>
    </xf>
    <xf numFmtId="1" fontId="9" fillId="5" borderId="1" xfId="8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9" fontId="9" fillId="9" borderId="1" xfId="2" applyFont="1" applyFill="1" applyBorder="1" applyProtection="1"/>
    <xf numFmtId="43" fontId="11" fillId="0" borderId="1" xfId="103" applyFont="1" applyBorder="1" applyAlignment="1">
      <alignment vertical="center" wrapText="1"/>
    </xf>
    <xf numFmtId="164" fontId="11" fillId="0" borderId="1" xfId="1" applyFont="1" applyBorder="1"/>
    <xf numFmtId="164" fontId="13" fillId="0" borderId="1" xfId="1" applyFont="1" applyBorder="1"/>
    <xf numFmtId="179" fontId="11" fillId="0" borderId="1" xfId="2" applyNumberFormat="1" applyFont="1" applyBorder="1"/>
    <xf numFmtId="43" fontId="11" fillId="0" borderId="1" xfId="103" applyFont="1" applyBorder="1" applyAlignment="1">
      <alignment vertical="center"/>
    </xf>
    <xf numFmtId="166" fontId="11" fillId="5" borderId="1" xfId="1" applyNumberFormat="1" applyFont="1" applyFill="1" applyBorder="1"/>
    <xf numFmtId="181" fontId="13" fillId="0" borderId="1" xfId="1" applyNumberFormat="1" applyFont="1" applyBorder="1"/>
    <xf numFmtId="177" fontId="11" fillId="0" borderId="1" xfId="2" applyNumberFormat="1" applyFont="1" applyBorder="1"/>
    <xf numFmtId="176" fontId="11" fillId="0" borderId="1" xfId="2" applyNumberFormat="1" applyFont="1" applyBorder="1"/>
    <xf numFmtId="9" fontId="11" fillId="0" borderId="1" xfId="2" applyFont="1" applyBorder="1"/>
    <xf numFmtId="43" fontId="11" fillId="0" borderId="0" xfId="103" applyFont="1" applyBorder="1" applyAlignment="1">
      <alignment vertical="center"/>
    </xf>
    <xf numFmtId="178" fontId="11" fillId="0" borderId="1" xfId="2" applyNumberFormat="1" applyFont="1" applyBorder="1"/>
    <xf numFmtId="180" fontId="11" fillId="0" borderId="0" xfId="1" applyNumberFormat="1" applyFont="1"/>
    <xf numFmtId="10" fontId="11" fillId="0" borderId="0" xfId="2" applyNumberFormat="1" applyFont="1"/>
    <xf numFmtId="171" fontId="11" fillId="0" borderId="0" xfId="2" applyNumberFormat="1" applyFont="1"/>
    <xf numFmtId="0" fontId="11" fillId="0" borderId="0" xfId="102" applyFont="1"/>
    <xf numFmtId="1" fontId="11" fillId="0" borderId="0" xfId="0" applyNumberFormat="1" applyFont="1" applyFill="1" applyAlignment="1">
      <alignment horizontal="right" vertical="top"/>
    </xf>
    <xf numFmtId="0" fontId="25" fillId="4" borderId="3" xfId="102" applyFont="1" applyFill="1" applyBorder="1" applyAlignment="1">
      <alignment vertical="center" wrapText="1"/>
    </xf>
    <xf numFmtId="0" fontId="25" fillId="4" borderId="4" xfId="102" applyFont="1" applyFill="1" applyBorder="1" applyAlignment="1">
      <alignment vertical="center" wrapText="1"/>
    </xf>
    <xf numFmtId="0" fontId="25" fillId="8" borderId="1" xfId="103" applyNumberFormat="1" applyFont="1" applyFill="1" applyBorder="1" applyAlignment="1">
      <alignment horizontal="center" vertical="center" wrapText="1"/>
    </xf>
    <xf numFmtId="43" fontId="26" fillId="4" borderId="1" xfId="103" applyFont="1" applyFill="1" applyBorder="1" applyAlignment="1">
      <alignment horizontal="center" vertical="center" wrapText="1"/>
    </xf>
    <xf numFmtId="43" fontId="13" fillId="0" borderId="1" xfId="103" applyFont="1" applyBorder="1" applyAlignment="1">
      <alignment vertical="center" wrapText="1"/>
    </xf>
    <xf numFmtId="43" fontId="25" fillId="4" borderId="1" xfId="103" applyFont="1" applyFill="1" applyBorder="1" applyAlignment="1">
      <alignment horizontal="center" vertical="center" wrapText="1"/>
    </xf>
    <xf numFmtId="0" fontId="25" fillId="0" borderId="1" xfId="102" applyFont="1" applyBorder="1" applyAlignment="1">
      <alignment horizontal="center" vertical="center" wrapText="1"/>
    </xf>
    <xf numFmtId="0" fontId="25" fillId="0" borderId="1" xfId="102" applyFont="1" applyBorder="1" applyAlignment="1">
      <alignment horizontal="center" vertical="center"/>
    </xf>
    <xf numFmtId="0" fontId="25" fillId="4" borderId="1" xfId="102" applyFont="1" applyFill="1" applyBorder="1" applyAlignment="1">
      <alignment horizontal="left" vertical="center"/>
    </xf>
    <xf numFmtId="9" fontId="25" fillId="9" borderId="1" xfId="105" applyNumberFormat="1" applyFont="1" applyFill="1" applyBorder="1" applyAlignment="1">
      <alignment horizontal="center" vertical="center" wrapText="1"/>
    </xf>
    <xf numFmtId="9" fontId="25" fillId="4" borderId="1" xfId="106" applyFont="1" applyFill="1" applyBorder="1" applyAlignment="1">
      <alignment horizontal="center" vertical="center"/>
    </xf>
    <xf numFmtId="0" fontId="25" fillId="7" borderId="1" xfId="102" applyFont="1" applyFill="1" applyBorder="1" applyAlignment="1">
      <alignment horizontal="center" vertical="center"/>
    </xf>
    <xf numFmtId="166" fontId="25" fillId="7" borderId="1" xfId="102" applyNumberFormat="1" applyFont="1" applyFill="1" applyBorder="1" applyAlignment="1">
      <alignment horizontal="center" vertical="center"/>
    </xf>
    <xf numFmtId="49" fontId="25" fillId="0" borderId="1" xfId="102" applyNumberFormat="1" applyFont="1" applyBorder="1" applyAlignment="1">
      <alignment horizontal="center" vertical="center"/>
    </xf>
    <xf numFmtId="176" fontId="25" fillId="8" borderId="1" xfId="105" applyNumberFormat="1" applyFont="1" applyFill="1" applyBorder="1" applyAlignment="1">
      <alignment horizontal="center" vertical="center" wrapText="1"/>
    </xf>
    <xf numFmtId="43" fontId="9" fillId="5" borderId="0" xfId="103" applyFont="1" applyFill="1"/>
    <xf numFmtId="43" fontId="11" fillId="0" borderId="0" xfId="102" applyNumberFormat="1" applyFont="1"/>
    <xf numFmtId="43" fontId="9" fillId="5" borderId="0" xfId="103" applyNumberFormat="1" applyFont="1" applyFill="1"/>
    <xf numFmtId="0" fontId="11" fillId="0" borderId="0" xfId="102" applyFont="1" applyFill="1"/>
    <xf numFmtId="43" fontId="9" fillId="2" borderId="0" xfId="103" applyFont="1" applyFill="1"/>
    <xf numFmtId="2" fontId="11" fillId="0" borderId="0" xfId="102" applyNumberFormat="1" applyFont="1"/>
    <xf numFmtId="43" fontId="11" fillId="5" borderId="0" xfId="102" applyNumberFormat="1" applyFont="1" applyFill="1"/>
    <xf numFmtId="43" fontId="11" fillId="0" borderId="0" xfId="102" applyNumberFormat="1" applyFont="1" applyFill="1"/>
    <xf numFmtId="43" fontId="11" fillId="2" borderId="0" xfId="102" applyNumberFormat="1" applyFont="1" applyFill="1"/>
    <xf numFmtId="0" fontId="18" fillId="0" borderId="2" xfId="102" applyFont="1" applyBorder="1" applyAlignment="1">
      <alignment horizontal="center" vertical="center" wrapText="1"/>
    </xf>
    <xf numFmtId="0" fontId="5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3" fillId="0" borderId="5" xfId="11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5" fillId="0" borderId="0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3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11" fillId="0" borderId="5" xfId="1" applyNumberFormat="1" applyFont="1" applyBorder="1" applyAlignment="1" applyProtection="1">
      <alignment horizontal="center" vertical="center" wrapText="1"/>
    </xf>
    <xf numFmtId="0" fontId="27" fillId="0" borderId="0" xfId="102" applyFont="1" applyBorder="1" applyAlignment="1">
      <alignment horizontal="center" vertical="center" wrapText="1"/>
    </xf>
    <xf numFmtId="0" fontId="25" fillId="0" borderId="1" xfId="102" applyFont="1" applyBorder="1" applyAlignment="1">
      <alignment horizontal="center" vertical="center" wrapText="1"/>
    </xf>
    <xf numFmtId="0" fontId="13" fillId="6" borderId="1" xfId="102" applyFont="1" applyFill="1" applyBorder="1" applyAlignment="1">
      <alignment horizontal="center" vertical="center" wrapText="1"/>
    </xf>
    <xf numFmtId="0" fontId="13" fillId="5" borderId="1" xfId="102" applyFont="1" applyFill="1" applyBorder="1" applyAlignment="1">
      <alignment horizontal="center"/>
    </xf>
    <xf numFmtId="0" fontId="11" fillId="6" borderId="1" xfId="102" applyFont="1" applyFill="1" applyBorder="1" applyAlignment="1">
      <alignment horizontal="center"/>
    </xf>
    <xf numFmtId="0" fontId="10" fillId="4" borderId="1" xfId="102" applyFont="1" applyFill="1" applyBorder="1" applyAlignment="1">
      <alignment horizontal="center" vertical="center" wrapText="1"/>
    </xf>
    <xf numFmtId="43" fontId="11" fillId="0" borderId="1" xfId="103" applyFont="1" applyBorder="1" applyAlignment="1">
      <alignment horizontal="center" vertical="center" wrapText="1"/>
    </xf>
    <xf numFmtId="43" fontId="25" fillId="4" borderId="1" xfId="103" applyFont="1" applyFill="1" applyBorder="1" applyAlignment="1">
      <alignment horizontal="center" vertical="center" wrapText="1"/>
    </xf>
    <xf numFmtId="0" fontId="25" fillId="4" borderId="5" xfId="102" applyFont="1" applyFill="1" applyBorder="1" applyAlignment="1">
      <alignment horizontal="center" vertical="center" wrapText="1"/>
    </xf>
    <xf numFmtId="0" fontId="25" fillId="4" borderId="3" xfId="102" applyFont="1" applyFill="1" applyBorder="1" applyAlignment="1">
      <alignment horizontal="center" vertical="center" wrapText="1"/>
    </xf>
    <xf numFmtId="0" fontId="25" fillId="0" borderId="1" xfId="102" applyFont="1" applyBorder="1" applyAlignment="1">
      <alignment horizontal="center" vertical="center"/>
    </xf>
    <xf numFmtId="0" fontId="25" fillId="4" borderId="1" xfId="102" applyFont="1" applyFill="1" applyBorder="1" applyAlignment="1">
      <alignment horizontal="center" vertical="center" wrapText="1"/>
    </xf>
    <xf numFmtId="43" fontId="25" fillId="8" borderId="1" xfId="103" applyFont="1" applyFill="1" applyBorder="1" applyAlignment="1">
      <alignment horizontal="center" vertical="center" wrapText="1"/>
    </xf>
    <xf numFmtId="0" fontId="9" fillId="9" borderId="1" xfId="104" applyFont="1" applyFill="1" applyBorder="1" applyAlignment="1">
      <alignment horizontal="center" vertical="center" wrapText="1"/>
    </xf>
  </cellXfs>
  <cellStyles count="116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4 2" xfId="111"/>
    <cellStyle name="Обычный 15" xfId="104"/>
    <cellStyle name="Обычный 15 2" xfId="11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 5" xfId="107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6 2" xfId="110"/>
    <cellStyle name="Процентный 7" xfId="100"/>
    <cellStyle name="Процентный 7 2" xfId="112"/>
    <cellStyle name="Процентный 8" xfId="106"/>
    <cellStyle name="Процентный 8 2" xfId="115"/>
    <cellStyle name="Финансовый" xfId="1" builtinId="3"/>
    <cellStyle name="Финансовый 10" xfId="101"/>
    <cellStyle name="Финансовый 10 2" xfId="113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2 6" xfId="108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  <cellStyle name="Финансовый 9 2" xfId="10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23" t="s">
        <v>28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68"/>
      <c r="V1" s="68"/>
      <c r="W1" s="68"/>
      <c r="X1" s="68"/>
      <c r="Y1" s="68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69" t="s">
        <v>0</v>
      </c>
      <c r="B3" s="69" t="s">
        <v>1</v>
      </c>
      <c r="C3" s="71" t="s">
        <v>2</v>
      </c>
      <c r="D3" s="71"/>
      <c r="E3" s="71"/>
      <c r="F3" s="124" t="s">
        <v>31</v>
      </c>
      <c r="G3" s="125"/>
      <c r="H3" s="126"/>
      <c r="I3" s="130" t="s">
        <v>27</v>
      </c>
      <c r="J3" s="131"/>
      <c r="K3" s="132"/>
      <c r="L3" s="31" t="s">
        <v>22</v>
      </c>
      <c r="M3" s="31"/>
      <c r="N3" s="31"/>
      <c r="O3" s="31"/>
      <c r="P3" s="31"/>
      <c r="Q3" s="31"/>
      <c r="R3" s="31"/>
      <c r="S3" s="31"/>
      <c r="T3" s="31"/>
      <c r="U3" s="136">
        <v>2021</v>
      </c>
      <c r="V3" s="137"/>
      <c r="W3" s="137"/>
      <c r="X3" s="138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136">
        <v>2022</v>
      </c>
      <c r="AJ3" s="137"/>
      <c r="AK3" s="137"/>
      <c r="AL3" s="138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136">
        <v>2023</v>
      </c>
      <c r="AX3" s="137"/>
      <c r="AY3" s="137"/>
      <c r="AZ3" s="138"/>
      <c r="BA3" s="63"/>
    </row>
    <row r="4" spans="1:1046" ht="38.25" x14ac:dyDescent="0.2">
      <c r="A4" s="69"/>
      <c r="B4" s="69"/>
      <c r="C4" s="71">
        <v>2018</v>
      </c>
      <c r="D4" s="71">
        <v>2019</v>
      </c>
      <c r="E4" s="71">
        <v>2020</v>
      </c>
      <c r="F4" s="127"/>
      <c r="G4" s="128"/>
      <c r="H4" s="129"/>
      <c r="I4" s="133"/>
      <c r="J4" s="134"/>
      <c r="K4" s="135"/>
      <c r="L4" s="8" t="s">
        <v>23</v>
      </c>
      <c r="M4" s="8" t="s">
        <v>32</v>
      </c>
      <c r="N4" s="25" t="s">
        <v>24</v>
      </c>
      <c r="O4" s="8" t="s">
        <v>33</v>
      </c>
      <c r="P4" s="9" t="s">
        <v>34</v>
      </c>
      <c r="Q4" s="9" t="s">
        <v>36</v>
      </c>
      <c r="R4" s="29" t="s">
        <v>35</v>
      </c>
      <c r="S4" s="29"/>
      <c r="T4" s="9" t="s">
        <v>25</v>
      </c>
      <c r="U4" s="139" t="s">
        <v>37</v>
      </c>
      <c r="V4" s="138"/>
      <c r="W4" s="139" t="s">
        <v>38</v>
      </c>
      <c r="X4" s="138"/>
      <c r="Y4" s="9"/>
      <c r="Z4" s="8" t="s">
        <v>23</v>
      </c>
      <c r="AA4" s="8" t="s">
        <v>32</v>
      </c>
      <c r="AB4" s="25" t="s">
        <v>24</v>
      </c>
      <c r="AC4" s="8" t="s">
        <v>33</v>
      </c>
      <c r="AD4" s="9" t="s">
        <v>34</v>
      </c>
      <c r="AE4" s="9" t="s">
        <v>36</v>
      </c>
      <c r="AF4" s="29" t="s">
        <v>35</v>
      </c>
      <c r="AG4" s="29"/>
      <c r="AH4" s="9" t="s">
        <v>25</v>
      </c>
      <c r="AI4" s="139" t="s">
        <v>37</v>
      </c>
      <c r="AJ4" s="138"/>
      <c r="AK4" s="139" t="s">
        <v>38</v>
      </c>
      <c r="AL4" s="138"/>
      <c r="AM4" s="9"/>
      <c r="AN4" s="8" t="s">
        <v>23</v>
      </c>
      <c r="AO4" s="8" t="s">
        <v>32</v>
      </c>
      <c r="AP4" s="25" t="s">
        <v>24</v>
      </c>
      <c r="AQ4" s="8" t="s">
        <v>33</v>
      </c>
      <c r="AR4" s="9" t="s">
        <v>34</v>
      </c>
      <c r="AS4" s="9" t="s">
        <v>36</v>
      </c>
      <c r="AT4" s="29" t="s">
        <v>35</v>
      </c>
      <c r="AU4" s="29"/>
      <c r="AV4" s="9" t="s">
        <v>25</v>
      </c>
      <c r="AW4" s="139" t="s">
        <v>37</v>
      </c>
      <c r="AX4" s="138"/>
      <c r="AY4" s="139" t="s">
        <v>38</v>
      </c>
      <c r="AZ4" s="138"/>
      <c r="BA4" s="64"/>
      <c r="BB4" s="117" t="s">
        <v>26</v>
      </c>
      <c r="BC4" s="118"/>
      <c r="BD4" s="119"/>
    </row>
    <row r="5" spans="1:1046" s="42" customFormat="1" ht="15" x14ac:dyDescent="0.2">
      <c r="A5" s="69"/>
      <c r="B5" s="69"/>
      <c r="C5" s="71"/>
      <c r="D5" s="71"/>
      <c r="E5" s="71"/>
      <c r="F5" s="71">
        <v>2021</v>
      </c>
      <c r="G5" s="71">
        <v>2022</v>
      </c>
      <c r="H5" s="71">
        <v>2023</v>
      </c>
      <c r="I5" s="67">
        <v>2021</v>
      </c>
      <c r="J5" s="67">
        <v>2022</v>
      </c>
      <c r="K5" s="67">
        <v>2023</v>
      </c>
      <c r="L5" s="120">
        <v>2021</v>
      </c>
      <c r="M5" s="121"/>
      <c r="N5" s="121"/>
      <c r="O5" s="121"/>
      <c r="P5" s="121"/>
      <c r="Q5" s="121"/>
      <c r="R5" s="121"/>
      <c r="S5" s="121"/>
      <c r="T5" s="122"/>
      <c r="U5" s="70" t="s">
        <v>30</v>
      </c>
      <c r="V5" s="70" t="s">
        <v>29</v>
      </c>
      <c r="W5" s="70" t="s">
        <v>30</v>
      </c>
      <c r="X5" s="70" t="s">
        <v>29</v>
      </c>
      <c r="Y5" s="70"/>
      <c r="Z5" s="120">
        <v>2022</v>
      </c>
      <c r="AA5" s="121"/>
      <c r="AB5" s="121"/>
      <c r="AC5" s="121"/>
      <c r="AD5" s="121"/>
      <c r="AE5" s="121"/>
      <c r="AF5" s="121"/>
      <c r="AG5" s="121"/>
      <c r="AH5" s="122"/>
      <c r="AI5" s="70" t="s">
        <v>30</v>
      </c>
      <c r="AJ5" s="70" t="s">
        <v>29</v>
      </c>
      <c r="AK5" s="70" t="s">
        <v>30</v>
      </c>
      <c r="AL5" s="70" t="s">
        <v>29</v>
      </c>
      <c r="AM5" s="70"/>
      <c r="AN5" s="120">
        <v>2023</v>
      </c>
      <c r="AO5" s="121"/>
      <c r="AP5" s="121"/>
      <c r="AQ5" s="121"/>
      <c r="AR5" s="121"/>
      <c r="AS5" s="121"/>
      <c r="AT5" s="121"/>
      <c r="AU5" s="121"/>
      <c r="AV5" s="122"/>
      <c r="AW5" s="70" t="s">
        <v>30</v>
      </c>
      <c r="AX5" s="70" t="s">
        <v>29</v>
      </c>
      <c r="AY5" s="70" t="s">
        <v>30</v>
      </c>
      <c r="AZ5" s="70" t="s">
        <v>29</v>
      </c>
      <c r="BA5" s="65"/>
      <c r="BB5" s="61">
        <v>2021</v>
      </c>
      <c r="BC5" s="61">
        <v>2022</v>
      </c>
      <c r="BD5" s="61">
        <v>2023</v>
      </c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</row>
    <row r="6" spans="1:1046" ht="15" x14ac:dyDescent="0.2">
      <c r="A6" s="69">
        <v>1</v>
      </c>
      <c r="B6" s="4" t="s">
        <v>3</v>
      </c>
      <c r="C6" s="1">
        <v>1.492</v>
      </c>
      <c r="D6" s="1">
        <v>1.492</v>
      </c>
      <c r="E6" s="1">
        <v>1.492</v>
      </c>
      <c r="F6" s="32">
        <f t="shared" ref="F6:F23" si="0">100%-I6</f>
        <v>0.89</v>
      </c>
      <c r="G6" s="32">
        <f t="shared" ref="G6:H21" si="1">100%-J6</f>
        <v>0.89</v>
      </c>
      <c r="H6" s="32">
        <f t="shared" si="1"/>
        <v>0.89</v>
      </c>
      <c r="I6" s="20">
        <v>0.11</v>
      </c>
      <c r="J6" s="20">
        <v>0.11</v>
      </c>
      <c r="K6" s="20">
        <v>0.11</v>
      </c>
      <c r="L6" s="10"/>
      <c r="M6" s="34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4">
        <f t="shared" ref="O6:O16" si="4">$N$28/$N$26</f>
        <v>4.409920681208445E-2</v>
      </c>
      <c r="P6" s="40">
        <f t="shared" ref="P6:P16" si="5">ROUND($N$26*(($L6*$F6)/SUMPRODUCT($F$6:$F$23,$L$6:$L$23))*O6,0)</f>
        <v>0</v>
      </c>
      <c r="Q6" s="40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4">
        <f>$AB$27/$AB$26</f>
        <v>0.96007585770091119</v>
      </c>
      <c r="AB6" s="11">
        <f>ROUND($N$26*(($L6*$F6)/SUMPRODUCT($F$6:$F$23,$L$6:$L$23))*AA6,0)</f>
        <v>0</v>
      </c>
      <c r="AC6" s="34">
        <f>$AB$28/$AB$26</f>
        <v>3.9924142299088757E-2</v>
      </c>
      <c r="AD6" s="40">
        <f>ROUND($N$26*(($L6*$F6)/SUMPRODUCT($F$6:$F$23,$L$6:$L$23))*AC6,0)</f>
        <v>0</v>
      </c>
      <c r="AE6" s="40">
        <f>AB6+AD6</f>
        <v>0</v>
      </c>
      <c r="AF6" s="11">
        <f t="shared" ref="AF6:AF23" si="9">ROUNDUP(AE6/G6*J6,-2)</f>
        <v>0</v>
      </c>
      <c r="AG6" s="35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4">
        <f>$AP$27/$AP$26</f>
        <v>0.32999311079100646</v>
      </c>
      <c r="AP6" s="11">
        <f>ROUND($AP$26*(($AN6*$H6)/SUMPRODUCT($AN$6:$AN$23,$H$6:$H$23))*AO6,0)</f>
        <v>0</v>
      </c>
      <c r="AQ6" s="34">
        <f>$AP$28/$AP$26</f>
        <v>0.67000688920899354</v>
      </c>
      <c r="AR6" s="40">
        <f>ROUND($AP$26*(($AN6*$H6)/SUMPRODUCT($AN$6:$AN$23,$H$6:$H$23))*AQ6,0)</f>
        <v>0</v>
      </c>
      <c r="AS6" s="40">
        <f>AP6+AR6</f>
        <v>0</v>
      </c>
      <c r="AT6" s="11">
        <f t="shared" ref="AT6:AT23" si="10">ROUNDUP(AS6/H6*K6,-2)</f>
        <v>0</v>
      </c>
      <c r="AU6" s="35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39"/>
      <c r="BB6" s="43">
        <f>ROUND(Q6/1000,1)</f>
        <v>0</v>
      </c>
      <c r="BC6" s="44">
        <f>ROUND(AE6/1000,1)</f>
        <v>0</v>
      </c>
      <c r="BD6" s="44">
        <f t="shared" ref="BD6:BD16" si="11">ROUND(AS6/1000,1)</f>
        <v>0</v>
      </c>
      <c r="BF6" s="26"/>
      <c r="BG6" s="26"/>
      <c r="BH6" s="26"/>
    </row>
    <row r="7" spans="1:1046" ht="15" x14ac:dyDescent="0.2">
      <c r="A7" s="69">
        <v>2</v>
      </c>
      <c r="B7" s="4" t="s">
        <v>4</v>
      </c>
      <c r="C7" s="1">
        <v>1.492</v>
      </c>
      <c r="D7" s="1">
        <v>1.492</v>
      </c>
      <c r="E7" s="1">
        <v>1.492</v>
      </c>
      <c r="F7" s="32">
        <f t="shared" si="0"/>
        <v>0.9</v>
      </c>
      <c r="G7" s="32">
        <f t="shared" si="1"/>
        <v>0.9</v>
      </c>
      <c r="H7" s="32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4">
        <f t="shared" si="2"/>
        <v>0.95590079318791554</v>
      </c>
      <c r="N7" s="11">
        <f t="shared" si="3"/>
        <v>1880591</v>
      </c>
      <c r="O7" s="34">
        <f t="shared" si="4"/>
        <v>4.409920681208445E-2</v>
      </c>
      <c r="P7" s="40">
        <f>ROUND($N$26*(($L7*$F7)/SUMPRODUCT($F$6:$F$23,$L$6:$L$23))*O7,0)</f>
        <v>86759</v>
      </c>
      <c r="Q7" s="40">
        <f t="shared" si="6"/>
        <v>1967350</v>
      </c>
      <c r="R7" s="11">
        <f t="shared" si="7"/>
        <v>218600</v>
      </c>
      <c r="S7" s="35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4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4">
        <f t="shared" ref="AC7:AC23" si="16">$AB$28/$AB$26</f>
        <v>3.9924142299088757E-2</v>
      </c>
      <c r="AD7" s="11">
        <f>ROUND($AB$26*(($Z7*$G7)/SUMPRODUCT($Z$7:$Z$23,$G$7:$G$23))*AC7,0)</f>
        <v>0</v>
      </c>
      <c r="AE7" s="40">
        <f t="shared" ref="AE7:AE23" si="17">AB7+AD7</f>
        <v>0</v>
      </c>
      <c r="AF7" s="11">
        <f t="shared" si="9"/>
        <v>0</v>
      </c>
      <c r="AG7" s="35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4">
        <f t="shared" ref="AO7:AO23" si="22">$AP$27/$AP$26</f>
        <v>0.32999311079100646</v>
      </c>
      <c r="AP7" s="11">
        <f>ROUND($AP$26*(($AN7*$H7)/SUMPRODUCT($AN$6:$AN$23,$H$6:$H$23))*AO7,0)</f>
        <v>0</v>
      </c>
      <c r="AQ7" s="34">
        <f t="shared" ref="AQ7:AQ23" si="23">$AP$28/$AP$26</f>
        <v>0.67000688920899354</v>
      </c>
      <c r="AR7" s="40">
        <f>ROUND($AP$26*(($AN7*$H7)/SUMPRODUCT($AN$6:$AN$23,$H$6:$H$23))*AQ7,0)</f>
        <v>0</v>
      </c>
      <c r="AS7" s="40">
        <f t="shared" ref="AS7:AS23" si="24">AP7+AR7</f>
        <v>0</v>
      </c>
      <c r="AT7" s="11">
        <f t="shared" si="10"/>
        <v>0</v>
      </c>
      <c r="AU7" s="35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39"/>
      <c r="BB7" s="43">
        <f>ROUND(Q7/1000,1)</f>
        <v>1967.4</v>
      </c>
      <c r="BC7" s="44">
        <f>ROUND(AE7/1000,1)</f>
        <v>0</v>
      </c>
      <c r="BD7" s="44">
        <f t="shared" si="11"/>
        <v>0</v>
      </c>
      <c r="BF7" s="26"/>
      <c r="BG7" s="26"/>
      <c r="BH7" s="26"/>
    </row>
    <row r="8" spans="1:1046" ht="15" x14ac:dyDescent="0.2">
      <c r="A8" s="69">
        <v>3</v>
      </c>
      <c r="B8" s="4" t="s">
        <v>5</v>
      </c>
      <c r="C8" s="1">
        <v>1.492</v>
      </c>
      <c r="D8" s="1">
        <v>1.492</v>
      </c>
      <c r="E8" s="1">
        <v>1.492</v>
      </c>
      <c r="F8" s="32">
        <f t="shared" si="0"/>
        <v>0.9</v>
      </c>
      <c r="G8" s="32">
        <f t="shared" si="1"/>
        <v>0.9</v>
      </c>
      <c r="H8" s="32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4">
        <f t="shared" si="2"/>
        <v>0.95590079318791554</v>
      </c>
      <c r="N8" s="11">
        <f t="shared" si="3"/>
        <v>1880591</v>
      </c>
      <c r="O8" s="34">
        <f t="shared" si="4"/>
        <v>4.409920681208445E-2</v>
      </c>
      <c r="P8" s="40">
        <f t="shared" si="5"/>
        <v>86759</v>
      </c>
      <c r="Q8" s="40">
        <f t="shared" si="6"/>
        <v>1967350</v>
      </c>
      <c r="R8" s="11">
        <f t="shared" si="7"/>
        <v>218600</v>
      </c>
      <c r="S8" s="35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4">
        <f t="shared" si="14"/>
        <v>0.96007585770091119</v>
      </c>
      <c r="AB8" s="11">
        <f t="shared" si="15"/>
        <v>0</v>
      </c>
      <c r="AC8" s="34">
        <f t="shared" si="16"/>
        <v>3.9924142299088757E-2</v>
      </c>
      <c r="AD8" s="11">
        <f>ROUND($AB$26*(($Z8*$G8)/SUMPRODUCT($Z$7:$Z$23,$G$7:$G$23))*AC8,0)</f>
        <v>0</v>
      </c>
      <c r="AE8" s="40">
        <f t="shared" si="17"/>
        <v>0</v>
      </c>
      <c r="AF8" s="11">
        <f t="shared" si="9"/>
        <v>0</v>
      </c>
      <c r="AG8" s="35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4">
        <f t="shared" si="22"/>
        <v>0.32999311079100646</v>
      </c>
      <c r="AP8" s="11">
        <f>ROUND($AP$26*(($AN8*$H8)/SUMPRODUCT($AN$6:$AN$23,$H$6:$H$23))*AO8,0)</f>
        <v>0</v>
      </c>
      <c r="AQ8" s="34">
        <f t="shared" si="23"/>
        <v>0.67000688920899354</v>
      </c>
      <c r="AR8" s="40">
        <f>ROUND($AP$26*(($AN8*$H8)/SUMPRODUCT($AN$6:$AN$23,$H$6:$H$23))*AQ8,0)</f>
        <v>0</v>
      </c>
      <c r="AS8" s="40">
        <f t="shared" si="24"/>
        <v>0</v>
      </c>
      <c r="AT8" s="11">
        <f t="shared" si="10"/>
        <v>0</v>
      </c>
      <c r="AU8" s="35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39"/>
      <c r="BB8" s="43">
        <f>ROUND(Q8/1000,1)</f>
        <v>1967.4</v>
      </c>
      <c r="BC8" s="44">
        <f>ROUND(AE8/1000,1)</f>
        <v>0</v>
      </c>
      <c r="BD8" s="44">
        <f t="shared" si="11"/>
        <v>0</v>
      </c>
      <c r="BF8" s="26"/>
      <c r="BG8" s="26"/>
      <c r="BH8" s="26"/>
    </row>
    <row r="9" spans="1:1046" ht="15" x14ac:dyDescent="0.2">
      <c r="A9" s="69">
        <v>4</v>
      </c>
      <c r="B9" s="4" t="s">
        <v>6</v>
      </c>
      <c r="C9" s="1">
        <v>1.492</v>
      </c>
      <c r="D9" s="1">
        <v>1.492</v>
      </c>
      <c r="E9" s="1">
        <v>1.492</v>
      </c>
      <c r="F9" s="32">
        <f t="shared" si="0"/>
        <v>0.9</v>
      </c>
      <c r="G9" s="32">
        <f t="shared" si="1"/>
        <v>0.9</v>
      </c>
      <c r="H9" s="32">
        <f t="shared" si="1"/>
        <v>0.9</v>
      </c>
      <c r="I9" s="20">
        <v>0.1</v>
      </c>
      <c r="J9" s="20">
        <v>0.1</v>
      </c>
      <c r="K9" s="20">
        <v>0.1</v>
      </c>
      <c r="L9" s="12"/>
      <c r="M9" s="34">
        <f t="shared" si="2"/>
        <v>0.95590079318791554</v>
      </c>
      <c r="N9" s="11">
        <f t="shared" si="3"/>
        <v>0</v>
      </c>
      <c r="O9" s="34">
        <f t="shared" si="4"/>
        <v>4.409920681208445E-2</v>
      </c>
      <c r="P9" s="40">
        <f t="shared" si="5"/>
        <v>0</v>
      </c>
      <c r="Q9" s="40">
        <f t="shared" si="6"/>
        <v>0</v>
      </c>
      <c r="R9" s="11">
        <f t="shared" si="7"/>
        <v>0</v>
      </c>
      <c r="S9" s="35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4">
        <f t="shared" si="14"/>
        <v>0.96007585770091119</v>
      </c>
      <c r="AB9" s="11">
        <f t="shared" si="15"/>
        <v>0</v>
      </c>
      <c r="AC9" s="34">
        <f t="shared" si="16"/>
        <v>3.9924142299088757E-2</v>
      </c>
      <c r="AD9" s="11">
        <f>ROUND($AB$26*(($Z9*$G9)/SUMPRODUCT($Z$7:$Z$23,$G$7:$G$23))*AC9,0)</f>
        <v>0</v>
      </c>
      <c r="AE9" s="40">
        <f t="shared" si="17"/>
        <v>0</v>
      </c>
      <c r="AF9" s="11">
        <f t="shared" si="9"/>
        <v>0</v>
      </c>
      <c r="AG9" s="35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4">
        <f t="shared" si="22"/>
        <v>0.32999311079100646</v>
      </c>
      <c r="AP9" s="11">
        <f>ROUND($AP$26*(($AN9*$H9)/SUMPRODUCT($AN$6:$AN$23,$H$6:$H$23))*AO9,0)</f>
        <v>0</v>
      </c>
      <c r="AQ9" s="34">
        <f t="shared" si="23"/>
        <v>0.67000688920899354</v>
      </c>
      <c r="AR9" s="40">
        <f>ROUND($AP$26*(($AN9*$H9)/SUMPRODUCT($AN$6:$AN$23,$H$6:$H$23))*AQ9,0)</f>
        <v>0</v>
      </c>
      <c r="AS9" s="40">
        <f t="shared" si="24"/>
        <v>0</v>
      </c>
      <c r="AT9" s="11">
        <f t="shared" si="10"/>
        <v>0</v>
      </c>
      <c r="AU9" s="35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39"/>
      <c r="BB9" s="43">
        <f>ROUND(Q9/1000,1)</f>
        <v>0</v>
      </c>
      <c r="BC9" s="44">
        <f>ROUND(AE9/1000,1)</f>
        <v>0</v>
      </c>
      <c r="BD9" s="44">
        <f t="shared" si="11"/>
        <v>0</v>
      </c>
      <c r="BF9" s="26"/>
      <c r="BG9" s="26"/>
      <c r="BH9" s="26"/>
    </row>
    <row r="10" spans="1:1046" ht="15" x14ac:dyDescent="0.2">
      <c r="A10" s="69">
        <v>5</v>
      </c>
      <c r="B10" s="4" t="s">
        <v>7</v>
      </c>
      <c r="C10" s="1">
        <v>1.492</v>
      </c>
      <c r="D10" s="1">
        <v>1.492</v>
      </c>
      <c r="E10" s="1">
        <v>1.492</v>
      </c>
      <c r="F10" s="32">
        <f t="shared" si="0"/>
        <v>0.88</v>
      </c>
      <c r="G10" s="32">
        <f t="shared" si="1"/>
        <v>0.88</v>
      </c>
      <c r="H10" s="32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4">
        <f t="shared" si="2"/>
        <v>0.95590079318791554</v>
      </c>
      <c r="N10" s="11">
        <f t="shared" si="3"/>
        <v>5516401</v>
      </c>
      <c r="O10" s="34">
        <f t="shared" si="4"/>
        <v>4.409920681208445E-2</v>
      </c>
      <c r="P10" s="40">
        <f t="shared" si="5"/>
        <v>254492</v>
      </c>
      <c r="Q10" s="40">
        <f t="shared" si="6"/>
        <v>5770893</v>
      </c>
      <c r="R10" s="11">
        <f t="shared" si="7"/>
        <v>787000</v>
      </c>
      <c r="S10" s="35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4">
        <f t="shared" si="14"/>
        <v>0.96007585770091119</v>
      </c>
      <c r="AB10" s="11">
        <f t="shared" si="15"/>
        <v>0</v>
      </c>
      <c r="AC10" s="34">
        <f t="shared" si="16"/>
        <v>3.9924142299088757E-2</v>
      </c>
      <c r="AD10" s="11">
        <f>ROUND($AB$26*(($Z10*$G10)/SUMPRODUCT($Z$7:$Z$23,$G$7:$G$23))*AC10,0)</f>
        <v>0</v>
      </c>
      <c r="AE10" s="40">
        <f t="shared" si="17"/>
        <v>0</v>
      </c>
      <c r="AF10" s="11">
        <f t="shared" si="9"/>
        <v>0</v>
      </c>
      <c r="AG10" s="35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4">
        <f t="shared" si="22"/>
        <v>0.32999311079100646</v>
      </c>
      <c r="AP10" s="11">
        <f>ROUND($AP$26*(($AN10*$H10)/SUMPRODUCT($AN$6:$AN$23,$H$6:$H$23))*AO10,0)</f>
        <v>0</v>
      </c>
      <c r="AQ10" s="34">
        <f t="shared" si="23"/>
        <v>0.67000688920899354</v>
      </c>
      <c r="AR10" s="40">
        <f>ROUND($AP$26*(($AN10*$H10)/SUMPRODUCT($AN$6:$AN$23,$H$6:$H$23))*AQ10,0)</f>
        <v>0</v>
      </c>
      <c r="AS10" s="40">
        <f t="shared" si="24"/>
        <v>0</v>
      </c>
      <c r="AT10" s="11">
        <f t="shared" si="10"/>
        <v>0</v>
      </c>
      <c r="AU10" s="35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39"/>
      <c r="BB10" s="43">
        <f>ROUNDDOWN(Q10/1000,1)</f>
        <v>5770.8</v>
      </c>
      <c r="BC10" s="44">
        <f>ROUND(AE10/1000,1)</f>
        <v>0</v>
      </c>
      <c r="BD10" s="44">
        <f t="shared" si="11"/>
        <v>0</v>
      </c>
      <c r="BF10" s="26"/>
      <c r="BG10" s="26"/>
      <c r="BH10" s="26"/>
    </row>
    <row r="11" spans="1:1046" ht="15" x14ac:dyDescent="0.2">
      <c r="A11" s="69">
        <v>6</v>
      </c>
      <c r="B11" s="4" t="s">
        <v>8</v>
      </c>
      <c r="C11" s="1">
        <v>1.492</v>
      </c>
      <c r="D11" s="1">
        <v>1.492</v>
      </c>
      <c r="E11" s="1">
        <v>1.492</v>
      </c>
      <c r="F11" s="32">
        <f t="shared" si="0"/>
        <v>0.9</v>
      </c>
      <c r="G11" s="32">
        <f t="shared" si="1"/>
        <v>0.9</v>
      </c>
      <c r="H11" s="32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4">
        <f t="shared" si="2"/>
        <v>0.95590079318791554</v>
      </c>
      <c r="N11" s="11">
        <f t="shared" si="3"/>
        <v>5641774</v>
      </c>
      <c r="O11" s="34">
        <f t="shared" si="4"/>
        <v>4.409920681208445E-2</v>
      </c>
      <c r="P11" s="40">
        <f t="shared" si="5"/>
        <v>260276</v>
      </c>
      <c r="Q11" s="40">
        <f t="shared" si="6"/>
        <v>5902050</v>
      </c>
      <c r="R11" s="11">
        <f t="shared" si="7"/>
        <v>655800</v>
      </c>
      <c r="S11" s="35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4">
        <f t="shared" si="14"/>
        <v>0.96007585770091119</v>
      </c>
      <c r="AB11" s="11">
        <f t="shared" si="15"/>
        <v>5659813</v>
      </c>
      <c r="AC11" s="34">
        <f t="shared" si="16"/>
        <v>3.9924142299088757E-2</v>
      </c>
      <c r="AD11" s="11">
        <f>ROUND($AB$26*(($Z11*$G11)/SUMPRODUCT($Z$7:$Z$23,$G$7:$G$23))*AC11,0)</f>
        <v>235360</v>
      </c>
      <c r="AE11" s="40">
        <f t="shared" si="17"/>
        <v>5895173</v>
      </c>
      <c r="AF11" s="11">
        <f t="shared" si="9"/>
        <v>655100</v>
      </c>
      <c r="AG11" s="35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4">
        <f t="shared" si="22"/>
        <v>0.32999311079100646</v>
      </c>
      <c r="AP11" s="11">
        <f>ROUND($AP$26*(($AN11*$H11)/SUMPRODUCT($AN$6:$AN$23,$H$6:$H$23))*AO11,0)-1</f>
        <v>110192</v>
      </c>
      <c r="AQ11" s="34">
        <f t="shared" si="23"/>
        <v>0.67000688920899354</v>
      </c>
      <c r="AR11" s="40">
        <f>ROUND($AP$26*(($AN11*$H11)/SUMPRODUCT($AN$6:$AN$23,$H$6:$H$23))*AQ11,0)+1</f>
        <v>223733</v>
      </c>
      <c r="AS11" s="40">
        <f t="shared" si="24"/>
        <v>333925</v>
      </c>
      <c r="AT11" s="11">
        <f t="shared" si="10"/>
        <v>49900</v>
      </c>
      <c r="AU11" s="35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39"/>
      <c r="BB11" s="43">
        <f>ROUNDDOWN(Q11/1000,1)</f>
        <v>5902</v>
      </c>
      <c r="BC11" s="44">
        <f>ROUNDDOWN(AE11/1000,1)</f>
        <v>5895.1</v>
      </c>
      <c r="BD11" s="44">
        <f t="shared" si="11"/>
        <v>333.9</v>
      </c>
      <c r="BF11" s="26"/>
      <c r="BG11" s="26"/>
      <c r="BH11" s="26"/>
    </row>
    <row r="12" spans="1:1046" ht="15" x14ac:dyDescent="0.2">
      <c r="A12" s="69">
        <v>7</v>
      </c>
      <c r="B12" s="4" t="s">
        <v>9</v>
      </c>
      <c r="C12" s="1">
        <v>1.492</v>
      </c>
      <c r="D12" s="1">
        <v>1.492</v>
      </c>
      <c r="E12" s="1">
        <v>1.492</v>
      </c>
      <c r="F12" s="32">
        <f t="shared" si="0"/>
        <v>0.88</v>
      </c>
      <c r="G12" s="32">
        <f t="shared" si="1"/>
        <v>0.88</v>
      </c>
      <c r="H12" s="32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4">
        <f t="shared" si="2"/>
        <v>0.95590079318791554</v>
      </c>
      <c r="N12" s="11">
        <f t="shared" si="3"/>
        <v>0</v>
      </c>
      <c r="O12" s="34">
        <f t="shared" si="4"/>
        <v>4.409920681208445E-2</v>
      </c>
      <c r="P12" s="40">
        <f t="shared" si="5"/>
        <v>0</v>
      </c>
      <c r="Q12" s="40">
        <f t="shared" si="6"/>
        <v>0</v>
      </c>
      <c r="R12" s="11">
        <f t="shared" si="7"/>
        <v>0</v>
      </c>
      <c r="S12" s="35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4">
        <f t="shared" si="14"/>
        <v>0.96007585770091119</v>
      </c>
      <c r="AB12" s="11">
        <f t="shared" si="15"/>
        <v>5534039</v>
      </c>
      <c r="AC12" s="34">
        <f t="shared" si="16"/>
        <v>3.9924142299088757E-2</v>
      </c>
      <c r="AD12" s="11">
        <f>ROUND($AB$26*(($Z12*$G12)/SUMPRODUCT($Z$7:$Z$23,$G$7:$G$23))*AC12,0)+1</f>
        <v>230130</v>
      </c>
      <c r="AE12" s="40">
        <f t="shared" si="17"/>
        <v>5764169</v>
      </c>
      <c r="AF12" s="11">
        <f t="shared" si="9"/>
        <v>786100</v>
      </c>
      <c r="AG12" s="35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4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4">
        <f t="shared" si="23"/>
        <v>0.67000688920899354</v>
      </c>
      <c r="AR12" s="40">
        <f t="shared" ref="AR12:AR23" si="31">ROUND($AP$26*(($AN12*$H12)/SUMPRODUCT($AN$6:$AN$23,$H$6:$H$23))*AQ12,0)</f>
        <v>228875</v>
      </c>
      <c r="AS12" s="40">
        <f t="shared" si="24"/>
        <v>341601</v>
      </c>
      <c r="AT12" s="11">
        <f t="shared" si="10"/>
        <v>42300</v>
      </c>
      <c r="AU12" s="35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39"/>
      <c r="BB12" s="43">
        <f t="shared" ref="BB12:BB18" si="32">ROUND(Q12/1000,1)</f>
        <v>0</v>
      </c>
      <c r="BC12" s="44">
        <f>ROUNDDOWN(AE12/1000,1)</f>
        <v>5764.1</v>
      </c>
      <c r="BD12" s="44">
        <f t="shared" si="11"/>
        <v>341.6</v>
      </c>
      <c r="BF12" s="26"/>
      <c r="BG12" s="26"/>
      <c r="BH12" s="26"/>
    </row>
    <row r="13" spans="1:1046" ht="15" x14ac:dyDescent="0.2">
      <c r="A13" s="69">
        <v>8</v>
      </c>
      <c r="B13" s="4" t="s">
        <v>10</v>
      </c>
      <c r="C13" s="1">
        <v>1.492</v>
      </c>
      <c r="D13" s="1">
        <v>1.492</v>
      </c>
      <c r="E13" s="1">
        <v>1.492</v>
      </c>
      <c r="F13" s="32">
        <f t="shared" si="0"/>
        <v>0.87</v>
      </c>
      <c r="G13" s="32">
        <f t="shared" si="1"/>
        <v>0.87</v>
      </c>
      <c r="H13" s="32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4">
        <f t="shared" si="2"/>
        <v>0.95590079318791554</v>
      </c>
      <c r="N13" s="11">
        <f t="shared" si="3"/>
        <v>0</v>
      </c>
      <c r="O13" s="34">
        <f t="shared" si="4"/>
        <v>4.409920681208445E-2</v>
      </c>
      <c r="P13" s="40">
        <f t="shared" si="5"/>
        <v>0</v>
      </c>
      <c r="Q13" s="40">
        <f t="shared" si="6"/>
        <v>0</v>
      </c>
      <c r="R13" s="11">
        <f t="shared" si="7"/>
        <v>0</v>
      </c>
      <c r="S13" s="35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4">
        <f t="shared" si="14"/>
        <v>0.96007585770091119</v>
      </c>
      <c r="AB13" s="11">
        <f t="shared" si="15"/>
        <v>0</v>
      </c>
      <c r="AC13" s="34">
        <f t="shared" si="16"/>
        <v>3.9924142299088757E-2</v>
      </c>
      <c r="AD13" s="11">
        <f t="shared" ref="AD13:AD23" si="33">ROUND($AB$26*(($Z13*$G13)/SUMPRODUCT($Z$7:$Z$23,$G$7:$G$23))*AC13,0)</f>
        <v>0</v>
      </c>
      <c r="AE13" s="40">
        <f t="shared" si="17"/>
        <v>0</v>
      </c>
      <c r="AF13" s="11">
        <f t="shared" si="9"/>
        <v>0</v>
      </c>
      <c r="AG13" s="35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4">
        <f t="shared" si="22"/>
        <v>0.32999311079100646</v>
      </c>
      <c r="AP13" s="11">
        <f t="shared" si="30"/>
        <v>0</v>
      </c>
      <c r="AQ13" s="34">
        <f t="shared" si="23"/>
        <v>0.67000688920899354</v>
      </c>
      <c r="AR13" s="40">
        <f t="shared" si="31"/>
        <v>0</v>
      </c>
      <c r="AS13" s="40">
        <f t="shared" si="24"/>
        <v>0</v>
      </c>
      <c r="AT13" s="11">
        <f t="shared" si="10"/>
        <v>0</v>
      </c>
      <c r="AU13" s="35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39"/>
      <c r="BB13" s="43">
        <f t="shared" si="32"/>
        <v>0</v>
      </c>
      <c r="BC13" s="44">
        <f t="shared" ref="BC13:BC23" si="34">ROUND(AE13/1000,1)</f>
        <v>0</v>
      </c>
      <c r="BD13" s="44">
        <f t="shared" si="11"/>
        <v>0</v>
      </c>
      <c r="BF13" s="26"/>
      <c r="BG13" s="26"/>
      <c r="BH13" s="26"/>
    </row>
    <row r="14" spans="1:1046" ht="15" x14ac:dyDescent="0.2">
      <c r="A14" s="69">
        <v>9</v>
      </c>
      <c r="B14" s="4" t="s">
        <v>11</v>
      </c>
      <c r="C14" s="1">
        <v>1.492</v>
      </c>
      <c r="D14" s="1">
        <v>1.492</v>
      </c>
      <c r="E14" s="1">
        <v>1.492</v>
      </c>
      <c r="F14" s="32">
        <f t="shared" si="0"/>
        <v>0.9</v>
      </c>
      <c r="G14" s="32">
        <f t="shared" si="1"/>
        <v>0.9</v>
      </c>
      <c r="H14" s="32">
        <f t="shared" si="1"/>
        <v>0.9</v>
      </c>
      <c r="I14" s="20">
        <v>0.1</v>
      </c>
      <c r="J14" s="20">
        <v>0.1</v>
      </c>
      <c r="K14" s="20">
        <v>0.1</v>
      </c>
      <c r="L14" s="12"/>
      <c r="M14" s="34">
        <f t="shared" si="2"/>
        <v>0.95590079318791554</v>
      </c>
      <c r="N14" s="11">
        <f t="shared" si="3"/>
        <v>0</v>
      </c>
      <c r="O14" s="34">
        <f t="shared" si="4"/>
        <v>4.409920681208445E-2</v>
      </c>
      <c r="P14" s="40">
        <f t="shared" si="5"/>
        <v>0</v>
      </c>
      <c r="Q14" s="40">
        <f t="shared" si="6"/>
        <v>0</v>
      </c>
      <c r="R14" s="11">
        <f t="shared" si="7"/>
        <v>0</v>
      </c>
      <c r="S14" s="35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4">
        <f t="shared" si="14"/>
        <v>0.96007585770091119</v>
      </c>
      <c r="AB14" s="11">
        <f t="shared" si="15"/>
        <v>1886604</v>
      </c>
      <c r="AC14" s="34">
        <f t="shared" si="16"/>
        <v>3.9924142299088757E-2</v>
      </c>
      <c r="AD14" s="11">
        <f t="shared" si="33"/>
        <v>78453</v>
      </c>
      <c r="AE14" s="40">
        <f t="shared" si="17"/>
        <v>1965057</v>
      </c>
      <c r="AF14" s="11">
        <f t="shared" si="9"/>
        <v>218400</v>
      </c>
      <c r="AG14" s="35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4">
        <f t="shared" si="22"/>
        <v>0.32999311079100646</v>
      </c>
      <c r="AP14" s="11">
        <f t="shared" si="30"/>
        <v>37998</v>
      </c>
      <c r="AQ14" s="34">
        <f t="shared" si="23"/>
        <v>0.67000688920899354</v>
      </c>
      <c r="AR14" s="40">
        <f t="shared" si="31"/>
        <v>77149</v>
      </c>
      <c r="AS14" s="40">
        <f t="shared" si="24"/>
        <v>115147</v>
      </c>
      <c r="AT14" s="11">
        <f t="shared" si="10"/>
        <v>12800</v>
      </c>
      <c r="AU14" s="35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39"/>
      <c r="BB14" s="43">
        <f t="shared" si="32"/>
        <v>0</v>
      </c>
      <c r="BC14" s="44">
        <f t="shared" si="34"/>
        <v>1965.1</v>
      </c>
      <c r="BD14" s="44">
        <f t="shared" si="11"/>
        <v>115.1</v>
      </c>
      <c r="BF14" s="26"/>
      <c r="BG14" s="26"/>
      <c r="BH14" s="26"/>
    </row>
    <row r="15" spans="1:1046" ht="15" x14ac:dyDescent="0.2">
      <c r="A15" s="69">
        <v>10</v>
      </c>
      <c r="B15" s="4" t="s">
        <v>12</v>
      </c>
      <c r="C15" s="1">
        <v>1.492</v>
      </c>
      <c r="D15" s="1">
        <v>1.492</v>
      </c>
      <c r="E15" s="1">
        <v>1.492</v>
      </c>
      <c r="F15" s="32">
        <f t="shared" si="0"/>
        <v>0.9</v>
      </c>
      <c r="G15" s="32">
        <f t="shared" si="1"/>
        <v>0.9</v>
      </c>
      <c r="H15" s="32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4">
        <f t="shared" si="2"/>
        <v>0.95590079318791554</v>
      </c>
      <c r="N15" s="11">
        <f t="shared" si="3"/>
        <v>1880591</v>
      </c>
      <c r="O15" s="34">
        <f t="shared" si="4"/>
        <v>4.409920681208445E-2</v>
      </c>
      <c r="P15" s="40">
        <f t="shared" si="5"/>
        <v>86759</v>
      </c>
      <c r="Q15" s="40">
        <f t="shared" si="6"/>
        <v>1967350</v>
      </c>
      <c r="R15" s="11">
        <f t="shared" si="7"/>
        <v>218600</v>
      </c>
      <c r="S15" s="35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4">
        <f t="shared" si="14"/>
        <v>0.96007585770091119</v>
      </c>
      <c r="AB15" s="11">
        <f t="shared" si="15"/>
        <v>3773209</v>
      </c>
      <c r="AC15" s="34">
        <f t="shared" si="16"/>
        <v>3.9924142299088757E-2</v>
      </c>
      <c r="AD15" s="11">
        <f t="shared" si="33"/>
        <v>156906</v>
      </c>
      <c r="AE15" s="40">
        <f t="shared" si="17"/>
        <v>3930115</v>
      </c>
      <c r="AF15" s="11">
        <f t="shared" si="9"/>
        <v>436700</v>
      </c>
      <c r="AG15" s="35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4">
        <f t="shared" si="22"/>
        <v>0.32999311079100646</v>
      </c>
      <c r="AP15" s="11">
        <f t="shared" si="30"/>
        <v>75995</v>
      </c>
      <c r="AQ15" s="34">
        <f t="shared" si="23"/>
        <v>0.67000688920899354</v>
      </c>
      <c r="AR15" s="40">
        <f t="shared" si="31"/>
        <v>154298</v>
      </c>
      <c r="AS15" s="40">
        <f t="shared" si="24"/>
        <v>230293</v>
      </c>
      <c r="AT15" s="11">
        <f t="shared" si="10"/>
        <v>25600</v>
      </c>
      <c r="AU15" s="35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39"/>
      <c r="BB15" s="43">
        <f t="shared" si="32"/>
        <v>1967.4</v>
      </c>
      <c r="BC15" s="44">
        <f t="shared" si="34"/>
        <v>3930.1</v>
      </c>
      <c r="BD15" s="44">
        <f t="shared" si="11"/>
        <v>230.3</v>
      </c>
      <c r="BF15" s="26"/>
      <c r="BG15" s="26"/>
      <c r="BH15" s="26"/>
    </row>
    <row r="16" spans="1:1046" ht="15" x14ac:dyDescent="0.2">
      <c r="A16" s="69">
        <v>11</v>
      </c>
      <c r="B16" s="4" t="s">
        <v>13</v>
      </c>
      <c r="C16" s="1">
        <v>1.492</v>
      </c>
      <c r="D16" s="1">
        <v>1.492</v>
      </c>
      <c r="E16" s="1">
        <v>1.492</v>
      </c>
      <c r="F16" s="32">
        <f t="shared" si="0"/>
        <v>0.89</v>
      </c>
      <c r="G16" s="32">
        <f t="shared" si="1"/>
        <v>0.89</v>
      </c>
      <c r="H16" s="32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4">
        <f t="shared" si="2"/>
        <v>0.95590079318791554</v>
      </c>
      <c r="N16" s="11">
        <f t="shared" si="3"/>
        <v>0</v>
      </c>
      <c r="O16" s="34">
        <f t="shared" si="4"/>
        <v>4.409920681208445E-2</v>
      </c>
      <c r="P16" s="40">
        <f t="shared" si="5"/>
        <v>0</v>
      </c>
      <c r="Q16" s="40">
        <f t="shared" si="6"/>
        <v>0</v>
      </c>
      <c r="R16" s="11">
        <f t="shared" si="7"/>
        <v>0</v>
      </c>
      <c r="S16" s="35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4">
        <f t="shared" si="14"/>
        <v>0.96007585770091119</v>
      </c>
      <c r="AB16" s="11">
        <f t="shared" si="15"/>
        <v>0</v>
      </c>
      <c r="AC16" s="34">
        <f t="shared" si="16"/>
        <v>3.9924142299088757E-2</v>
      </c>
      <c r="AD16" s="11">
        <f t="shared" si="33"/>
        <v>0</v>
      </c>
      <c r="AE16" s="40">
        <f t="shared" si="17"/>
        <v>0</v>
      </c>
      <c r="AF16" s="11">
        <f t="shared" si="9"/>
        <v>0</v>
      </c>
      <c r="AG16" s="35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4">
        <f t="shared" si="22"/>
        <v>0.32999311079100646</v>
      </c>
      <c r="AP16" s="11">
        <f t="shared" si="30"/>
        <v>0</v>
      </c>
      <c r="AQ16" s="34">
        <f t="shared" si="23"/>
        <v>0.67000688920899354</v>
      </c>
      <c r="AR16" s="40">
        <f t="shared" si="31"/>
        <v>0</v>
      </c>
      <c r="AS16" s="40">
        <f t="shared" si="24"/>
        <v>0</v>
      </c>
      <c r="AT16" s="11">
        <f t="shared" si="10"/>
        <v>0</v>
      </c>
      <c r="AU16" s="35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39"/>
      <c r="BB16" s="43">
        <f t="shared" si="32"/>
        <v>0</v>
      </c>
      <c r="BC16" s="44">
        <f t="shared" si="34"/>
        <v>0</v>
      </c>
      <c r="BD16" s="44">
        <f t="shared" si="11"/>
        <v>0</v>
      </c>
      <c r="BF16" s="26"/>
      <c r="BG16" s="26"/>
      <c r="BH16" s="26"/>
    </row>
    <row r="17" spans="1:1046" ht="15" x14ac:dyDescent="0.2">
      <c r="A17" s="69">
        <v>12</v>
      </c>
      <c r="B17" s="4" t="s">
        <v>14</v>
      </c>
      <c r="C17" s="1">
        <v>1.492</v>
      </c>
      <c r="D17" s="1">
        <v>1.492</v>
      </c>
      <c r="E17" s="1">
        <v>1.492</v>
      </c>
      <c r="F17" s="32">
        <f t="shared" si="0"/>
        <v>0.91</v>
      </c>
      <c r="G17" s="32">
        <f t="shared" si="1"/>
        <v>0.91</v>
      </c>
      <c r="H17" s="32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4">
        <f t="shared" si="2"/>
        <v>0.95590079318791554</v>
      </c>
      <c r="N17" s="11">
        <f>ROUND($N$26*(($L17*$F17)/SUMPRODUCT($F$6:$F$23,$L$6:$L$23))*M17,0)</f>
        <v>1901487</v>
      </c>
      <c r="O17" s="34">
        <f>$N$28/$N$26</f>
        <v>4.409920681208445E-2</v>
      </c>
      <c r="P17" s="40">
        <f>ROUND($N$26*(($L17*$F17)/SUMPRODUCT($F$6:$F$23,$L$6:$L$23))*O17,0)-3</f>
        <v>87720</v>
      </c>
      <c r="Q17" s="40">
        <f t="shared" si="6"/>
        <v>1989207</v>
      </c>
      <c r="R17" s="11">
        <f t="shared" si="7"/>
        <v>196800</v>
      </c>
      <c r="S17" s="35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4">
        <f t="shared" si="14"/>
        <v>0.96007585770091119</v>
      </c>
      <c r="AB17" s="11">
        <f t="shared" si="15"/>
        <v>1907567</v>
      </c>
      <c r="AC17" s="34">
        <f t="shared" si="16"/>
        <v>3.9924142299088757E-2</v>
      </c>
      <c r="AD17" s="11">
        <f t="shared" si="33"/>
        <v>79325</v>
      </c>
      <c r="AE17" s="40">
        <f t="shared" si="17"/>
        <v>1986892</v>
      </c>
      <c r="AF17" s="11">
        <f t="shared" si="9"/>
        <v>196600</v>
      </c>
      <c r="AG17" s="35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4">
        <f t="shared" si="22"/>
        <v>0.32999311079100646</v>
      </c>
      <c r="AP17" s="11">
        <f t="shared" si="30"/>
        <v>37998</v>
      </c>
      <c r="AQ17" s="34">
        <f t="shared" si="23"/>
        <v>0.67000688920899354</v>
      </c>
      <c r="AR17" s="40">
        <f t="shared" si="31"/>
        <v>77149</v>
      </c>
      <c r="AS17" s="40">
        <f t="shared" si="24"/>
        <v>115147</v>
      </c>
      <c r="AT17" s="11">
        <f t="shared" si="10"/>
        <v>12800</v>
      </c>
      <c r="AU17" s="35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39"/>
      <c r="BB17" s="43">
        <f t="shared" si="32"/>
        <v>1989.2</v>
      </c>
      <c r="BC17" s="44">
        <f t="shared" si="34"/>
        <v>1986.9</v>
      </c>
      <c r="BD17" s="44">
        <f>ROUNDUP(AS17/1000,1)</f>
        <v>115.19999999999999</v>
      </c>
      <c r="BF17" s="26"/>
      <c r="BG17" s="26"/>
      <c r="BH17" s="26"/>
    </row>
    <row r="18" spans="1:1046" ht="15" x14ac:dyDescent="0.2">
      <c r="A18" s="69">
        <v>13</v>
      </c>
      <c r="B18" s="4" t="s">
        <v>15</v>
      </c>
      <c r="C18" s="1">
        <v>1.492</v>
      </c>
      <c r="D18" s="1">
        <v>1.492</v>
      </c>
      <c r="E18" s="1">
        <v>1.492</v>
      </c>
      <c r="F18" s="32">
        <f t="shared" si="0"/>
        <v>0.9</v>
      </c>
      <c r="G18" s="32">
        <f t="shared" si="1"/>
        <v>0.9</v>
      </c>
      <c r="H18" s="32">
        <f t="shared" si="1"/>
        <v>0.9</v>
      </c>
      <c r="I18" s="20">
        <v>0.1</v>
      </c>
      <c r="J18" s="20">
        <v>0.1</v>
      </c>
      <c r="K18" s="20">
        <v>0.1</v>
      </c>
      <c r="L18" s="12"/>
      <c r="M18" s="34">
        <f t="shared" si="2"/>
        <v>0.95590079318791554</v>
      </c>
      <c r="N18" s="11">
        <f t="shared" si="3"/>
        <v>0</v>
      </c>
      <c r="O18" s="34">
        <f t="shared" ref="O18:O23" si="35">$N$28/$N$26</f>
        <v>4.409920681208445E-2</v>
      </c>
      <c r="P18" s="40">
        <f t="shared" ref="P18:P23" si="36">ROUND($N$26*(($L18*$F18)/SUMPRODUCT($F$6:$F$23,$L$6:$L$23))*O18,0)</f>
        <v>0</v>
      </c>
      <c r="Q18" s="40">
        <f t="shared" si="6"/>
        <v>0</v>
      </c>
      <c r="R18" s="11">
        <f t="shared" si="7"/>
        <v>0</v>
      </c>
      <c r="S18" s="35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4">
        <f t="shared" si="14"/>
        <v>0.96007585770091119</v>
      </c>
      <c r="AB18" s="11">
        <f t="shared" si="15"/>
        <v>1886604</v>
      </c>
      <c r="AC18" s="34">
        <f t="shared" si="16"/>
        <v>3.9924142299088757E-2</v>
      </c>
      <c r="AD18" s="11">
        <f t="shared" si="33"/>
        <v>78453</v>
      </c>
      <c r="AE18" s="40">
        <f t="shared" si="17"/>
        <v>1965057</v>
      </c>
      <c r="AF18" s="11">
        <f t="shared" si="9"/>
        <v>218400</v>
      </c>
      <c r="AG18" s="35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4">
        <f t="shared" si="22"/>
        <v>0.32999311079100646</v>
      </c>
      <c r="AP18" s="11">
        <f t="shared" si="30"/>
        <v>37998</v>
      </c>
      <c r="AQ18" s="34">
        <f t="shared" si="23"/>
        <v>0.67000688920899354</v>
      </c>
      <c r="AR18" s="40">
        <f t="shared" si="31"/>
        <v>77149</v>
      </c>
      <c r="AS18" s="40">
        <f t="shared" si="24"/>
        <v>115147</v>
      </c>
      <c r="AT18" s="11">
        <f t="shared" si="10"/>
        <v>12800</v>
      </c>
      <c r="AU18" s="35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39"/>
      <c r="BB18" s="43">
        <f t="shared" si="32"/>
        <v>0</v>
      </c>
      <c r="BC18" s="44">
        <f t="shared" si="34"/>
        <v>1965.1</v>
      </c>
      <c r="BD18" s="44">
        <f>ROUNDUP(AS18/1000,1)</f>
        <v>115.19999999999999</v>
      </c>
      <c r="BF18" s="26"/>
      <c r="BG18" s="26"/>
      <c r="BH18" s="26"/>
    </row>
    <row r="19" spans="1:1046" ht="15" x14ac:dyDescent="0.2">
      <c r="A19" s="69">
        <v>14</v>
      </c>
      <c r="B19" s="4" t="s">
        <v>16</v>
      </c>
      <c r="C19" s="1">
        <v>1.492</v>
      </c>
      <c r="D19" s="1">
        <v>1.492</v>
      </c>
      <c r="E19" s="1">
        <v>1.492</v>
      </c>
      <c r="F19" s="32">
        <f t="shared" si="0"/>
        <v>0.9</v>
      </c>
      <c r="G19" s="32">
        <f t="shared" si="1"/>
        <v>0.9</v>
      </c>
      <c r="H19" s="32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4">
        <f t="shared" si="2"/>
        <v>0.95590079318791554</v>
      </c>
      <c r="N19" s="11">
        <f t="shared" si="3"/>
        <v>5641774</v>
      </c>
      <c r="O19" s="34">
        <f t="shared" si="35"/>
        <v>4.409920681208445E-2</v>
      </c>
      <c r="P19" s="40">
        <f t="shared" si="36"/>
        <v>260276</v>
      </c>
      <c r="Q19" s="40">
        <f t="shared" si="6"/>
        <v>5902050</v>
      </c>
      <c r="R19" s="11">
        <f t="shared" si="7"/>
        <v>655800</v>
      </c>
      <c r="S19" s="35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4">
        <f t="shared" si="14"/>
        <v>0.96007585770091119</v>
      </c>
      <c r="AB19" s="11">
        <f t="shared" si="15"/>
        <v>1886604</v>
      </c>
      <c r="AC19" s="34">
        <f t="shared" si="16"/>
        <v>3.9924142299088757E-2</v>
      </c>
      <c r="AD19" s="11">
        <f t="shared" si="33"/>
        <v>78453</v>
      </c>
      <c r="AE19" s="40">
        <f t="shared" si="17"/>
        <v>1965057</v>
      </c>
      <c r="AF19" s="11">
        <f t="shared" si="9"/>
        <v>218400</v>
      </c>
      <c r="AG19" s="35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4">
        <f t="shared" si="22"/>
        <v>0.32999311079100646</v>
      </c>
      <c r="AP19" s="11">
        <f t="shared" si="30"/>
        <v>37998</v>
      </c>
      <c r="AQ19" s="34">
        <f t="shared" si="23"/>
        <v>0.67000688920899354</v>
      </c>
      <c r="AR19" s="40">
        <f t="shared" si="31"/>
        <v>77149</v>
      </c>
      <c r="AS19" s="40">
        <f t="shared" si="24"/>
        <v>115147</v>
      </c>
      <c r="AT19" s="11">
        <f t="shared" si="10"/>
        <v>12800</v>
      </c>
      <c r="AU19" s="35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39"/>
      <c r="BB19" s="43">
        <f>ROUNDDOWN(Q19/1000,1)</f>
        <v>5902</v>
      </c>
      <c r="BC19" s="44">
        <f t="shared" si="34"/>
        <v>1965.1</v>
      </c>
      <c r="BD19" s="44">
        <f>ROUND(AS19/1000,1)</f>
        <v>115.1</v>
      </c>
      <c r="BF19" s="26"/>
      <c r="BG19" s="26"/>
      <c r="BH19" s="26"/>
    </row>
    <row r="20" spans="1:1046" ht="15" x14ac:dyDescent="0.2">
      <c r="A20" s="69">
        <v>15</v>
      </c>
      <c r="B20" s="4" t="s">
        <v>17</v>
      </c>
      <c r="C20" s="1">
        <v>1.492</v>
      </c>
      <c r="D20" s="1">
        <v>1.492</v>
      </c>
      <c r="E20" s="1">
        <v>1.492</v>
      </c>
      <c r="F20" s="32">
        <f t="shared" si="0"/>
        <v>0.88</v>
      </c>
      <c r="G20" s="32">
        <f t="shared" si="1"/>
        <v>0.88</v>
      </c>
      <c r="H20" s="32">
        <f t="shared" si="1"/>
        <v>0.9</v>
      </c>
      <c r="I20" s="20">
        <v>0.12</v>
      </c>
      <c r="J20" s="20">
        <v>0.12</v>
      </c>
      <c r="K20" s="20">
        <v>0.1</v>
      </c>
      <c r="L20" s="12"/>
      <c r="M20" s="34">
        <f t="shared" si="2"/>
        <v>0.95590079318791554</v>
      </c>
      <c r="N20" s="11">
        <f t="shared" si="3"/>
        <v>0</v>
      </c>
      <c r="O20" s="34">
        <f t="shared" si="35"/>
        <v>4.409920681208445E-2</v>
      </c>
      <c r="P20" s="40">
        <f t="shared" si="36"/>
        <v>0</v>
      </c>
      <c r="Q20" s="40">
        <f t="shared" si="6"/>
        <v>0</v>
      </c>
      <c r="R20" s="11">
        <f t="shared" si="7"/>
        <v>0</v>
      </c>
      <c r="S20" s="35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4">
        <f t="shared" si="14"/>
        <v>0.96007585770091119</v>
      </c>
      <c r="AB20" s="11">
        <f t="shared" si="15"/>
        <v>3689360</v>
      </c>
      <c r="AC20" s="34">
        <f t="shared" si="16"/>
        <v>3.9924142299088757E-2</v>
      </c>
      <c r="AD20" s="11">
        <f t="shared" si="33"/>
        <v>153420</v>
      </c>
      <c r="AE20" s="40">
        <f t="shared" si="17"/>
        <v>3842780</v>
      </c>
      <c r="AF20" s="11">
        <f t="shared" si="9"/>
        <v>524100</v>
      </c>
      <c r="AG20" s="35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4">
        <f t="shared" si="22"/>
        <v>0.32999311079100646</v>
      </c>
      <c r="AP20" s="11">
        <f t="shared" si="30"/>
        <v>75995</v>
      </c>
      <c r="AQ20" s="34">
        <f t="shared" si="23"/>
        <v>0.67000688920899354</v>
      </c>
      <c r="AR20" s="40">
        <f t="shared" si="31"/>
        <v>154298</v>
      </c>
      <c r="AS20" s="40">
        <f t="shared" si="24"/>
        <v>230293</v>
      </c>
      <c r="AT20" s="11">
        <f t="shared" si="10"/>
        <v>25600</v>
      </c>
      <c r="AU20" s="35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39"/>
      <c r="BB20" s="43">
        <f>ROUND(Q20/1000,1)</f>
        <v>0</v>
      </c>
      <c r="BC20" s="44">
        <f t="shared" si="34"/>
        <v>3842.8</v>
      </c>
      <c r="BD20" s="44">
        <f>ROUND(AS20/1000,1)</f>
        <v>230.3</v>
      </c>
      <c r="BF20" s="26"/>
      <c r="BG20" s="26"/>
      <c r="BH20" s="26"/>
    </row>
    <row r="21" spans="1:1046" ht="15" x14ac:dyDescent="0.2">
      <c r="A21" s="69">
        <v>16</v>
      </c>
      <c r="B21" s="4" t="s">
        <v>18</v>
      </c>
      <c r="C21" s="1">
        <v>1.492</v>
      </c>
      <c r="D21" s="1">
        <v>1.492</v>
      </c>
      <c r="E21" s="1">
        <v>1.492</v>
      </c>
      <c r="F21" s="32">
        <f t="shared" si="0"/>
        <v>0.91</v>
      </c>
      <c r="G21" s="32">
        <f t="shared" si="1"/>
        <v>0.91</v>
      </c>
      <c r="H21" s="32">
        <f t="shared" si="1"/>
        <v>0.9</v>
      </c>
      <c r="I21" s="20">
        <v>0.09</v>
      </c>
      <c r="J21" s="20">
        <v>0.09</v>
      </c>
      <c r="K21" s="20">
        <v>0.1</v>
      </c>
      <c r="L21" s="12"/>
      <c r="M21" s="34">
        <f t="shared" si="2"/>
        <v>0.95590079318791554</v>
      </c>
      <c r="N21" s="11">
        <f t="shared" si="3"/>
        <v>0</v>
      </c>
      <c r="O21" s="34">
        <f t="shared" si="35"/>
        <v>4.409920681208445E-2</v>
      </c>
      <c r="P21" s="40">
        <f t="shared" si="36"/>
        <v>0</v>
      </c>
      <c r="Q21" s="40">
        <f t="shared" si="6"/>
        <v>0</v>
      </c>
      <c r="R21" s="11">
        <f t="shared" si="7"/>
        <v>0</v>
      </c>
      <c r="S21" s="35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4">
        <f t="shared" si="14"/>
        <v>0.96007585770091119</v>
      </c>
      <c r="AB21" s="11">
        <f t="shared" si="15"/>
        <v>0</v>
      </c>
      <c r="AC21" s="34">
        <f t="shared" si="16"/>
        <v>3.9924142299088757E-2</v>
      </c>
      <c r="AD21" s="11">
        <f t="shared" si="33"/>
        <v>0</v>
      </c>
      <c r="AE21" s="40">
        <f t="shared" si="17"/>
        <v>0</v>
      </c>
      <c r="AF21" s="11">
        <f t="shared" si="9"/>
        <v>0</v>
      </c>
      <c r="AG21" s="35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4">
        <f t="shared" si="22"/>
        <v>0.32999311079100646</v>
      </c>
      <c r="AP21" s="11">
        <f t="shared" si="30"/>
        <v>0</v>
      </c>
      <c r="AQ21" s="34">
        <f t="shared" si="23"/>
        <v>0.67000688920899354</v>
      </c>
      <c r="AR21" s="40">
        <f t="shared" si="31"/>
        <v>0</v>
      </c>
      <c r="AS21" s="40">
        <f t="shared" si="24"/>
        <v>0</v>
      </c>
      <c r="AT21" s="11">
        <f t="shared" si="10"/>
        <v>0</v>
      </c>
      <c r="AU21" s="35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39"/>
      <c r="BB21" s="43">
        <f>ROUND(Q21/1000,1)</f>
        <v>0</v>
      </c>
      <c r="BC21" s="44">
        <f t="shared" si="34"/>
        <v>0</v>
      </c>
      <c r="BD21" s="44">
        <f>ROUND(AS21/1000,1)</f>
        <v>0</v>
      </c>
      <c r="BF21" s="26"/>
      <c r="BG21" s="26"/>
      <c r="BH21" s="26"/>
    </row>
    <row r="22" spans="1:1046" ht="15" x14ac:dyDescent="0.2">
      <c r="A22" s="69">
        <v>17</v>
      </c>
      <c r="B22" s="4" t="s">
        <v>19</v>
      </c>
      <c r="C22" s="1">
        <v>1.492</v>
      </c>
      <c r="D22" s="1">
        <v>1.492</v>
      </c>
      <c r="E22" s="1">
        <v>1.492</v>
      </c>
      <c r="F22" s="32">
        <f t="shared" si="0"/>
        <v>0.9</v>
      </c>
      <c r="G22" s="32">
        <f>100%-J22</f>
        <v>0.9</v>
      </c>
      <c r="H22" s="32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4">
        <f t="shared" si="2"/>
        <v>0.95590079318791554</v>
      </c>
      <c r="N22" s="11">
        <f t="shared" si="3"/>
        <v>1880591</v>
      </c>
      <c r="O22" s="34">
        <f t="shared" si="35"/>
        <v>4.409920681208445E-2</v>
      </c>
      <c r="P22" s="40">
        <f t="shared" si="36"/>
        <v>86759</v>
      </c>
      <c r="Q22" s="40">
        <f t="shared" si="6"/>
        <v>1967350</v>
      </c>
      <c r="R22" s="11">
        <f t="shared" si="7"/>
        <v>218600</v>
      </c>
      <c r="S22" s="35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4">
        <f t="shared" si="14"/>
        <v>0.96007585770091119</v>
      </c>
      <c r="AB22" s="11">
        <f t="shared" si="15"/>
        <v>0</v>
      </c>
      <c r="AC22" s="34">
        <f t="shared" si="16"/>
        <v>3.9924142299088757E-2</v>
      </c>
      <c r="AD22" s="11">
        <f t="shared" si="33"/>
        <v>0</v>
      </c>
      <c r="AE22" s="40">
        <f t="shared" si="17"/>
        <v>0</v>
      </c>
      <c r="AF22" s="11">
        <f t="shared" si="9"/>
        <v>0</v>
      </c>
      <c r="AG22" s="35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4">
        <f t="shared" si="22"/>
        <v>0.32999311079100646</v>
      </c>
      <c r="AP22" s="11">
        <f t="shared" si="30"/>
        <v>0</v>
      </c>
      <c r="AQ22" s="34">
        <f t="shared" si="23"/>
        <v>0.67000688920899354</v>
      </c>
      <c r="AR22" s="40">
        <f t="shared" si="31"/>
        <v>0</v>
      </c>
      <c r="AS22" s="40">
        <f t="shared" si="24"/>
        <v>0</v>
      </c>
      <c r="AT22" s="11">
        <f t="shared" si="10"/>
        <v>0</v>
      </c>
      <c r="AU22" s="35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39"/>
      <c r="BB22" s="43">
        <f>ROUND(Q22/1000,1)</f>
        <v>1967.4</v>
      </c>
      <c r="BC22" s="44">
        <f t="shared" si="34"/>
        <v>0</v>
      </c>
      <c r="BD22" s="44">
        <f>ROUND(AS22/1000,1)</f>
        <v>0</v>
      </c>
      <c r="BF22" s="26"/>
      <c r="BG22" s="26"/>
      <c r="BH22" s="26"/>
    </row>
    <row r="23" spans="1:1046" ht="15" x14ac:dyDescent="0.2">
      <c r="A23" s="69">
        <v>18</v>
      </c>
      <c r="B23" s="4" t="s">
        <v>20</v>
      </c>
      <c r="C23" s="1">
        <v>2.113</v>
      </c>
      <c r="D23" s="1">
        <v>2.1240000000000001</v>
      </c>
      <c r="E23" s="1">
        <v>2.1240000000000001</v>
      </c>
      <c r="F23" s="32">
        <f t="shared" si="0"/>
        <v>0.75</v>
      </c>
      <c r="G23" s="32">
        <f>100%-J23</f>
        <v>0.75</v>
      </c>
      <c r="H23" s="32">
        <f>100%-K23</f>
        <v>0.77</v>
      </c>
      <c r="I23" s="20">
        <v>0.25</v>
      </c>
      <c r="J23" s="20">
        <v>0.25</v>
      </c>
      <c r="K23" s="20">
        <v>0.23</v>
      </c>
      <c r="L23" s="12"/>
      <c r="M23" s="34">
        <f t="shared" si="2"/>
        <v>0.95590079318791554</v>
      </c>
      <c r="N23" s="11">
        <f t="shared" si="3"/>
        <v>0</v>
      </c>
      <c r="O23" s="34">
        <f t="shared" si="35"/>
        <v>4.409920681208445E-2</v>
      </c>
      <c r="P23" s="40">
        <f t="shared" si="36"/>
        <v>0</v>
      </c>
      <c r="Q23" s="40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4">
        <f t="shared" si="14"/>
        <v>0.96007585770091119</v>
      </c>
      <c r="AB23" s="11">
        <f t="shared" si="15"/>
        <v>0</v>
      </c>
      <c r="AC23" s="34">
        <f t="shared" si="16"/>
        <v>3.9924142299088757E-2</v>
      </c>
      <c r="AD23" s="11">
        <f t="shared" si="33"/>
        <v>0</v>
      </c>
      <c r="AE23" s="40">
        <f t="shared" si="17"/>
        <v>0</v>
      </c>
      <c r="AF23" s="11">
        <f t="shared" si="9"/>
        <v>0</v>
      </c>
      <c r="AG23" s="35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4">
        <f t="shared" si="22"/>
        <v>0.32999311079100646</v>
      </c>
      <c r="AP23" s="11">
        <f t="shared" si="30"/>
        <v>0</v>
      </c>
      <c r="AQ23" s="34">
        <f t="shared" si="23"/>
        <v>0.67000688920899354</v>
      </c>
      <c r="AR23" s="40">
        <f t="shared" si="31"/>
        <v>0</v>
      </c>
      <c r="AS23" s="40">
        <f t="shared" si="24"/>
        <v>0</v>
      </c>
      <c r="AT23" s="11">
        <f t="shared" si="10"/>
        <v>0</v>
      </c>
      <c r="AU23" s="35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39"/>
      <c r="BB23" s="43">
        <f>ROUND(Q23/1000,1)</f>
        <v>0</v>
      </c>
      <c r="BC23" s="44">
        <f t="shared" si="34"/>
        <v>0</v>
      </c>
      <c r="BD23" s="44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21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2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2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2">
        <f>SUM(AY6:AY23)</f>
        <v>1069800</v>
      </c>
      <c r="AZ24" s="14">
        <f>SUM(AZ6:AZ23)</f>
        <v>526900</v>
      </c>
      <c r="BA24" s="66"/>
      <c r="BB24" s="45">
        <f>SUM(BB6:BB23)</f>
        <v>27433.600000000002</v>
      </c>
      <c r="BC24" s="45">
        <f>SUM(BC6:BC23)</f>
        <v>27314.3</v>
      </c>
      <c r="BD24" s="45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6" customFormat="1" x14ac:dyDescent="0.2">
      <c r="A25" s="50"/>
      <c r="B25" s="50"/>
      <c r="C25" s="51"/>
      <c r="D25" s="51"/>
      <c r="E25" s="51"/>
      <c r="F25" s="51"/>
      <c r="G25" s="51"/>
      <c r="H25" s="51"/>
      <c r="I25" s="59"/>
      <c r="J25" s="59"/>
      <c r="K25" s="59"/>
      <c r="L25" s="52"/>
      <c r="M25" s="53"/>
      <c r="N25" s="39"/>
      <c r="O25" s="53"/>
      <c r="P25" s="39"/>
      <c r="Q25" s="39"/>
      <c r="R25" s="53"/>
      <c r="S25" s="53"/>
      <c r="T25" s="53"/>
      <c r="U25" s="53"/>
      <c r="V25" s="53"/>
      <c r="W25" s="53"/>
      <c r="X25" s="53"/>
      <c r="Y25" s="53"/>
      <c r="Z25" s="54"/>
      <c r="AA25" s="54"/>
      <c r="AB25" s="54"/>
      <c r="AC25" s="55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7">
        <f>Q24</f>
        <v>27433600</v>
      </c>
      <c r="BC25" s="57">
        <f>AE24</f>
        <v>27314300</v>
      </c>
      <c r="BD25" s="57">
        <f>AS24</f>
        <v>1596700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</row>
    <row r="26" spans="1:1046" s="49" customFormat="1" x14ac:dyDescent="0.2">
      <c r="A26" s="15"/>
      <c r="B26" s="15"/>
      <c r="C26" s="15"/>
      <c r="D26" s="15"/>
      <c r="E26" s="15"/>
      <c r="F26" s="15"/>
      <c r="G26" s="15"/>
      <c r="H26" s="15"/>
      <c r="I26" s="60"/>
      <c r="J26" s="60"/>
      <c r="K26" s="60"/>
      <c r="L26" s="15"/>
      <c r="M26" s="47"/>
      <c r="N26" s="33">
        <f>N27+N28</f>
        <v>27433600</v>
      </c>
      <c r="O26" s="3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8"/>
      <c r="AA26" s="47"/>
      <c r="AB26" s="37">
        <f>AB27+AB28</f>
        <v>27314300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7"/>
      <c r="AP26" s="37">
        <f>AP27+AP28</f>
        <v>1596700</v>
      </c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>
        <f>BB25-BB24*1000</f>
        <v>0</v>
      </c>
      <c r="BC26" s="48">
        <f>BC25-BC24*1000</f>
        <v>0</v>
      </c>
      <c r="BD26" s="48">
        <f>BD25-BD24*1000</f>
        <v>0</v>
      </c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</row>
    <row r="27" spans="1:1046" s="49" customFormat="1" x14ac:dyDescent="0.2">
      <c r="A27" s="15"/>
      <c r="B27" s="15"/>
      <c r="C27" s="15"/>
      <c r="D27" s="15"/>
      <c r="E27" s="15"/>
      <c r="F27" s="15"/>
      <c r="G27" s="15"/>
      <c r="H27" s="15"/>
      <c r="I27" s="60"/>
      <c r="J27" s="60"/>
      <c r="K27" s="60"/>
      <c r="L27" s="15"/>
      <c r="M27" s="33">
        <f>N27+N28</f>
        <v>27433600</v>
      </c>
      <c r="N27" s="46">
        <f>26223800</f>
        <v>26223800</v>
      </c>
      <c r="O27" s="46" t="s">
        <v>29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8"/>
      <c r="AA27" s="48">
        <f>AB27+AB28</f>
        <v>27314300</v>
      </c>
      <c r="AB27" s="37">
        <f>26223800</f>
        <v>26223800</v>
      </c>
      <c r="AC27" s="48" t="s">
        <v>29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>
        <f>AP27+AP28</f>
        <v>1596700</v>
      </c>
      <c r="AP27" s="37">
        <v>526900</v>
      </c>
      <c r="AQ27" s="48" t="s">
        <v>29</v>
      </c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</row>
    <row r="28" spans="1:1046" s="49" customFormat="1" x14ac:dyDescent="0.2">
      <c r="A28" s="15"/>
      <c r="B28" s="15"/>
      <c r="C28" s="15"/>
      <c r="D28" s="15"/>
      <c r="E28" s="15"/>
      <c r="F28" s="15"/>
      <c r="G28" s="15"/>
      <c r="H28" s="15"/>
      <c r="I28" s="60"/>
      <c r="J28" s="60"/>
      <c r="K28" s="60"/>
      <c r="L28" s="15"/>
      <c r="M28" s="36"/>
      <c r="N28" s="37">
        <v>1209800</v>
      </c>
      <c r="O28" s="37" t="s">
        <v>30</v>
      </c>
      <c r="P28" s="38"/>
      <c r="Q28" s="38"/>
      <c r="R28" s="15"/>
      <c r="S28" s="15"/>
      <c r="T28" s="15"/>
      <c r="U28" s="15"/>
      <c r="V28" s="15"/>
      <c r="W28" s="15"/>
      <c r="X28" s="15"/>
      <c r="Y28" s="15"/>
      <c r="Z28" s="48"/>
      <c r="AA28" s="48"/>
      <c r="AB28" s="37">
        <v>1090500</v>
      </c>
      <c r="AC28" s="48" t="s">
        <v>30</v>
      </c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37">
        <v>1069800</v>
      </c>
      <c r="AQ28" s="48" t="s">
        <v>30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</row>
    <row r="29" spans="1:1046" x14ac:dyDescent="0.2">
      <c r="O29" s="58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AO37"/>
  <sheetViews>
    <sheetView tabSelected="1" view="pageBreakPreview" zoomScale="90" zoomScaleNormal="85" zoomScaleSheetLayoutView="90" workbookViewId="0">
      <selection activeCell="K9" sqref="K9"/>
    </sheetView>
  </sheetViews>
  <sheetFormatPr defaultRowHeight="12.75" x14ac:dyDescent="0.2"/>
  <cols>
    <col min="1" max="1" width="6.42578125" style="90" customWidth="1"/>
    <col min="2" max="2" width="22.7109375" style="90" customWidth="1"/>
    <col min="3" max="3" width="7" style="90" customWidth="1"/>
    <col min="4" max="4" width="7.140625" style="90" customWidth="1"/>
    <col min="5" max="5" width="7.5703125" style="90" customWidth="1"/>
    <col min="6" max="6" width="7.7109375" style="90" customWidth="1"/>
    <col min="7" max="7" width="8.5703125" style="90" bestFit="1" customWidth="1"/>
    <col min="8" max="8" width="17.85546875" style="90" customWidth="1"/>
    <col min="9" max="9" width="18.85546875" style="90" hidden="1" customWidth="1"/>
    <col min="10" max="12" width="18.85546875" style="90" customWidth="1"/>
    <col min="13" max="13" width="17.5703125" style="90" customWidth="1"/>
    <col min="14" max="14" width="21.42578125" style="90" customWidth="1"/>
    <col min="15" max="15" width="17" style="90" customWidth="1"/>
    <col min="16" max="17" width="9.85546875" style="90" hidden="1" customWidth="1"/>
    <col min="18" max="18" width="17" style="90" hidden="1" customWidth="1"/>
    <col min="19" max="19" width="19.28515625" style="90" hidden="1" customWidth="1"/>
    <col min="20" max="21" width="18.85546875" style="90" hidden="1" customWidth="1"/>
    <col min="22" max="22" width="18.42578125" style="90" hidden="1" customWidth="1"/>
    <col min="23" max="23" width="17.5703125" style="90" hidden="1" customWidth="1"/>
    <col min="24" max="24" width="21.7109375" style="90" hidden="1" customWidth="1"/>
    <col min="25" max="25" width="15" style="90" hidden="1" customWidth="1"/>
    <col min="26" max="26" width="14.7109375" style="90" hidden="1" customWidth="1"/>
    <col min="27" max="27" width="11" style="90" hidden="1" customWidth="1"/>
    <col min="28" max="28" width="15.28515625" style="90" hidden="1" customWidth="1"/>
    <col min="29" max="29" width="20.85546875" style="90" hidden="1" customWidth="1"/>
    <col min="30" max="31" width="20" style="90" hidden="1" customWidth="1"/>
    <col min="32" max="32" width="18.5703125" style="90" hidden="1" customWidth="1"/>
    <col min="33" max="33" width="18.85546875" style="90" hidden="1" customWidth="1"/>
    <col min="34" max="34" width="20.42578125" style="90" hidden="1" customWidth="1"/>
    <col min="35" max="35" width="16.5703125" style="90" hidden="1" customWidth="1"/>
    <col min="36" max="37" width="14.7109375" style="90" hidden="1" customWidth="1"/>
    <col min="38" max="38" width="15.7109375" style="90" hidden="1" customWidth="1"/>
    <col min="39" max="39" width="14.28515625" style="90" customWidth="1"/>
    <col min="40" max="40" width="13.28515625" style="90" customWidth="1"/>
    <col min="41" max="41" width="13.140625" style="90" customWidth="1"/>
    <col min="42" max="16384" width="9.140625" style="90"/>
  </cols>
  <sheetData>
    <row r="1" spans="1:41" ht="20.25" customHeight="1" x14ac:dyDescent="0.2">
      <c r="AO1" s="91" t="s">
        <v>68</v>
      </c>
    </row>
    <row r="3" spans="1:41" ht="63" customHeight="1" x14ac:dyDescent="0.2">
      <c r="A3" s="140" t="s">
        <v>67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</row>
    <row r="4" spans="1:41" ht="18.75" x14ac:dyDescent="0.2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</row>
    <row r="5" spans="1:41" ht="15.75" customHeight="1" x14ac:dyDescent="0.2">
      <c r="A5" s="150" t="s">
        <v>39</v>
      </c>
      <c r="B5" s="151" t="s">
        <v>40</v>
      </c>
      <c r="C5" s="152" t="s">
        <v>41</v>
      </c>
      <c r="D5" s="153"/>
      <c r="E5" s="153"/>
      <c r="F5" s="148" t="s">
        <v>22</v>
      </c>
      <c r="G5" s="149"/>
      <c r="H5" s="149"/>
      <c r="I5" s="149"/>
      <c r="J5" s="149"/>
      <c r="K5" s="149"/>
      <c r="L5" s="149"/>
      <c r="M5" s="149"/>
      <c r="N5" s="149"/>
      <c r="O5" s="149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3"/>
      <c r="AJ5" s="141" t="s">
        <v>63</v>
      </c>
      <c r="AK5" s="141"/>
      <c r="AL5" s="141"/>
      <c r="AM5" s="141" t="s">
        <v>64</v>
      </c>
      <c r="AN5" s="141"/>
      <c r="AO5" s="141"/>
    </row>
    <row r="6" spans="1:41" ht="15.75" customHeight="1" x14ac:dyDescent="0.2">
      <c r="A6" s="150"/>
      <c r="B6" s="151"/>
      <c r="C6" s="153"/>
      <c r="D6" s="153"/>
      <c r="E6" s="153"/>
      <c r="F6" s="142" t="s">
        <v>42</v>
      </c>
      <c r="G6" s="142"/>
      <c r="H6" s="142"/>
      <c r="I6" s="142"/>
      <c r="J6" s="142"/>
      <c r="K6" s="142"/>
      <c r="L6" s="142"/>
      <c r="M6" s="142"/>
      <c r="N6" s="142"/>
      <c r="O6" s="142"/>
      <c r="P6" s="143" t="s">
        <v>65</v>
      </c>
      <c r="Q6" s="143"/>
      <c r="R6" s="143"/>
      <c r="S6" s="143"/>
      <c r="T6" s="143"/>
      <c r="U6" s="143"/>
      <c r="V6" s="143"/>
      <c r="W6" s="143"/>
      <c r="X6" s="143"/>
      <c r="Y6" s="143"/>
      <c r="Z6" s="144" t="s">
        <v>66</v>
      </c>
      <c r="AA6" s="144"/>
      <c r="AB6" s="144"/>
      <c r="AC6" s="144"/>
      <c r="AD6" s="144"/>
      <c r="AE6" s="144"/>
      <c r="AF6" s="144"/>
      <c r="AG6" s="144"/>
      <c r="AH6" s="144"/>
      <c r="AI6" s="144"/>
      <c r="AJ6" s="141"/>
      <c r="AK6" s="141"/>
      <c r="AL6" s="141"/>
      <c r="AM6" s="141"/>
      <c r="AN6" s="141"/>
      <c r="AO6" s="141"/>
    </row>
    <row r="7" spans="1:41" ht="15.75" customHeight="1" x14ac:dyDescent="0.2">
      <c r="A7" s="150"/>
      <c r="B7" s="151"/>
      <c r="C7" s="153"/>
      <c r="D7" s="153"/>
      <c r="E7" s="153"/>
      <c r="F7" s="145" t="s">
        <v>43</v>
      </c>
      <c r="G7" s="145"/>
      <c r="H7" s="147" t="s">
        <v>44</v>
      </c>
      <c r="I7" s="147" t="s">
        <v>45</v>
      </c>
      <c r="J7" s="147"/>
      <c r="K7" s="147"/>
      <c r="L7" s="147"/>
      <c r="M7" s="147"/>
      <c r="N7" s="146" t="s">
        <v>62</v>
      </c>
      <c r="O7" s="146" t="s">
        <v>56</v>
      </c>
      <c r="P7" s="145" t="s">
        <v>43</v>
      </c>
      <c r="Q7" s="145"/>
      <c r="R7" s="147" t="s">
        <v>44</v>
      </c>
      <c r="S7" s="147" t="s">
        <v>45</v>
      </c>
      <c r="T7" s="147"/>
      <c r="U7" s="147"/>
      <c r="V7" s="147"/>
      <c r="W7" s="147"/>
      <c r="X7" s="146" t="s">
        <v>62</v>
      </c>
      <c r="Y7" s="146" t="s">
        <v>56</v>
      </c>
      <c r="Z7" s="145" t="s">
        <v>43</v>
      </c>
      <c r="AA7" s="145"/>
      <c r="AB7" s="147" t="s">
        <v>44</v>
      </c>
      <c r="AC7" s="147" t="s">
        <v>45</v>
      </c>
      <c r="AD7" s="147"/>
      <c r="AE7" s="147"/>
      <c r="AF7" s="147"/>
      <c r="AG7" s="147"/>
      <c r="AH7" s="146" t="s">
        <v>62</v>
      </c>
      <c r="AI7" s="146" t="s">
        <v>56</v>
      </c>
      <c r="AJ7" s="141"/>
      <c r="AK7" s="141"/>
      <c r="AL7" s="141"/>
      <c r="AM7" s="141"/>
      <c r="AN7" s="141"/>
      <c r="AO7" s="141"/>
    </row>
    <row r="8" spans="1:41" ht="58.15" customHeight="1" x14ac:dyDescent="0.2">
      <c r="A8" s="150"/>
      <c r="B8" s="151"/>
      <c r="C8" s="94">
        <v>2024</v>
      </c>
      <c r="D8" s="94">
        <v>2025</v>
      </c>
      <c r="E8" s="94">
        <v>2026</v>
      </c>
      <c r="F8" s="145"/>
      <c r="G8" s="145"/>
      <c r="H8" s="147"/>
      <c r="I8" s="75" t="s">
        <v>49</v>
      </c>
      <c r="J8" s="95" t="s">
        <v>46</v>
      </c>
      <c r="K8" s="96" t="s">
        <v>47</v>
      </c>
      <c r="L8" s="96" t="s">
        <v>50</v>
      </c>
      <c r="M8" s="75" t="s">
        <v>51</v>
      </c>
      <c r="N8" s="146"/>
      <c r="O8" s="146"/>
      <c r="P8" s="145"/>
      <c r="Q8" s="145"/>
      <c r="R8" s="147"/>
      <c r="S8" s="75" t="s">
        <v>49</v>
      </c>
      <c r="T8" s="95" t="s">
        <v>46</v>
      </c>
      <c r="U8" s="96" t="s">
        <v>47</v>
      </c>
      <c r="V8" s="96" t="s">
        <v>50</v>
      </c>
      <c r="W8" s="75" t="s">
        <v>51</v>
      </c>
      <c r="X8" s="146"/>
      <c r="Y8" s="146"/>
      <c r="Z8" s="145"/>
      <c r="AA8" s="145"/>
      <c r="AB8" s="147"/>
      <c r="AC8" s="75" t="s">
        <v>49</v>
      </c>
      <c r="AD8" s="97" t="s">
        <v>46</v>
      </c>
      <c r="AE8" s="75" t="s">
        <v>47</v>
      </c>
      <c r="AF8" s="75" t="s">
        <v>48</v>
      </c>
      <c r="AG8" s="75" t="s">
        <v>51</v>
      </c>
      <c r="AH8" s="146"/>
      <c r="AI8" s="146"/>
      <c r="AJ8" s="98">
        <v>2024</v>
      </c>
      <c r="AK8" s="98">
        <v>2025</v>
      </c>
      <c r="AL8" s="98">
        <v>2026</v>
      </c>
      <c r="AM8" s="98">
        <f>+AJ8</f>
        <v>2024</v>
      </c>
      <c r="AN8" s="98">
        <f>+AK8</f>
        <v>2025</v>
      </c>
      <c r="AO8" s="98">
        <f>+AL8</f>
        <v>2026</v>
      </c>
    </row>
    <row r="9" spans="1:41" ht="15.75" x14ac:dyDescent="0.2">
      <c r="A9" s="99">
        <v>1</v>
      </c>
      <c r="B9" s="100" t="s">
        <v>3</v>
      </c>
      <c r="C9" s="101">
        <v>0.89</v>
      </c>
      <c r="D9" s="101">
        <v>0.9</v>
      </c>
      <c r="E9" s="101">
        <v>0.9</v>
      </c>
      <c r="F9" s="72">
        <v>1</v>
      </c>
      <c r="G9" s="102">
        <f>C9*F9</f>
        <v>0.89</v>
      </c>
      <c r="H9" s="76">
        <f t="shared" ref="H9:H26" si="0">K9+L9+M9</f>
        <v>2162294.17</v>
      </c>
      <c r="I9" s="76">
        <f>ROUND($H$35/$G$31*F9,2)</f>
        <v>2162294.16</v>
      </c>
      <c r="J9" s="77">
        <f t="shared" ref="J9:J26" si="1">K9+L9</f>
        <v>1924441.81</v>
      </c>
      <c r="K9" s="77">
        <f>ROUND((I9-M9)*(1-$H$37),2)</f>
        <v>65721.98</v>
      </c>
      <c r="L9" s="77">
        <f>ROUND((I9-M9)*$H$37,2)+0.01</f>
        <v>1858719.83</v>
      </c>
      <c r="M9" s="76">
        <f>ROUNDUP(I9*(1-C9),2)</f>
        <v>237852.36000000002</v>
      </c>
      <c r="N9" s="78">
        <f>IF(I9=0,0,M9/I9)</f>
        <v>0.11000000110993224</v>
      </c>
      <c r="O9" s="79">
        <f>IF(F9=0,0,I9/F9)</f>
        <v>2162294.16</v>
      </c>
      <c r="P9" s="80">
        <v>2</v>
      </c>
      <c r="Q9" s="102">
        <f>P9*D9</f>
        <v>1.8</v>
      </c>
      <c r="R9" s="76">
        <f t="shared" ref="R9:R30" si="2">U9+V9+W9</f>
        <v>4333418.12</v>
      </c>
      <c r="S9" s="76">
        <f>ROUND($S$35/$Q$31*P9,2)</f>
        <v>4333418.12</v>
      </c>
      <c r="T9" s="77">
        <f>U9+V9</f>
        <v>3900076.3</v>
      </c>
      <c r="U9" s="81">
        <f>ROUND((S9-W9)*(1-$S$37),2)-0.01</f>
        <v>139449.91</v>
      </c>
      <c r="V9" s="81">
        <f>ROUND((S9-W9)*$S$37,2)+0.01</f>
        <v>3760626.3899999997</v>
      </c>
      <c r="W9" s="76">
        <f>ROUND(S9*(1-D9),2)+0.01</f>
        <v>433341.82</v>
      </c>
      <c r="X9" s="82">
        <f>IF(S9=0,0,W9/S9)</f>
        <v>0.10000000184611772</v>
      </c>
      <c r="Y9" s="76">
        <f>IF(P9=0,0,S9/P9)</f>
        <v>2166709.06</v>
      </c>
      <c r="Z9" s="76">
        <v>0</v>
      </c>
      <c r="AA9" s="83">
        <f>E9*Z9</f>
        <v>0</v>
      </c>
      <c r="AB9" s="76">
        <f>AE9+AF9+AG9</f>
        <v>0</v>
      </c>
      <c r="AC9" s="76">
        <f>ROUND($AC$35/$AA$31*Z9,2)</f>
        <v>0</v>
      </c>
      <c r="AD9" s="76">
        <f>AE9+AF9</f>
        <v>0</v>
      </c>
      <c r="AE9" s="81">
        <f>ROUND((AC9-AG9)*(1-$S$37),2)</f>
        <v>0</v>
      </c>
      <c r="AF9" s="81">
        <f>ROUND((AC9-AG9)*$S$37,2)</f>
        <v>0</v>
      </c>
      <c r="AG9" s="76">
        <f>ROUND(AC9*(1-E9),2)</f>
        <v>0</v>
      </c>
      <c r="AH9" s="78">
        <f>IF(AC9=0,0,AG9/AC9)</f>
        <v>0</v>
      </c>
      <c r="AI9" s="76">
        <f>IF(Z9=0,0,AC9/Z9)</f>
        <v>0</v>
      </c>
      <c r="AJ9" s="76">
        <f>K9+L9</f>
        <v>1924441.81</v>
      </c>
      <c r="AK9" s="76">
        <f>U9+V9</f>
        <v>3900076.3</v>
      </c>
      <c r="AL9" s="76">
        <f>AE9+AF9</f>
        <v>0</v>
      </c>
      <c r="AM9" s="76">
        <f t="shared" ref="AM9:AM14" si="3">ROUND(AJ9/1000,1)</f>
        <v>1924.4</v>
      </c>
      <c r="AN9" s="76">
        <v>0</v>
      </c>
      <c r="AO9" s="76">
        <v>0</v>
      </c>
    </row>
    <row r="10" spans="1:41" ht="15.75" x14ac:dyDescent="0.2">
      <c r="A10" s="99">
        <v>2</v>
      </c>
      <c r="B10" s="100" t="s">
        <v>52</v>
      </c>
      <c r="C10" s="101">
        <v>0.9</v>
      </c>
      <c r="D10" s="101">
        <v>0.89</v>
      </c>
      <c r="E10" s="101">
        <v>0.89</v>
      </c>
      <c r="F10" s="72"/>
      <c r="G10" s="102">
        <f t="shared" ref="G10:G26" si="4">C10*F10</f>
        <v>0</v>
      </c>
      <c r="H10" s="76">
        <f t="shared" si="0"/>
        <v>0</v>
      </c>
      <c r="I10" s="76">
        <f t="shared" ref="I10:I26" si="5">ROUND($H$35/$G$31*F10,2)</f>
        <v>0</v>
      </c>
      <c r="J10" s="77">
        <f t="shared" si="1"/>
        <v>0</v>
      </c>
      <c r="K10" s="77">
        <f t="shared" ref="K10:K26" si="6">ROUND((I10-M10)*(1-$H$37),2)</f>
        <v>0</v>
      </c>
      <c r="L10" s="77">
        <f t="shared" ref="L10:L26" si="7">ROUND((I10-M10)*$H$37,2)</f>
        <v>0</v>
      </c>
      <c r="M10" s="76">
        <f t="shared" ref="M10:M26" si="8">ROUNDUP(I10*(1-C10),2)</f>
        <v>0</v>
      </c>
      <c r="N10" s="78">
        <f t="shared" ref="N10:N31" si="9">IF(I10=0,0,M10/I10)</f>
        <v>0</v>
      </c>
      <c r="O10" s="79">
        <f t="shared" ref="O10:O31" si="10">IF(F10=0,0,I10/F10)</f>
        <v>0</v>
      </c>
      <c r="P10" s="80">
        <v>1</v>
      </c>
      <c r="Q10" s="102">
        <f t="shared" ref="Q10:Q26" si="11">P10*D10</f>
        <v>0.89</v>
      </c>
      <c r="R10" s="76">
        <f t="shared" si="2"/>
        <v>2166709.0700000003</v>
      </c>
      <c r="S10" s="76">
        <f t="shared" ref="S10:S26" si="12">ROUND($S$35/$Q$31*P10,2)</f>
        <v>2166709.06</v>
      </c>
      <c r="T10" s="77">
        <f t="shared" ref="T10:T26" si="13">U10+V10</f>
        <v>1928371.07</v>
      </c>
      <c r="U10" s="81">
        <f t="shared" ref="U10:U26" si="14">ROUND((S10-W10)*(1-$S$37),2)</f>
        <v>68950.240000000005</v>
      </c>
      <c r="V10" s="81">
        <f>ROUND((S10-W10)*$S$37,2)+0.01</f>
        <v>1859420.83</v>
      </c>
      <c r="W10" s="76">
        <f t="shared" ref="W10:W26" si="15">ROUND(S10*(1-D10),2)</f>
        <v>238338</v>
      </c>
      <c r="X10" s="82">
        <f t="shared" ref="X10:X31" si="16">IF(S10=0,0,W10/S10)</f>
        <v>0.11000000156920006</v>
      </c>
      <c r="Y10" s="76">
        <f t="shared" ref="Y10:Y31" si="17">IF(P10=0,0,S10/P10)</f>
        <v>2166709.06</v>
      </c>
      <c r="Z10" s="76">
        <v>1</v>
      </c>
      <c r="AA10" s="83">
        <f t="shared" ref="AA10:AA26" si="18">E10*Z10</f>
        <v>0.89</v>
      </c>
      <c r="AB10" s="76">
        <f t="shared" ref="AB10:AB30" si="19">AE10+AF10+AG10</f>
        <v>2166707.12</v>
      </c>
      <c r="AC10" s="76">
        <f t="shared" ref="AC10:AC26" si="20">ROUND($AC$35/$AA$31*Z10,2)</f>
        <v>2166707.12</v>
      </c>
      <c r="AD10" s="76">
        <f t="shared" ref="AD10" si="21">AE10+AF10</f>
        <v>1928369.33</v>
      </c>
      <c r="AE10" s="81">
        <f>ROUND((AC10-AG10)*(1-$AC$37),2)-0.01</f>
        <v>70177.5</v>
      </c>
      <c r="AF10" s="81">
        <f t="shared" ref="AF10:AF15" si="22">ROUND((AC10-AG10)*$AC$37,2)+0.01</f>
        <v>1858191.83</v>
      </c>
      <c r="AG10" s="76">
        <f>ROUND(AC10*(1-E10),2)+0.01</f>
        <v>238337.79</v>
      </c>
      <c r="AH10" s="78">
        <f t="shared" ref="AH10:AH31" si="23">IF(AC10=0,0,AG10/AC10)</f>
        <v>0.11000000313840294</v>
      </c>
      <c r="AI10" s="76">
        <f t="shared" ref="AI10:AI31" si="24">IF(Z10=0,0,AC10/Z10)</f>
        <v>2166707.12</v>
      </c>
      <c r="AJ10" s="76">
        <f t="shared" ref="AJ10:AJ30" si="25">K10+L10</f>
        <v>0</v>
      </c>
      <c r="AK10" s="76">
        <f t="shared" ref="AK10:AK30" si="26">U10+V10</f>
        <v>1928371.07</v>
      </c>
      <c r="AL10" s="76">
        <f t="shared" ref="AL10:AL30" si="27">AE10+AF10</f>
        <v>1928369.33</v>
      </c>
      <c r="AM10" s="76">
        <f t="shared" si="3"/>
        <v>0</v>
      </c>
      <c r="AN10" s="76">
        <v>0</v>
      </c>
      <c r="AO10" s="76">
        <v>0</v>
      </c>
    </row>
    <row r="11" spans="1:41" ht="15.75" x14ac:dyDescent="0.2">
      <c r="A11" s="99">
        <v>3</v>
      </c>
      <c r="B11" s="100" t="s">
        <v>53</v>
      </c>
      <c r="C11" s="101">
        <v>0.9</v>
      </c>
      <c r="D11" s="101">
        <v>0.9</v>
      </c>
      <c r="E11" s="101">
        <v>0.89</v>
      </c>
      <c r="F11" s="72">
        <v>1</v>
      </c>
      <c r="G11" s="102">
        <f t="shared" si="4"/>
        <v>0.9</v>
      </c>
      <c r="H11" s="76">
        <f t="shared" si="0"/>
        <v>2162294.17</v>
      </c>
      <c r="I11" s="76">
        <f t="shared" si="5"/>
        <v>2162294.16</v>
      </c>
      <c r="J11" s="77">
        <f t="shared" si="1"/>
        <v>1946064.75</v>
      </c>
      <c r="K11" s="77">
        <f t="shared" si="6"/>
        <v>66460.429999999993</v>
      </c>
      <c r="L11" s="77">
        <f>ROUND((I11-M11)*$H$37,2)+0.01</f>
        <v>1879604.32</v>
      </c>
      <c r="M11" s="76">
        <f t="shared" si="8"/>
        <v>216229.42</v>
      </c>
      <c r="N11" s="78">
        <f t="shared" si="9"/>
        <v>0.10000000184988707</v>
      </c>
      <c r="O11" s="79">
        <f t="shared" si="10"/>
        <v>2162294.16</v>
      </c>
      <c r="P11" s="80">
        <v>1</v>
      </c>
      <c r="Q11" s="102">
        <f t="shared" si="11"/>
        <v>0.9</v>
      </c>
      <c r="R11" s="76">
        <f t="shared" si="2"/>
        <v>2166709.0699999998</v>
      </c>
      <c r="S11" s="76">
        <f t="shared" si="12"/>
        <v>2166709.06</v>
      </c>
      <c r="T11" s="77">
        <f t="shared" si="13"/>
        <v>1950038.16</v>
      </c>
      <c r="U11" s="81">
        <f>ROUND((S11-W11)*(1-$S$37),2)</f>
        <v>69724.960000000006</v>
      </c>
      <c r="V11" s="81">
        <f>ROUND((S11-W11)*$S$37,2)+0.01</f>
        <v>1880313.2</v>
      </c>
      <c r="W11" s="76">
        <f t="shared" si="15"/>
        <v>216670.91</v>
      </c>
      <c r="X11" s="82">
        <f t="shared" si="16"/>
        <v>0.10000000184611772</v>
      </c>
      <c r="Y11" s="76">
        <f t="shared" si="17"/>
        <v>2166709.06</v>
      </c>
      <c r="Z11" s="76">
        <v>1</v>
      </c>
      <c r="AA11" s="83">
        <f t="shared" si="18"/>
        <v>0.89</v>
      </c>
      <c r="AB11" s="76">
        <f t="shared" si="19"/>
        <v>2166707.13</v>
      </c>
      <c r="AC11" s="76">
        <f t="shared" si="20"/>
        <v>2166707.12</v>
      </c>
      <c r="AD11" s="76">
        <f t="shared" ref="AD11:AD26" si="28">AE11+AF11</f>
        <v>1928369.34</v>
      </c>
      <c r="AE11" s="81">
        <f t="shared" ref="AE11:AE26" si="29">ROUND((AC11-AG11)*(1-$AC$37),2)</f>
        <v>70177.509999999995</v>
      </c>
      <c r="AF11" s="81">
        <f t="shared" si="22"/>
        <v>1858191.83</v>
      </c>
      <c r="AG11" s="76">
        <f>ROUND(AC11*(1-E11),2)+0.01</f>
        <v>238337.79</v>
      </c>
      <c r="AH11" s="78">
        <f t="shared" si="23"/>
        <v>0.11000000313840294</v>
      </c>
      <c r="AI11" s="76">
        <f t="shared" si="24"/>
        <v>2166707.12</v>
      </c>
      <c r="AJ11" s="76">
        <f t="shared" si="25"/>
        <v>1946064.75</v>
      </c>
      <c r="AK11" s="76">
        <f t="shared" si="26"/>
        <v>1950038.16</v>
      </c>
      <c r="AL11" s="76">
        <f t="shared" si="27"/>
        <v>1928369.34</v>
      </c>
      <c r="AM11" s="76">
        <f t="shared" si="3"/>
        <v>1946.1</v>
      </c>
      <c r="AN11" s="76">
        <v>0</v>
      </c>
      <c r="AO11" s="76">
        <v>0</v>
      </c>
    </row>
    <row r="12" spans="1:41" ht="15.75" x14ac:dyDescent="0.2">
      <c r="A12" s="99">
        <v>4</v>
      </c>
      <c r="B12" s="100" t="s">
        <v>6</v>
      </c>
      <c r="C12" s="101">
        <v>0.9</v>
      </c>
      <c r="D12" s="101">
        <v>0.89</v>
      </c>
      <c r="E12" s="101">
        <v>0.9</v>
      </c>
      <c r="F12" s="72"/>
      <c r="G12" s="102">
        <f t="shared" si="4"/>
        <v>0</v>
      </c>
      <c r="H12" s="76">
        <f t="shared" si="0"/>
        <v>0</v>
      </c>
      <c r="I12" s="76">
        <f t="shared" si="5"/>
        <v>0</v>
      </c>
      <c r="J12" s="77">
        <f t="shared" si="1"/>
        <v>0</v>
      </c>
      <c r="K12" s="77">
        <f t="shared" si="6"/>
        <v>0</v>
      </c>
      <c r="L12" s="77">
        <f>ROUND((I12-M12)*$H$37,2)</f>
        <v>0</v>
      </c>
      <c r="M12" s="76">
        <f t="shared" si="8"/>
        <v>0</v>
      </c>
      <c r="N12" s="78">
        <f t="shared" si="9"/>
        <v>0</v>
      </c>
      <c r="O12" s="79">
        <f t="shared" si="10"/>
        <v>0</v>
      </c>
      <c r="P12" s="80">
        <v>0</v>
      </c>
      <c r="Q12" s="102">
        <f t="shared" si="11"/>
        <v>0</v>
      </c>
      <c r="R12" s="76">
        <f t="shared" si="2"/>
        <v>0</v>
      </c>
      <c r="S12" s="76">
        <f t="shared" si="12"/>
        <v>0</v>
      </c>
      <c r="T12" s="77">
        <f t="shared" si="13"/>
        <v>0</v>
      </c>
      <c r="U12" s="81">
        <f>ROUND((S12-W12)*(1-$S$37),2)</f>
        <v>0</v>
      </c>
      <c r="V12" s="81">
        <f>ROUND((S12-W12)*$S$37,2)</f>
        <v>0</v>
      </c>
      <c r="W12" s="76">
        <f t="shared" si="15"/>
        <v>0</v>
      </c>
      <c r="X12" s="82">
        <f t="shared" si="16"/>
        <v>0</v>
      </c>
      <c r="Y12" s="76">
        <f t="shared" si="17"/>
        <v>0</v>
      </c>
      <c r="Z12" s="76">
        <v>1</v>
      </c>
      <c r="AA12" s="83">
        <f t="shared" si="18"/>
        <v>0.9</v>
      </c>
      <c r="AB12" s="76">
        <f t="shared" si="19"/>
        <v>2166707.13</v>
      </c>
      <c r="AC12" s="76">
        <f t="shared" si="20"/>
        <v>2166707.12</v>
      </c>
      <c r="AD12" s="76">
        <f t="shared" si="28"/>
        <v>1950036.41</v>
      </c>
      <c r="AE12" s="81">
        <f t="shared" si="29"/>
        <v>70966.02</v>
      </c>
      <c r="AF12" s="81">
        <f t="shared" si="22"/>
        <v>1879070.39</v>
      </c>
      <c r="AG12" s="76">
        <f>ROUND(AC12*(1-E12),2)+0.01</f>
        <v>216670.72</v>
      </c>
      <c r="AH12" s="78">
        <f>IF(AC12=0,0,AG12/AC12)+0.02</f>
        <v>0.12000000369223876</v>
      </c>
      <c r="AI12" s="76">
        <f t="shared" si="24"/>
        <v>2166707.12</v>
      </c>
      <c r="AJ12" s="76">
        <f t="shared" si="25"/>
        <v>0</v>
      </c>
      <c r="AK12" s="76">
        <f t="shared" si="26"/>
        <v>0</v>
      </c>
      <c r="AL12" s="76">
        <f t="shared" si="27"/>
        <v>1950036.41</v>
      </c>
      <c r="AM12" s="76">
        <f t="shared" si="3"/>
        <v>0</v>
      </c>
      <c r="AN12" s="76">
        <v>0</v>
      </c>
      <c r="AO12" s="76">
        <v>0</v>
      </c>
    </row>
    <row r="13" spans="1:41" ht="15.75" x14ac:dyDescent="0.2">
      <c r="A13" s="99">
        <v>5</v>
      </c>
      <c r="B13" s="100" t="s">
        <v>7</v>
      </c>
      <c r="C13" s="101">
        <v>0.89</v>
      </c>
      <c r="D13" s="101">
        <v>0.9</v>
      </c>
      <c r="E13" s="101">
        <v>0.89</v>
      </c>
      <c r="F13" s="72">
        <v>3</v>
      </c>
      <c r="G13" s="102">
        <f t="shared" si="4"/>
        <v>2.67</v>
      </c>
      <c r="H13" s="76">
        <f t="shared" si="0"/>
        <v>6486882.5</v>
      </c>
      <c r="I13" s="76">
        <f t="shared" si="5"/>
        <v>6486882.4900000002</v>
      </c>
      <c r="J13" s="77">
        <f t="shared" si="1"/>
        <v>5773325.4199999999</v>
      </c>
      <c r="K13" s="77">
        <f t="shared" si="6"/>
        <v>197165.95</v>
      </c>
      <c r="L13" s="77">
        <f>ROUND((I13-M13)*$H$37,2)+0.01</f>
        <v>5576159.4699999997</v>
      </c>
      <c r="M13" s="76">
        <f t="shared" si="8"/>
        <v>713557.08</v>
      </c>
      <c r="N13" s="78">
        <f t="shared" si="9"/>
        <v>0.11000000094035925</v>
      </c>
      <c r="O13" s="79">
        <f t="shared" si="10"/>
        <v>2162294.1633333336</v>
      </c>
      <c r="P13" s="80">
        <v>0</v>
      </c>
      <c r="Q13" s="102">
        <f t="shared" si="11"/>
        <v>0</v>
      </c>
      <c r="R13" s="76">
        <f t="shared" si="2"/>
        <v>0</v>
      </c>
      <c r="S13" s="76">
        <f t="shared" si="12"/>
        <v>0</v>
      </c>
      <c r="T13" s="77">
        <f t="shared" si="13"/>
        <v>0</v>
      </c>
      <c r="U13" s="81">
        <f>ROUND((S13-W13)*(1-$S$37),2)</f>
        <v>0</v>
      </c>
      <c r="V13" s="81">
        <f>ROUND((S13-W13)*$S$37,2)</f>
        <v>0</v>
      </c>
      <c r="W13" s="76">
        <f>ROUND(S13*(1-D13),2)</f>
        <v>0</v>
      </c>
      <c r="X13" s="82">
        <f t="shared" si="16"/>
        <v>0</v>
      </c>
      <c r="Y13" s="76">
        <f t="shared" si="17"/>
        <v>0</v>
      </c>
      <c r="Z13" s="76">
        <v>1</v>
      </c>
      <c r="AA13" s="83">
        <f t="shared" si="18"/>
        <v>0.89</v>
      </c>
      <c r="AB13" s="76">
        <f t="shared" si="19"/>
        <v>2166707.13</v>
      </c>
      <c r="AC13" s="76">
        <f t="shared" si="20"/>
        <v>2166707.12</v>
      </c>
      <c r="AD13" s="76">
        <f>AE13+AF13</f>
        <v>1928369.34</v>
      </c>
      <c r="AE13" s="81">
        <f t="shared" si="29"/>
        <v>70177.509999999995</v>
      </c>
      <c r="AF13" s="81">
        <f t="shared" si="22"/>
        <v>1858191.83</v>
      </c>
      <c r="AG13" s="76">
        <f>ROUND(AC13*(1-E13),2)+0.01</f>
        <v>238337.79</v>
      </c>
      <c r="AH13" s="78">
        <f t="shared" si="23"/>
        <v>0.11000000313840294</v>
      </c>
      <c r="AI13" s="76">
        <f t="shared" si="24"/>
        <v>2166707.12</v>
      </c>
      <c r="AJ13" s="76">
        <f t="shared" si="25"/>
        <v>5773325.4199999999</v>
      </c>
      <c r="AK13" s="76">
        <f t="shared" si="26"/>
        <v>0</v>
      </c>
      <c r="AL13" s="76">
        <f t="shared" si="27"/>
        <v>1928369.34</v>
      </c>
      <c r="AM13" s="76">
        <f t="shared" si="3"/>
        <v>5773.3</v>
      </c>
      <c r="AN13" s="76">
        <v>0</v>
      </c>
      <c r="AO13" s="76">
        <v>0</v>
      </c>
    </row>
    <row r="14" spans="1:41" ht="15.75" x14ac:dyDescent="0.2">
      <c r="A14" s="99">
        <v>6</v>
      </c>
      <c r="B14" s="100" t="s">
        <v>54</v>
      </c>
      <c r="C14" s="101">
        <v>0.87</v>
      </c>
      <c r="D14" s="101">
        <v>0.87</v>
      </c>
      <c r="E14" s="101">
        <v>0.88</v>
      </c>
      <c r="F14" s="72"/>
      <c r="G14" s="102">
        <f t="shared" si="4"/>
        <v>0</v>
      </c>
      <c r="H14" s="76">
        <f t="shared" si="0"/>
        <v>0</v>
      </c>
      <c r="I14" s="76">
        <f t="shared" si="5"/>
        <v>0</v>
      </c>
      <c r="J14" s="77">
        <f t="shared" si="1"/>
        <v>0</v>
      </c>
      <c r="K14" s="77">
        <f t="shared" si="6"/>
        <v>0</v>
      </c>
      <c r="L14" s="77">
        <f>ROUND((I14-M14)*$H$37,2)</f>
        <v>0</v>
      </c>
      <c r="M14" s="76">
        <f t="shared" si="8"/>
        <v>0</v>
      </c>
      <c r="N14" s="78">
        <f t="shared" si="9"/>
        <v>0</v>
      </c>
      <c r="O14" s="79">
        <f t="shared" si="10"/>
        <v>0</v>
      </c>
      <c r="P14" s="80">
        <v>0</v>
      </c>
      <c r="Q14" s="102">
        <f t="shared" si="11"/>
        <v>0</v>
      </c>
      <c r="R14" s="76">
        <f t="shared" si="2"/>
        <v>0</v>
      </c>
      <c r="S14" s="76">
        <f t="shared" si="12"/>
        <v>0</v>
      </c>
      <c r="T14" s="77">
        <f t="shared" si="13"/>
        <v>0</v>
      </c>
      <c r="U14" s="81">
        <f t="shared" si="14"/>
        <v>0</v>
      </c>
      <c r="V14" s="81">
        <f t="shared" ref="V14:V26" si="30">ROUND((S14-W14)*$S$37,2)</f>
        <v>0</v>
      </c>
      <c r="W14" s="76">
        <f t="shared" si="15"/>
        <v>0</v>
      </c>
      <c r="X14" s="82">
        <f t="shared" si="16"/>
        <v>0</v>
      </c>
      <c r="Y14" s="76">
        <f t="shared" si="17"/>
        <v>0</v>
      </c>
      <c r="Z14" s="76">
        <v>2</v>
      </c>
      <c r="AA14" s="83">
        <f t="shared" si="18"/>
        <v>1.76</v>
      </c>
      <c r="AB14" s="76">
        <f t="shared" si="19"/>
        <v>4333414.25</v>
      </c>
      <c r="AC14" s="76">
        <f t="shared" si="20"/>
        <v>4333414.24</v>
      </c>
      <c r="AD14" s="76">
        <f t="shared" si="28"/>
        <v>3813404.54</v>
      </c>
      <c r="AE14" s="81">
        <f t="shared" si="29"/>
        <v>138777.99</v>
      </c>
      <c r="AF14" s="81">
        <f t="shared" si="22"/>
        <v>3674626.55</v>
      </c>
      <c r="AG14" s="76">
        <f t="shared" ref="AG14:AG26" si="31">ROUND(AC14*(1-E14),2)</f>
        <v>520009.71</v>
      </c>
      <c r="AH14" s="78">
        <f t="shared" si="23"/>
        <v>0.1200000002769179</v>
      </c>
      <c r="AI14" s="76">
        <f t="shared" si="24"/>
        <v>2166707.12</v>
      </c>
      <c r="AJ14" s="76">
        <f t="shared" si="25"/>
        <v>0</v>
      </c>
      <c r="AK14" s="76">
        <f t="shared" si="26"/>
        <v>0</v>
      </c>
      <c r="AL14" s="76">
        <f t="shared" si="27"/>
        <v>3813404.54</v>
      </c>
      <c r="AM14" s="76">
        <f t="shared" si="3"/>
        <v>0</v>
      </c>
      <c r="AN14" s="76">
        <v>0</v>
      </c>
      <c r="AO14" s="76">
        <v>0</v>
      </c>
    </row>
    <row r="15" spans="1:41" ht="15.75" x14ac:dyDescent="0.2">
      <c r="A15" s="99">
        <v>7</v>
      </c>
      <c r="B15" s="100" t="s">
        <v>9</v>
      </c>
      <c r="C15" s="101">
        <v>0.9</v>
      </c>
      <c r="D15" s="101">
        <v>0.89</v>
      </c>
      <c r="E15" s="101">
        <v>0.89</v>
      </c>
      <c r="F15" s="72">
        <v>1</v>
      </c>
      <c r="G15" s="102">
        <f t="shared" si="4"/>
        <v>0.9</v>
      </c>
      <c r="H15" s="76">
        <f t="shared" si="0"/>
        <v>2162294.16</v>
      </c>
      <c r="I15" s="76">
        <f t="shared" si="5"/>
        <v>2162294.16</v>
      </c>
      <c r="J15" s="77">
        <f t="shared" si="1"/>
        <v>1946064.74</v>
      </c>
      <c r="K15" s="77">
        <f t="shared" si="6"/>
        <v>66460.429999999993</v>
      </c>
      <c r="L15" s="77">
        <f t="shared" si="7"/>
        <v>1879604.31</v>
      </c>
      <c r="M15" s="76">
        <f t="shared" si="8"/>
        <v>216229.42</v>
      </c>
      <c r="N15" s="78">
        <f t="shared" si="9"/>
        <v>0.10000000184988707</v>
      </c>
      <c r="O15" s="79">
        <f t="shared" si="10"/>
        <v>2162294.16</v>
      </c>
      <c r="P15" s="80">
        <v>0</v>
      </c>
      <c r="Q15" s="102">
        <f t="shared" si="11"/>
        <v>0</v>
      </c>
      <c r="R15" s="76">
        <f t="shared" si="2"/>
        <v>0</v>
      </c>
      <c r="S15" s="76">
        <f t="shared" si="12"/>
        <v>0</v>
      </c>
      <c r="T15" s="77">
        <f t="shared" si="13"/>
        <v>0</v>
      </c>
      <c r="U15" s="81">
        <f t="shared" si="14"/>
        <v>0</v>
      </c>
      <c r="V15" s="81">
        <f t="shared" si="30"/>
        <v>0</v>
      </c>
      <c r="W15" s="76">
        <f t="shared" si="15"/>
        <v>0</v>
      </c>
      <c r="X15" s="82">
        <f t="shared" si="16"/>
        <v>0</v>
      </c>
      <c r="Y15" s="76">
        <f t="shared" si="17"/>
        <v>0</v>
      </c>
      <c r="Z15" s="76">
        <v>1</v>
      </c>
      <c r="AA15" s="83">
        <f t="shared" si="18"/>
        <v>0.89</v>
      </c>
      <c r="AB15" s="76">
        <f t="shared" si="19"/>
        <v>2166707.13</v>
      </c>
      <c r="AC15" s="76">
        <f t="shared" si="20"/>
        <v>2166707.12</v>
      </c>
      <c r="AD15" s="76">
        <f t="shared" si="28"/>
        <v>1928369.34</v>
      </c>
      <c r="AE15" s="81">
        <f t="shared" si="29"/>
        <v>70177.509999999995</v>
      </c>
      <c r="AF15" s="81">
        <f t="shared" si="22"/>
        <v>1858191.83</v>
      </c>
      <c r="AG15" s="76">
        <f>ROUND(AC15*(1-E15),2)+0.01</f>
        <v>238337.79</v>
      </c>
      <c r="AH15" s="78">
        <f t="shared" si="23"/>
        <v>0.11000000313840294</v>
      </c>
      <c r="AI15" s="76">
        <f t="shared" si="24"/>
        <v>2166707.12</v>
      </c>
      <c r="AJ15" s="76">
        <f t="shared" si="25"/>
        <v>1946064.74</v>
      </c>
      <c r="AK15" s="76">
        <f t="shared" si="26"/>
        <v>0</v>
      </c>
      <c r="AL15" s="76">
        <f t="shared" si="27"/>
        <v>1928369.34</v>
      </c>
      <c r="AM15" s="76">
        <f>ROUND(AJ15/1000,1)</f>
        <v>1946.1</v>
      </c>
      <c r="AN15" s="76">
        <v>0</v>
      </c>
      <c r="AO15" s="76">
        <v>0</v>
      </c>
    </row>
    <row r="16" spans="1:41" ht="15.75" x14ac:dyDescent="0.2">
      <c r="A16" s="99">
        <v>8</v>
      </c>
      <c r="B16" s="100" t="s">
        <v>10</v>
      </c>
      <c r="C16" s="101">
        <v>0.9</v>
      </c>
      <c r="D16" s="101">
        <v>0.9</v>
      </c>
      <c r="E16" s="101">
        <v>0.9</v>
      </c>
      <c r="F16" s="72"/>
      <c r="G16" s="102">
        <f t="shared" si="4"/>
        <v>0</v>
      </c>
      <c r="H16" s="76">
        <f t="shared" si="0"/>
        <v>0</v>
      </c>
      <c r="I16" s="76">
        <f t="shared" si="5"/>
        <v>0</v>
      </c>
      <c r="J16" s="77">
        <f t="shared" si="1"/>
        <v>0</v>
      </c>
      <c r="K16" s="77">
        <f t="shared" si="6"/>
        <v>0</v>
      </c>
      <c r="L16" s="77">
        <f t="shared" si="7"/>
        <v>0</v>
      </c>
      <c r="M16" s="76">
        <f t="shared" si="8"/>
        <v>0</v>
      </c>
      <c r="N16" s="78">
        <f t="shared" si="9"/>
        <v>0</v>
      </c>
      <c r="O16" s="79">
        <f t="shared" si="10"/>
        <v>0</v>
      </c>
      <c r="P16" s="80">
        <v>1</v>
      </c>
      <c r="Q16" s="102">
        <f t="shared" si="11"/>
        <v>0.9</v>
      </c>
      <c r="R16" s="76">
        <f t="shared" si="2"/>
        <v>2166709.0699999998</v>
      </c>
      <c r="S16" s="76">
        <f t="shared" si="12"/>
        <v>2166709.06</v>
      </c>
      <c r="T16" s="77">
        <f t="shared" si="13"/>
        <v>1950038.16</v>
      </c>
      <c r="U16" s="81">
        <f>ROUND((S16-W16)*(1-$S$37),2)</f>
        <v>69724.960000000006</v>
      </c>
      <c r="V16" s="81">
        <f>ROUND((S16-W16)*$S$37,2)+0.01</f>
        <v>1880313.2</v>
      </c>
      <c r="W16" s="76">
        <f t="shared" si="15"/>
        <v>216670.91</v>
      </c>
      <c r="X16" s="82">
        <f t="shared" si="16"/>
        <v>0.10000000184611772</v>
      </c>
      <c r="Y16" s="76">
        <f t="shared" si="17"/>
        <v>2166709.06</v>
      </c>
      <c r="Z16" s="76"/>
      <c r="AA16" s="83">
        <f t="shared" si="18"/>
        <v>0</v>
      </c>
      <c r="AB16" s="76">
        <f t="shared" si="19"/>
        <v>0</v>
      </c>
      <c r="AC16" s="76">
        <f t="shared" si="20"/>
        <v>0</v>
      </c>
      <c r="AD16" s="76">
        <f t="shared" si="28"/>
        <v>0</v>
      </c>
      <c r="AE16" s="81">
        <f t="shared" si="29"/>
        <v>0</v>
      </c>
      <c r="AF16" s="81">
        <f t="shared" ref="AF16:AF26" si="32">ROUND((AC16-AG16)*$AC$37,2)</f>
        <v>0</v>
      </c>
      <c r="AG16" s="76">
        <f t="shared" si="31"/>
        <v>0</v>
      </c>
      <c r="AH16" s="78">
        <f t="shared" si="23"/>
        <v>0</v>
      </c>
      <c r="AI16" s="76">
        <f t="shared" si="24"/>
        <v>0</v>
      </c>
      <c r="AJ16" s="76">
        <f t="shared" si="25"/>
        <v>0</v>
      </c>
      <c r="AK16" s="76">
        <f t="shared" si="26"/>
        <v>1950038.16</v>
      </c>
      <c r="AL16" s="76">
        <f t="shared" si="27"/>
        <v>0</v>
      </c>
      <c r="AM16" s="76">
        <f t="shared" ref="AM16:AM26" si="33">ROUND(AJ16/1000,1)</f>
        <v>0</v>
      </c>
      <c r="AN16" s="76">
        <v>0</v>
      </c>
      <c r="AO16" s="76">
        <v>0</v>
      </c>
    </row>
    <row r="17" spans="1:41" ht="15.75" x14ac:dyDescent="0.2">
      <c r="A17" s="99">
        <v>9</v>
      </c>
      <c r="B17" s="100" t="s">
        <v>11</v>
      </c>
      <c r="C17" s="101">
        <v>0.9</v>
      </c>
      <c r="D17" s="101">
        <v>0.89</v>
      </c>
      <c r="E17" s="101">
        <v>0.88</v>
      </c>
      <c r="F17" s="72"/>
      <c r="G17" s="102">
        <f t="shared" si="4"/>
        <v>0</v>
      </c>
      <c r="H17" s="76">
        <f t="shared" si="0"/>
        <v>0</v>
      </c>
      <c r="I17" s="76">
        <f t="shared" si="5"/>
        <v>0</v>
      </c>
      <c r="J17" s="77">
        <f t="shared" si="1"/>
        <v>0</v>
      </c>
      <c r="K17" s="77">
        <f t="shared" si="6"/>
        <v>0</v>
      </c>
      <c r="L17" s="77">
        <f t="shared" si="7"/>
        <v>0</v>
      </c>
      <c r="M17" s="76">
        <f t="shared" si="8"/>
        <v>0</v>
      </c>
      <c r="N17" s="78">
        <f t="shared" si="9"/>
        <v>0</v>
      </c>
      <c r="O17" s="79">
        <f t="shared" si="10"/>
        <v>0</v>
      </c>
      <c r="P17" s="80">
        <v>2</v>
      </c>
      <c r="Q17" s="102">
        <f t="shared" si="11"/>
        <v>1.78</v>
      </c>
      <c r="R17" s="76">
        <f t="shared" si="2"/>
        <v>4333418.13</v>
      </c>
      <c r="S17" s="76">
        <f t="shared" si="12"/>
        <v>4333418.12</v>
      </c>
      <c r="T17" s="77">
        <f t="shared" si="13"/>
        <v>3856742.13</v>
      </c>
      <c r="U17" s="81">
        <f>ROUND((S17-W17)*(1-$S$37),2)</f>
        <v>137900.48000000001</v>
      </c>
      <c r="V17" s="81">
        <f>ROUND((S17-W17)*$S$37,2)+0.01</f>
        <v>3718841.65</v>
      </c>
      <c r="W17" s="76">
        <f>ROUND(S17*(1-D17),2)+0.01</f>
        <v>476676</v>
      </c>
      <c r="X17" s="82">
        <f t="shared" si="16"/>
        <v>0.11000000156920006</v>
      </c>
      <c r="Y17" s="76">
        <f t="shared" si="17"/>
        <v>2166709.06</v>
      </c>
      <c r="Z17" s="76">
        <v>1</v>
      </c>
      <c r="AA17" s="83">
        <f t="shared" si="18"/>
        <v>0.88</v>
      </c>
      <c r="AB17" s="76">
        <f t="shared" si="19"/>
        <v>2166707.13</v>
      </c>
      <c r="AC17" s="76">
        <f t="shared" si="20"/>
        <v>2166707.12</v>
      </c>
      <c r="AD17" s="76">
        <f t="shared" si="28"/>
        <v>1906702.27</v>
      </c>
      <c r="AE17" s="81">
        <f t="shared" si="29"/>
        <v>69389</v>
      </c>
      <c r="AF17" s="81">
        <f>ROUND((AC17-AG17)*$AC$37,2)+0.01</f>
        <v>1837313.27</v>
      </c>
      <c r="AG17" s="76">
        <f>ROUND(AC17*(1-E17),2)+0.01</f>
        <v>260004.86000000002</v>
      </c>
      <c r="AH17" s="78">
        <f t="shared" si="23"/>
        <v>0.12000000258456713</v>
      </c>
      <c r="AI17" s="76">
        <f t="shared" si="24"/>
        <v>2166707.12</v>
      </c>
      <c r="AJ17" s="76">
        <f t="shared" si="25"/>
        <v>0</v>
      </c>
      <c r="AK17" s="76">
        <f t="shared" si="26"/>
        <v>3856742.13</v>
      </c>
      <c r="AL17" s="76">
        <f t="shared" si="27"/>
        <v>1906702.27</v>
      </c>
      <c r="AM17" s="76">
        <f t="shared" si="33"/>
        <v>0</v>
      </c>
      <c r="AN17" s="76">
        <v>0</v>
      </c>
      <c r="AO17" s="76">
        <v>0</v>
      </c>
    </row>
    <row r="18" spans="1:41" ht="15.75" x14ac:dyDescent="0.2">
      <c r="A18" s="99">
        <v>10</v>
      </c>
      <c r="B18" s="100" t="s">
        <v>12</v>
      </c>
      <c r="C18" s="101">
        <v>0.89</v>
      </c>
      <c r="D18" s="101">
        <v>0.9</v>
      </c>
      <c r="E18" s="101">
        <v>0.89</v>
      </c>
      <c r="F18" s="72">
        <v>2</v>
      </c>
      <c r="G18" s="102">
        <f t="shared" si="4"/>
        <v>1.78</v>
      </c>
      <c r="H18" s="76">
        <f t="shared" si="0"/>
        <v>4324588.33</v>
      </c>
      <c r="I18" s="76">
        <f t="shared" si="5"/>
        <v>4324588.33</v>
      </c>
      <c r="J18" s="77">
        <f t="shared" si="1"/>
        <v>3848883.61</v>
      </c>
      <c r="K18" s="77">
        <f t="shared" si="6"/>
        <v>131443.96</v>
      </c>
      <c r="L18" s="77">
        <f t="shared" si="7"/>
        <v>3717439.65</v>
      </c>
      <c r="M18" s="76">
        <f t="shared" si="8"/>
        <v>475704.72000000003</v>
      </c>
      <c r="N18" s="78">
        <f t="shared" si="9"/>
        <v>0.11000000085557277</v>
      </c>
      <c r="O18" s="79">
        <f t="shared" si="10"/>
        <v>2162294.165</v>
      </c>
      <c r="P18" s="80">
        <v>0</v>
      </c>
      <c r="Q18" s="102">
        <f t="shared" si="11"/>
        <v>0</v>
      </c>
      <c r="R18" s="76">
        <f t="shared" si="2"/>
        <v>0</v>
      </c>
      <c r="S18" s="76">
        <f t="shared" si="12"/>
        <v>0</v>
      </c>
      <c r="T18" s="77">
        <f t="shared" si="13"/>
        <v>0</v>
      </c>
      <c r="U18" s="81">
        <f>ROUND((S18-W18)*(1-$S$37),2)</f>
        <v>0</v>
      </c>
      <c r="V18" s="81">
        <f t="shared" si="30"/>
        <v>0</v>
      </c>
      <c r="W18" s="76">
        <f t="shared" si="15"/>
        <v>0</v>
      </c>
      <c r="X18" s="82">
        <f t="shared" si="16"/>
        <v>0</v>
      </c>
      <c r="Y18" s="76">
        <f t="shared" si="17"/>
        <v>0</v>
      </c>
      <c r="Z18" s="76"/>
      <c r="AA18" s="83">
        <f t="shared" si="18"/>
        <v>0</v>
      </c>
      <c r="AB18" s="76">
        <f t="shared" si="19"/>
        <v>0</v>
      </c>
      <c r="AC18" s="76">
        <f t="shared" si="20"/>
        <v>0</v>
      </c>
      <c r="AD18" s="76">
        <f t="shared" si="28"/>
        <v>0</v>
      </c>
      <c r="AE18" s="81">
        <f t="shared" si="29"/>
        <v>0</v>
      </c>
      <c r="AF18" s="81">
        <f t="shared" si="32"/>
        <v>0</v>
      </c>
      <c r="AG18" s="76">
        <f t="shared" si="31"/>
        <v>0</v>
      </c>
      <c r="AH18" s="78">
        <f t="shared" si="23"/>
        <v>0</v>
      </c>
      <c r="AI18" s="76">
        <f t="shared" si="24"/>
        <v>0</v>
      </c>
      <c r="AJ18" s="76">
        <f t="shared" si="25"/>
        <v>3848883.61</v>
      </c>
      <c r="AK18" s="76">
        <f t="shared" si="26"/>
        <v>0</v>
      </c>
      <c r="AL18" s="76">
        <f t="shared" si="27"/>
        <v>0</v>
      </c>
      <c r="AM18" s="76">
        <f t="shared" si="33"/>
        <v>3848.9</v>
      </c>
      <c r="AN18" s="76">
        <v>0</v>
      </c>
      <c r="AO18" s="76">
        <v>0</v>
      </c>
    </row>
    <row r="19" spans="1:41" ht="15.75" x14ac:dyDescent="0.2">
      <c r="A19" s="99">
        <v>11</v>
      </c>
      <c r="B19" s="100" t="s">
        <v>55</v>
      </c>
      <c r="C19" s="101">
        <v>0.89</v>
      </c>
      <c r="D19" s="101">
        <v>0.9</v>
      </c>
      <c r="E19" s="101">
        <v>0.89</v>
      </c>
      <c r="F19" s="72"/>
      <c r="G19" s="102">
        <f t="shared" si="4"/>
        <v>0</v>
      </c>
      <c r="H19" s="76">
        <f t="shared" si="0"/>
        <v>0</v>
      </c>
      <c r="I19" s="76">
        <f t="shared" si="5"/>
        <v>0</v>
      </c>
      <c r="J19" s="77">
        <f t="shared" si="1"/>
        <v>0</v>
      </c>
      <c r="K19" s="77">
        <f t="shared" si="6"/>
        <v>0</v>
      </c>
      <c r="L19" s="77">
        <f t="shared" si="7"/>
        <v>0</v>
      </c>
      <c r="M19" s="76">
        <f t="shared" si="8"/>
        <v>0</v>
      </c>
      <c r="N19" s="78">
        <f t="shared" si="9"/>
        <v>0</v>
      </c>
      <c r="O19" s="79">
        <f t="shared" si="10"/>
        <v>0</v>
      </c>
      <c r="P19" s="80">
        <v>1</v>
      </c>
      <c r="Q19" s="102">
        <f t="shared" si="11"/>
        <v>0.9</v>
      </c>
      <c r="R19" s="76">
        <f t="shared" si="2"/>
        <v>2166709.0699999998</v>
      </c>
      <c r="S19" s="76">
        <f t="shared" si="12"/>
        <v>2166709.06</v>
      </c>
      <c r="T19" s="77">
        <f t="shared" si="13"/>
        <v>1950038.16</v>
      </c>
      <c r="U19" s="81">
        <f>ROUND((S19-W19)*(1-$S$37),2)</f>
        <v>69724.960000000006</v>
      </c>
      <c r="V19" s="81">
        <f>ROUND((S19-W19)*$S$37,2)+0.01</f>
        <v>1880313.2</v>
      </c>
      <c r="W19" s="76">
        <f t="shared" si="15"/>
        <v>216670.91</v>
      </c>
      <c r="X19" s="82">
        <f t="shared" si="16"/>
        <v>0.10000000184611772</v>
      </c>
      <c r="Y19" s="76">
        <f t="shared" si="17"/>
        <v>2166709.06</v>
      </c>
      <c r="Z19" s="76"/>
      <c r="AA19" s="83">
        <f t="shared" si="18"/>
        <v>0</v>
      </c>
      <c r="AB19" s="76">
        <f t="shared" si="19"/>
        <v>0</v>
      </c>
      <c r="AC19" s="76">
        <f t="shared" si="20"/>
        <v>0</v>
      </c>
      <c r="AD19" s="76">
        <f t="shared" si="28"/>
        <v>0</v>
      </c>
      <c r="AE19" s="81">
        <f t="shared" si="29"/>
        <v>0</v>
      </c>
      <c r="AF19" s="81">
        <f t="shared" si="32"/>
        <v>0</v>
      </c>
      <c r="AG19" s="76">
        <f t="shared" si="31"/>
        <v>0</v>
      </c>
      <c r="AH19" s="78">
        <f t="shared" si="23"/>
        <v>0</v>
      </c>
      <c r="AI19" s="76">
        <f t="shared" si="24"/>
        <v>0</v>
      </c>
      <c r="AJ19" s="76">
        <f t="shared" si="25"/>
        <v>0</v>
      </c>
      <c r="AK19" s="76">
        <f t="shared" si="26"/>
        <v>1950038.16</v>
      </c>
      <c r="AL19" s="76">
        <f t="shared" si="27"/>
        <v>0</v>
      </c>
      <c r="AM19" s="76">
        <f t="shared" si="33"/>
        <v>0</v>
      </c>
      <c r="AN19" s="76">
        <v>0</v>
      </c>
      <c r="AO19" s="76">
        <v>0</v>
      </c>
    </row>
    <row r="20" spans="1:41" ht="15.75" x14ac:dyDescent="0.2">
      <c r="A20" s="99">
        <v>12</v>
      </c>
      <c r="B20" s="100" t="s">
        <v>14</v>
      </c>
      <c r="C20" s="101">
        <v>0.9</v>
      </c>
      <c r="D20" s="101">
        <v>0.89</v>
      </c>
      <c r="E20" s="101">
        <v>0.9</v>
      </c>
      <c r="F20" s="72">
        <v>2</v>
      </c>
      <c r="G20" s="102">
        <f t="shared" si="4"/>
        <v>1.8</v>
      </c>
      <c r="H20" s="76">
        <f t="shared" si="0"/>
        <v>4324588.34</v>
      </c>
      <c r="I20" s="76">
        <f t="shared" si="5"/>
        <v>4324588.33</v>
      </c>
      <c r="J20" s="77">
        <f t="shared" si="1"/>
        <v>3892129.5</v>
      </c>
      <c r="K20" s="77">
        <f>ROUND((I20-M20)*(1-$H$37),2)+0.01</f>
        <v>132920.87</v>
      </c>
      <c r="L20" s="77">
        <f t="shared" si="7"/>
        <v>3759208.63</v>
      </c>
      <c r="M20" s="76">
        <f t="shared" si="8"/>
        <v>432458.84</v>
      </c>
      <c r="N20" s="78">
        <f t="shared" si="9"/>
        <v>0.10000000161865118</v>
      </c>
      <c r="O20" s="79">
        <f t="shared" si="10"/>
        <v>2162294.165</v>
      </c>
      <c r="P20" s="80">
        <v>0</v>
      </c>
      <c r="Q20" s="102">
        <f t="shared" si="11"/>
        <v>0</v>
      </c>
      <c r="R20" s="76">
        <f t="shared" si="2"/>
        <v>0</v>
      </c>
      <c r="S20" s="76">
        <f t="shared" si="12"/>
        <v>0</v>
      </c>
      <c r="T20" s="77">
        <f t="shared" si="13"/>
        <v>0</v>
      </c>
      <c r="U20" s="81">
        <f>ROUND((S20-W20)*(1-$S$37),2)</f>
        <v>0</v>
      </c>
      <c r="V20" s="81">
        <f t="shared" si="30"/>
        <v>0</v>
      </c>
      <c r="W20" s="76">
        <f>ROUND(S20*(1-D20),2)</f>
        <v>0</v>
      </c>
      <c r="X20" s="82">
        <f t="shared" si="16"/>
        <v>0</v>
      </c>
      <c r="Y20" s="76">
        <f t="shared" si="17"/>
        <v>0</v>
      </c>
      <c r="Z20" s="76">
        <v>1</v>
      </c>
      <c r="AA20" s="83">
        <f t="shared" si="18"/>
        <v>0.9</v>
      </c>
      <c r="AB20" s="76">
        <f t="shared" si="19"/>
        <v>2166707.13</v>
      </c>
      <c r="AC20" s="76">
        <f t="shared" si="20"/>
        <v>2166707.12</v>
      </c>
      <c r="AD20" s="76">
        <f t="shared" si="28"/>
        <v>1950036.41</v>
      </c>
      <c r="AE20" s="81">
        <f t="shared" si="29"/>
        <v>70966.02</v>
      </c>
      <c r="AF20" s="81">
        <f>ROUND((AC20-AG20)*$AC$37,2)+0.01</f>
        <v>1879070.39</v>
      </c>
      <c r="AG20" s="76">
        <f>ROUND(AC20*(1-E20),2)+0.01</f>
        <v>216670.72</v>
      </c>
      <c r="AH20" s="78">
        <f t="shared" si="23"/>
        <v>0.10000000369223876</v>
      </c>
      <c r="AI20" s="76">
        <f t="shared" si="24"/>
        <v>2166707.12</v>
      </c>
      <c r="AJ20" s="76">
        <f t="shared" si="25"/>
        <v>3892129.5</v>
      </c>
      <c r="AK20" s="76">
        <f t="shared" si="26"/>
        <v>0</v>
      </c>
      <c r="AL20" s="76">
        <f t="shared" si="27"/>
        <v>1950036.41</v>
      </c>
      <c r="AM20" s="76">
        <f t="shared" si="33"/>
        <v>3892.1</v>
      </c>
      <c r="AN20" s="76">
        <v>0</v>
      </c>
      <c r="AO20" s="76">
        <v>0</v>
      </c>
    </row>
    <row r="21" spans="1:41" ht="15.75" x14ac:dyDescent="0.2">
      <c r="A21" s="99">
        <v>13</v>
      </c>
      <c r="B21" s="100" t="s">
        <v>15</v>
      </c>
      <c r="C21" s="101">
        <v>0.9</v>
      </c>
      <c r="D21" s="101">
        <v>0.9</v>
      </c>
      <c r="E21" s="101">
        <v>0.89</v>
      </c>
      <c r="F21" s="72">
        <v>1</v>
      </c>
      <c r="G21" s="102">
        <f t="shared" si="4"/>
        <v>0.9</v>
      </c>
      <c r="H21" s="76">
        <f t="shared" si="0"/>
        <v>2162294.16</v>
      </c>
      <c r="I21" s="76">
        <f t="shared" si="5"/>
        <v>2162294.16</v>
      </c>
      <c r="J21" s="77">
        <f t="shared" si="1"/>
        <v>1946064.74</v>
      </c>
      <c r="K21" s="77">
        <f t="shared" si="6"/>
        <v>66460.429999999993</v>
      </c>
      <c r="L21" s="77">
        <f t="shared" si="7"/>
        <v>1879604.31</v>
      </c>
      <c r="M21" s="76">
        <f t="shared" si="8"/>
        <v>216229.42</v>
      </c>
      <c r="N21" s="78">
        <f t="shared" si="9"/>
        <v>0.10000000184988707</v>
      </c>
      <c r="O21" s="79">
        <f t="shared" si="10"/>
        <v>2162294.16</v>
      </c>
      <c r="P21" s="80">
        <v>1</v>
      </c>
      <c r="Q21" s="102">
        <f t="shared" si="11"/>
        <v>0.9</v>
      </c>
      <c r="R21" s="76">
        <f t="shared" si="2"/>
        <v>2166709.0699999998</v>
      </c>
      <c r="S21" s="76">
        <f t="shared" si="12"/>
        <v>2166709.06</v>
      </c>
      <c r="T21" s="77">
        <f t="shared" si="13"/>
        <v>1950038.16</v>
      </c>
      <c r="U21" s="81">
        <f t="shared" si="14"/>
        <v>69724.960000000006</v>
      </c>
      <c r="V21" s="81">
        <f>ROUND((S21-W21)*$S$37,2)+0.01</f>
        <v>1880313.2</v>
      </c>
      <c r="W21" s="76">
        <f t="shared" si="15"/>
        <v>216670.91</v>
      </c>
      <c r="X21" s="82">
        <f t="shared" si="16"/>
        <v>0.10000000184611772</v>
      </c>
      <c r="Y21" s="76">
        <f t="shared" si="17"/>
        <v>2166709.06</v>
      </c>
      <c r="Z21" s="76">
        <v>1</v>
      </c>
      <c r="AA21" s="83">
        <f t="shared" si="18"/>
        <v>0.89</v>
      </c>
      <c r="AB21" s="76">
        <f t="shared" si="19"/>
        <v>2166707.13</v>
      </c>
      <c r="AC21" s="76">
        <f t="shared" si="20"/>
        <v>2166707.12</v>
      </c>
      <c r="AD21" s="76">
        <f t="shared" si="28"/>
        <v>1928369.34</v>
      </c>
      <c r="AE21" s="81">
        <f t="shared" si="29"/>
        <v>70177.509999999995</v>
      </c>
      <c r="AF21" s="81">
        <f>ROUND((AC21-AG21)*$AC$37,2)+0.01</f>
        <v>1858191.83</v>
      </c>
      <c r="AG21" s="76">
        <f>ROUND(AC21*(1-E21),2)+0.01</f>
        <v>238337.79</v>
      </c>
      <c r="AH21" s="78">
        <f t="shared" si="23"/>
        <v>0.11000000313840294</v>
      </c>
      <c r="AI21" s="76">
        <f t="shared" si="24"/>
        <v>2166707.12</v>
      </c>
      <c r="AJ21" s="76">
        <f t="shared" si="25"/>
        <v>1946064.74</v>
      </c>
      <c r="AK21" s="76">
        <f t="shared" si="26"/>
        <v>1950038.16</v>
      </c>
      <c r="AL21" s="76">
        <f t="shared" si="27"/>
        <v>1928369.34</v>
      </c>
      <c r="AM21" s="76">
        <f t="shared" si="33"/>
        <v>1946.1</v>
      </c>
      <c r="AN21" s="76">
        <v>0</v>
      </c>
      <c r="AO21" s="76">
        <v>0</v>
      </c>
    </row>
    <row r="22" spans="1:41" ht="15.75" x14ac:dyDescent="0.2">
      <c r="A22" s="99">
        <v>14</v>
      </c>
      <c r="B22" s="100" t="s">
        <v>16</v>
      </c>
      <c r="C22" s="101">
        <v>0.89</v>
      </c>
      <c r="D22" s="101">
        <v>0.89</v>
      </c>
      <c r="E22" s="101">
        <v>0.87</v>
      </c>
      <c r="F22" s="72">
        <v>1</v>
      </c>
      <c r="G22" s="102">
        <f t="shared" si="4"/>
        <v>0.89</v>
      </c>
      <c r="H22" s="76">
        <f t="shared" si="0"/>
        <v>2162294.17</v>
      </c>
      <c r="I22" s="76">
        <f t="shared" si="5"/>
        <v>2162294.16</v>
      </c>
      <c r="J22" s="77">
        <f t="shared" si="1"/>
        <v>1924441.81</v>
      </c>
      <c r="K22" s="77">
        <f t="shared" si="6"/>
        <v>65721.98</v>
      </c>
      <c r="L22" s="77">
        <f>ROUND((I22-M22)*$H$37,2)+0.01</f>
        <v>1858719.83</v>
      </c>
      <c r="M22" s="76">
        <f t="shared" si="8"/>
        <v>237852.36000000002</v>
      </c>
      <c r="N22" s="78">
        <f t="shared" si="9"/>
        <v>0.11000000110993224</v>
      </c>
      <c r="O22" s="79">
        <f t="shared" si="10"/>
        <v>2162294.16</v>
      </c>
      <c r="P22" s="80"/>
      <c r="Q22" s="102">
        <f t="shared" si="11"/>
        <v>0</v>
      </c>
      <c r="R22" s="76">
        <f t="shared" si="2"/>
        <v>0</v>
      </c>
      <c r="S22" s="76">
        <f t="shared" si="12"/>
        <v>0</v>
      </c>
      <c r="T22" s="77">
        <f t="shared" si="13"/>
        <v>0</v>
      </c>
      <c r="U22" s="81">
        <f t="shared" si="14"/>
        <v>0</v>
      </c>
      <c r="V22" s="81">
        <f>ROUND((S22-W22)*$S$37,2)</f>
        <v>0</v>
      </c>
      <c r="W22" s="76">
        <f t="shared" si="15"/>
        <v>0</v>
      </c>
      <c r="X22" s="82">
        <f t="shared" si="16"/>
        <v>0</v>
      </c>
      <c r="Y22" s="76">
        <f t="shared" si="17"/>
        <v>0</v>
      </c>
      <c r="Z22" s="76">
        <v>1</v>
      </c>
      <c r="AA22" s="83">
        <f t="shared" si="18"/>
        <v>0.87</v>
      </c>
      <c r="AB22" s="76">
        <f t="shared" si="19"/>
        <v>2166707.12</v>
      </c>
      <c r="AC22" s="76">
        <f t="shared" si="20"/>
        <v>2166707.12</v>
      </c>
      <c r="AD22" s="76">
        <f t="shared" si="28"/>
        <v>1885035.19</v>
      </c>
      <c r="AE22" s="81">
        <f t="shared" si="29"/>
        <v>68600.490000000005</v>
      </c>
      <c r="AF22" s="81">
        <f t="shared" si="32"/>
        <v>1816434.7</v>
      </c>
      <c r="AG22" s="76">
        <f t="shared" si="31"/>
        <v>281671.93</v>
      </c>
      <c r="AH22" s="78">
        <f t="shared" si="23"/>
        <v>0.13000000203073131</v>
      </c>
      <c r="AI22" s="76">
        <f t="shared" si="24"/>
        <v>2166707.12</v>
      </c>
      <c r="AJ22" s="76">
        <f t="shared" si="25"/>
        <v>1924441.81</v>
      </c>
      <c r="AK22" s="76">
        <f t="shared" si="26"/>
        <v>0</v>
      </c>
      <c r="AL22" s="76">
        <f t="shared" si="27"/>
        <v>1885035.19</v>
      </c>
      <c r="AM22" s="76">
        <f t="shared" si="33"/>
        <v>1924.4</v>
      </c>
      <c r="AN22" s="76">
        <v>0</v>
      </c>
      <c r="AO22" s="76">
        <v>0</v>
      </c>
    </row>
    <row r="23" spans="1:41" ht="15.75" x14ac:dyDescent="0.2">
      <c r="A23" s="99">
        <v>15</v>
      </c>
      <c r="B23" s="100" t="s">
        <v>17</v>
      </c>
      <c r="C23" s="101">
        <v>0.89</v>
      </c>
      <c r="D23" s="101">
        <v>0.88</v>
      </c>
      <c r="E23" s="101">
        <v>0.9</v>
      </c>
      <c r="F23" s="72"/>
      <c r="G23" s="102">
        <f t="shared" si="4"/>
        <v>0</v>
      </c>
      <c r="H23" s="76">
        <f t="shared" si="0"/>
        <v>0</v>
      </c>
      <c r="I23" s="76">
        <f t="shared" si="5"/>
        <v>0</v>
      </c>
      <c r="J23" s="77">
        <f t="shared" si="1"/>
        <v>0</v>
      </c>
      <c r="K23" s="77">
        <f>ROUND((I23-M23)*(1-$H$37),2)</f>
        <v>0</v>
      </c>
      <c r="L23" s="77">
        <f>ROUND((I23-M23)*$H$37,2)</f>
        <v>0</v>
      </c>
      <c r="M23" s="76">
        <f t="shared" si="8"/>
        <v>0</v>
      </c>
      <c r="N23" s="78">
        <f t="shared" si="9"/>
        <v>0</v>
      </c>
      <c r="O23" s="79">
        <f t="shared" si="10"/>
        <v>0</v>
      </c>
      <c r="P23" s="80"/>
      <c r="Q23" s="102">
        <f t="shared" si="11"/>
        <v>0</v>
      </c>
      <c r="R23" s="76">
        <f t="shared" si="2"/>
        <v>0</v>
      </c>
      <c r="S23" s="76">
        <f t="shared" si="12"/>
        <v>0</v>
      </c>
      <c r="T23" s="77">
        <f t="shared" si="13"/>
        <v>0</v>
      </c>
      <c r="U23" s="81">
        <f>ROUND((S23-W23)*(1-$S$37),2)</f>
        <v>0</v>
      </c>
      <c r="V23" s="81">
        <f>ROUND((S23-W23)*$S$37,2)</f>
        <v>0</v>
      </c>
      <c r="W23" s="76">
        <f t="shared" si="15"/>
        <v>0</v>
      </c>
      <c r="X23" s="82">
        <f t="shared" si="16"/>
        <v>0</v>
      </c>
      <c r="Y23" s="76">
        <f t="shared" si="17"/>
        <v>0</v>
      </c>
      <c r="Z23" s="76"/>
      <c r="AA23" s="83">
        <f t="shared" si="18"/>
        <v>0</v>
      </c>
      <c r="AB23" s="76">
        <f t="shared" si="19"/>
        <v>0</v>
      </c>
      <c r="AC23" s="76">
        <f t="shared" si="20"/>
        <v>0</v>
      </c>
      <c r="AD23" s="76">
        <f t="shared" si="28"/>
        <v>0</v>
      </c>
      <c r="AE23" s="81">
        <f t="shared" si="29"/>
        <v>0</v>
      </c>
      <c r="AF23" s="81">
        <f t="shared" si="32"/>
        <v>0</v>
      </c>
      <c r="AG23" s="76">
        <f t="shared" si="31"/>
        <v>0</v>
      </c>
      <c r="AH23" s="78">
        <f t="shared" si="23"/>
        <v>0</v>
      </c>
      <c r="AI23" s="76">
        <f t="shared" si="24"/>
        <v>0</v>
      </c>
      <c r="AJ23" s="76">
        <f t="shared" si="25"/>
        <v>0</v>
      </c>
      <c r="AK23" s="76">
        <f t="shared" si="26"/>
        <v>0</v>
      </c>
      <c r="AL23" s="76">
        <f t="shared" si="27"/>
        <v>0</v>
      </c>
      <c r="AM23" s="76">
        <f t="shared" si="33"/>
        <v>0</v>
      </c>
      <c r="AN23" s="76">
        <v>0</v>
      </c>
      <c r="AO23" s="76">
        <v>0</v>
      </c>
    </row>
    <row r="24" spans="1:41" ht="15.75" x14ac:dyDescent="0.2">
      <c r="A24" s="99">
        <v>16</v>
      </c>
      <c r="B24" s="100" t="s">
        <v>18</v>
      </c>
      <c r="C24" s="101">
        <v>0.91</v>
      </c>
      <c r="D24" s="101">
        <v>0.91</v>
      </c>
      <c r="E24" s="101">
        <v>0.91</v>
      </c>
      <c r="F24" s="103"/>
      <c r="G24" s="102">
        <f t="shared" si="4"/>
        <v>0</v>
      </c>
      <c r="H24" s="76">
        <f t="shared" si="0"/>
        <v>0</v>
      </c>
      <c r="I24" s="76">
        <f t="shared" si="5"/>
        <v>0</v>
      </c>
      <c r="J24" s="77">
        <f t="shared" si="1"/>
        <v>0</v>
      </c>
      <c r="K24" s="77">
        <f t="shared" si="6"/>
        <v>0</v>
      </c>
      <c r="L24" s="77">
        <f t="shared" si="7"/>
        <v>0</v>
      </c>
      <c r="M24" s="76">
        <f t="shared" si="8"/>
        <v>0</v>
      </c>
      <c r="N24" s="78">
        <f t="shared" si="9"/>
        <v>0</v>
      </c>
      <c r="O24" s="79">
        <f t="shared" si="10"/>
        <v>0</v>
      </c>
      <c r="P24" s="80">
        <v>3</v>
      </c>
      <c r="Q24" s="102">
        <f t="shared" si="11"/>
        <v>2.73</v>
      </c>
      <c r="R24" s="76">
        <f t="shared" si="2"/>
        <v>6500127.1900000004</v>
      </c>
      <c r="S24" s="76">
        <f t="shared" si="12"/>
        <v>6500127.1900000004</v>
      </c>
      <c r="T24" s="77">
        <f t="shared" si="13"/>
        <v>5915115.7400000002</v>
      </c>
      <c r="U24" s="81">
        <f t="shared" si="14"/>
        <v>211499.05</v>
      </c>
      <c r="V24" s="81">
        <f t="shared" si="30"/>
        <v>5703616.6900000004</v>
      </c>
      <c r="W24" s="76">
        <f t="shared" si="15"/>
        <v>585011.44999999995</v>
      </c>
      <c r="X24" s="82">
        <f t="shared" si="16"/>
        <v>9.0000000446145104E-2</v>
      </c>
      <c r="Y24" s="76">
        <f t="shared" si="17"/>
        <v>2166709.0633333335</v>
      </c>
      <c r="Z24" s="76">
        <v>1</v>
      </c>
      <c r="AA24" s="83">
        <f t="shared" si="18"/>
        <v>0.91</v>
      </c>
      <c r="AB24" s="76">
        <f t="shared" si="19"/>
        <v>2166707.12</v>
      </c>
      <c r="AC24" s="76">
        <f t="shared" si="20"/>
        <v>2166707.12</v>
      </c>
      <c r="AD24" s="76">
        <f t="shared" si="28"/>
        <v>1971703.47</v>
      </c>
      <c r="AE24" s="81">
        <f t="shared" si="29"/>
        <v>71754.53</v>
      </c>
      <c r="AF24" s="81">
        <f t="shared" si="32"/>
        <v>1899948.94</v>
      </c>
      <c r="AG24" s="76">
        <f>ROUND(AC24*(1-E24),2)+0.01</f>
        <v>195003.65000000002</v>
      </c>
      <c r="AH24" s="78">
        <f t="shared" si="23"/>
        <v>9.0000004246074572E-2</v>
      </c>
      <c r="AI24" s="76">
        <f t="shared" si="24"/>
        <v>2166707.12</v>
      </c>
      <c r="AJ24" s="76">
        <f t="shared" si="25"/>
        <v>0</v>
      </c>
      <c r="AK24" s="76">
        <f t="shared" si="26"/>
        <v>5915115.7400000002</v>
      </c>
      <c r="AL24" s="76">
        <f t="shared" si="27"/>
        <v>1971703.47</v>
      </c>
      <c r="AM24" s="76">
        <f t="shared" si="33"/>
        <v>0</v>
      </c>
      <c r="AN24" s="76">
        <v>0</v>
      </c>
      <c r="AO24" s="76">
        <v>0</v>
      </c>
    </row>
    <row r="25" spans="1:41" ht="15.75" x14ac:dyDescent="0.2">
      <c r="A25" s="99">
        <v>17</v>
      </c>
      <c r="B25" s="100" t="s">
        <v>19</v>
      </c>
      <c r="C25" s="101">
        <v>0.89</v>
      </c>
      <c r="D25" s="101">
        <v>0.89</v>
      </c>
      <c r="E25" s="101">
        <v>0.9</v>
      </c>
      <c r="F25" s="103">
        <v>2</v>
      </c>
      <c r="G25" s="102">
        <f t="shared" si="4"/>
        <v>1.78</v>
      </c>
      <c r="H25" s="76">
        <f t="shared" si="0"/>
        <v>4324588.34</v>
      </c>
      <c r="I25" s="76">
        <f t="shared" si="5"/>
        <v>4324588.33</v>
      </c>
      <c r="J25" s="77">
        <f t="shared" si="1"/>
        <v>3848883.62</v>
      </c>
      <c r="K25" s="77">
        <f>ROUND((I25-M25)*(1-$H$37),2)+0.01</f>
        <v>131443.97</v>
      </c>
      <c r="L25" s="77">
        <f>ROUND((I25-M25)*$H$37,2)</f>
        <v>3717439.65</v>
      </c>
      <c r="M25" s="76">
        <f t="shared" si="8"/>
        <v>475704.72000000003</v>
      </c>
      <c r="N25" s="78">
        <f t="shared" si="9"/>
        <v>0.11000000085557277</v>
      </c>
      <c r="O25" s="79">
        <f t="shared" si="10"/>
        <v>2162294.165</v>
      </c>
      <c r="P25" s="80">
        <v>2</v>
      </c>
      <c r="Q25" s="102">
        <f t="shared" si="11"/>
        <v>1.78</v>
      </c>
      <c r="R25" s="76">
        <f t="shared" si="2"/>
        <v>4333418.12</v>
      </c>
      <c r="S25" s="76">
        <f t="shared" si="12"/>
        <v>4333418.12</v>
      </c>
      <c r="T25" s="77">
        <f t="shared" si="13"/>
        <v>3856742.12</v>
      </c>
      <c r="U25" s="81">
        <f>ROUND((S25-W25)*(1-$S$37),2)</f>
        <v>137900.48000000001</v>
      </c>
      <c r="V25" s="81">
        <f>ROUND((S25-W25)*$S$37,2)</f>
        <v>3718841.64</v>
      </c>
      <c r="W25" s="76">
        <f>ROUND(S25*(1-D25),2)+0.01</f>
        <v>476676</v>
      </c>
      <c r="X25" s="82">
        <f t="shared" si="16"/>
        <v>0.11000000156920006</v>
      </c>
      <c r="Y25" s="76">
        <f t="shared" si="17"/>
        <v>2166709.06</v>
      </c>
      <c r="Z25" s="76">
        <v>1</v>
      </c>
      <c r="AA25" s="83">
        <f t="shared" si="18"/>
        <v>0.9</v>
      </c>
      <c r="AB25" s="76">
        <f t="shared" si="19"/>
        <v>2166707.12</v>
      </c>
      <c r="AC25" s="76">
        <f t="shared" si="20"/>
        <v>2166707.12</v>
      </c>
      <c r="AD25" s="76">
        <f>AE25+AF25</f>
        <v>1950036.4</v>
      </c>
      <c r="AE25" s="81">
        <f t="shared" si="29"/>
        <v>70966.02</v>
      </c>
      <c r="AF25" s="81">
        <f t="shared" si="32"/>
        <v>1879070.38</v>
      </c>
      <c r="AG25" s="76">
        <f>ROUND(AC25*(1-E25),2)+0.01</f>
        <v>216670.72</v>
      </c>
      <c r="AH25" s="78">
        <f t="shared" si="23"/>
        <v>0.10000000369223876</v>
      </c>
      <c r="AI25" s="76">
        <f t="shared" si="24"/>
        <v>2166707.12</v>
      </c>
      <c r="AJ25" s="76">
        <f t="shared" si="25"/>
        <v>3848883.62</v>
      </c>
      <c r="AK25" s="76">
        <f t="shared" si="26"/>
        <v>3856742.12</v>
      </c>
      <c r="AL25" s="76">
        <f t="shared" si="27"/>
        <v>1950036.4</v>
      </c>
      <c r="AM25" s="76">
        <f t="shared" si="33"/>
        <v>3848.9</v>
      </c>
      <c r="AN25" s="76">
        <v>0</v>
      </c>
      <c r="AO25" s="76">
        <v>0</v>
      </c>
    </row>
    <row r="26" spans="1:41" ht="15.75" x14ac:dyDescent="0.25">
      <c r="A26" s="99">
        <v>18</v>
      </c>
      <c r="B26" s="73" t="s">
        <v>20</v>
      </c>
      <c r="C26" s="74">
        <v>0.76</v>
      </c>
      <c r="D26" s="74">
        <v>0.78</v>
      </c>
      <c r="E26" s="74">
        <v>0.79</v>
      </c>
      <c r="F26" s="103"/>
      <c r="G26" s="102">
        <f t="shared" si="4"/>
        <v>0</v>
      </c>
      <c r="H26" s="76">
        <f t="shared" si="0"/>
        <v>0</v>
      </c>
      <c r="I26" s="76">
        <f t="shared" si="5"/>
        <v>0</v>
      </c>
      <c r="J26" s="77">
        <f t="shared" si="1"/>
        <v>0</v>
      </c>
      <c r="K26" s="77">
        <f t="shared" si="6"/>
        <v>0</v>
      </c>
      <c r="L26" s="77">
        <f t="shared" si="7"/>
        <v>0</v>
      </c>
      <c r="M26" s="76">
        <f t="shared" si="8"/>
        <v>0</v>
      </c>
      <c r="N26" s="78">
        <f t="shared" si="9"/>
        <v>0</v>
      </c>
      <c r="O26" s="79">
        <f t="shared" si="10"/>
        <v>0</v>
      </c>
      <c r="P26" s="104"/>
      <c r="Q26" s="102">
        <f t="shared" si="11"/>
        <v>0</v>
      </c>
      <c r="R26" s="76">
        <f t="shared" si="2"/>
        <v>0</v>
      </c>
      <c r="S26" s="76">
        <f t="shared" si="12"/>
        <v>0</v>
      </c>
      <c r="T26" s="77">
        <f t="shared" si="13"/>
        <v>0</v>
      </c>
      <c r="U26" s="81">
        <f t="shared" si="14"/>
        <v>0</v>
      </c>
      <c r="V26" s="81">
        <f t="shared" si="30"/>
        <v>0</v>
      </c>
      <c r="W26" s="76">
        <f t="shared" si="15"/>
        <v>0</v>
      </c>
      <c r="X26" s="82">
        <f t="shared" si="16"/>
        <v>0</v>
      </c>
      <c r="Y26" s="76">
        <f t="shared" si="17"/>
        <v>0</v>
      </c>
      <c r="Z26" s="76">
        <v>1</v>
      </c>
      <c r="AA26" s="83">
        <f t="shared" si="18"/>
        <v>0.79</v>
      </c>
      <c r="AB26" s="76">
        <f t="shared" si="19"/>
        <v>2166707.12</v>
      </c>
      <c r="AC26" s="76">
        <f t="shared" si="20"/>
        <v>2166707.12</v>
      </c>
      <c r="AD26" s="76">
        <f t="shared" si="28"/>
        <v>1711698.6199999999</v>
      </c>
      <c r="AE26" s="81">
        <f t="shared" si="29"/>
        <v>62292.39</v>
      </c>
      <c r="AF26" s="81">
        <f t="shared" si="32"/>
        <v>1649406.23</v>
      </c>
      <c r="AG26" s="76">
        <f t="shared" si="31"/>
        <v>455008.5</v>
      </c>
      <c r="AH26" s="78">
        <f t="shared" si="23"/>
        <v>0.21000000221534323</v>
      </c>
      <c r="AI26" s="76">
        <f t="shared" si="24"/>
        <v>2166707.12</v>
      </c>
      <c r="AJ26" s="76">
        <f t="shared" si="25"/>
        <v>0</v>
      </c>
      <c r="AK26" s="76">
        <f t="shared" si="26"/>
        <v>0</v>
      </c>
      <c r="AL26" s="76">
        <f t="shared" si="27"/>
        <v>1711698.6199999999</v>
      </c>
      <c r="AM26" s="76">
        <f t="shared" si="33"/>
        <v>0</v>
      </c>
      <c r="AN26" s="76">
        <v>0</v>
      </c>
      <c r="AO26" s="76">
        <v>0</v>
      </c>
    </row>
    <row r="27" spans="1:41" ht="15.75" x14ac:dyDescent="0.2">
      <c r="A27" s="99"/>
      <c r="B27" s="100" t="s">
        <v>57</v>
      </c>
      <c r="C27" s="101"/>
      <c r="D27" s="101"/>
      <c r="E27" s="101"/>
      <c r="F27" s="80">
        <f t="shared" ref="F27:M27" si="34">SUM(F9:F26)</f>
        <v>14</v>
      </c>
      <c r="G27" s="84">
        <f t="shared" si="34"/>
        <v>12.510000000000002</v>
      </c>
      <c r="H27" s="76">
        <f t="shared" si="34"/>
        <v>30272118.34</v>
      </c>
      <c r="I27" s="76">
        <f t="shared" si="34"/>
        <v>30272118.280000001</v>
      </c>
      <c r="J27" s="77">
        <f t="shared" si="34"/>
        <v>27050299.999999996</v>
      </c>
      <c r="K27" s="77">
        <f t="shared" si="34"/>
        <v>923800</v>
      </c>
      <c r="L27" s="77">
        <f t="shared" si="34"/>
        <v>26126500</v>
      </c>
      <c r="M27" s="76">
        <f t="shared" si="34"/>
        <v>3221818.34</v>
      </c>
      <c r="N27" s="78">
        <f t="shared" si="9"/>
        <v>0.10642857266214407</v>
      </c>
      <c r="O27" s="79">
        <f t="shared" si="10"/>
        <v>2162294.1628571427</v>
      </c>
      <c r="P27" s="80">
        <f t="shared" ref="P27:W27" si="35">SUM(P9:P26)</f>
        <v>14</v>
      </c>
      <c r="Q27" s="76">
        <f t="shared" si="35"/>
        <v>12.58</v>
      </c>
      <c r="R27" s="76">
        <f t="shared" si="35"/>
        <v>30333926.910000004</v>
      </c>
      <c r="S27" s="76">
        <f t="shared" si="35"/>
        <v>30333926.850000001</v>
      </c>
      <c r="T27" s="77">
        <f t="shared" si="35"/>
        <v>27257200.000000004</v>
      </c>
      <c r="U27" s="81">
        <f t="shared" si="35"/>
        <v>974600</v>
      </c>
      <c r="V27" s="81">
        <f t="shared" si="35"/>
        <v>26282600</v>
      </c>
      <c r="W27" s="76">
        <f t="shared" si="35"/>
        <v>3076726.91</v>
      </c>
      <c r="X27" s="82">
        <f t="shared" si="16"/>
        <v>0.10142857287202828</v>
      </c>
      <c r="Y27" s="76">
        <f t="shared" si="17"/>
        <v>2166709.0607142858</v>
      </c>
      <c r="Z27" s="76">
        <f t="shared" ref="Z27:AG27" si="36">SUM(Z9:Z26)</f>
        <v>14</v>
      </c>
      <c r="AA27" s="83">
        <f t="shared" si="36"/>
        <v>12.36</v>
      </c>
      <c r="AB27" s="76">
        <f t="shared" si="36"/>
        <v>30333899.760000002</v>
      </c>
      <c r="AC27" s="76">
        <f t="shared" si="36"/>
        <v>30333899.680000007</v>
      </c>
      <c r="AD27" s="76">
        <f t="shared" si="36"/>
        <v>26780500</v>
      </c>
      <c r="AE27" s="76">
        <f t="shared" si="36"/>
        <v>974600.00000000012</v>
      </c>
      <c r="AF27" s="76">
        <f t="shared" si="36"/>
        <v>25805900</v>
      </c>
      <c r="AG27" s="76">
        <f t="shared" si="36"/>
        <v>3553399.7600000007</v>
      </c>
      <c r="AH27" s="78">
        <f t="shared" si="23"/>
        <v>0.11714285988566307</v>
      </c>
      <c r="AI27" s="76">
        <f t="shared" si="24"/>
        <v>2166707.1200000006</v>
      </c>
      <c r="AJ27" s="76">
        <f t="shared" ref="AJ27:AM27" si="37">SUM(AJ9:AJ26)</f>
        <v>27050299.999999996</v>
      </c>
      <c r="AK27" s="76">
        <f t="shared" si="37"/>
        <v>27257200.000000004</v>
      </c>
      <c r="AL27" s="76">
        <f t="shared" si="37"/>
        <v>26780500</v>
      </c>
      <c r="AM27" s="76">
        <f t="shared" si="37"/>
        <v>27050.3</v>
      </c>
      <c r="AN27" s="76">
        <v>0</v>
      </c>
      <c r="AO27" s="76">
        <v>0</v>
      </c>
    </row>
    <row r="28" spans="1:41" ht="15.75" hidden="1" x14ac:dyDescent="0.2">
      <c r="A28" s="105" t="s">
        <v>59</v>
      </c>
      <c r="B28" s="100" t="s">
        <v>58</v>
      </c>
      <c r="C28" s="101"/>
      <c r="D28" s="101"/>
      <c r="E28" s="101"/>
      <c r="F28" s="103"/>
      <c r="G28" s="102">
        <f>C28*F28</f>
        <v>0</v>
      </c>
      <c r="H28" s="76">
        <f>K28+L28+M28</f>
        <v>0</v>
      </c>
      <c r="I28" s="76">
        <f>ROUND($H$35/$G$31*F28,2)</f>
        <v>0</v>
      </c>
      <c r="J28" s="77">
        <f>K28+L28</f>
        <v>0</v>
      </c>
      <c r="K28" s="77">
        <f>ROUND((I28-M28)*(1-$H$37),2)</f>
        <v>0</v>
      </c>
      <c r="L28" s="77">
        <f>ROUND((I28-M28)*$H$37,2)</f>
        <v>0</v>
      </c>
      <c r="M28" s="76">
        <f>ROUNDUP(I28*(1-C28),2)</f>
        <v>0</v>
      </c>
      <c r="N28" s="78">
        <f t="shared" si="9"/>
        <v>0</v>
      </c>
      <c r="O28" s="79">
        <f t="shared" si="10"/>
        <v>0</v>
      </c>
      <c r="P28" s="103"/>
      <c r="Q28" s="102">
        <f>P28*D28</f>
        <v>0</v>
      </c>
      <c r="R28" s="76">
        <f t="shared" si="2"/>
        <v>0</v>
      </c>
      <c r="S28" s="76">
        <f>ROUND($S$35/$Q$31*P28,2)</f>
        <v>0</v>
      </c>
      <c r="T28" s="77">
        <f>U28+V28</f>
        <v>0</v>
      </c>
      <c r="U28" s="81">
        <f>ROUND((S28-W28)*(1-$S$37),2)</f>
        <v>0</v>
      </c>
      <c r="V28" s="81">
        <f>ROUND((S28-W28)*$S$37,2)</f>
        <v>0</v>
      </c>
      <c r="W28" s="76">
        <f>ROUND(S28*(1-D28),2)</f>
        <v>0</v>
      </c>
      <c r="X28" s="82">
        <f t="shared" si="16"/>
        <v>0</v>
      </c>
      <c r="Y28" s="76">
        <f t="shared" si="17"/>
        <v>0</v>
      </c>
      <c r="Z28" s="76"/>
      <c r="AA28" s="83"/>
      <c r="AB28" s="76">
        <f t="shared" si="19"/>
        <v>0</v>
      </c>
      <c r="AC28" s="76">
        <f>ROUND($AC$35/$AA$31*Z28,2)</f>
        <v>0</v>
      </c>
      <c r="AD28" s="76">
        <f>AE28+AF28</f>
        <v>0</v>
      </c>
      <c r="AE28" s="76"/>
      <c r="AF28" s="76"/>
      <c r="AG28" s="76"/>
      <c r="AH28" s="78">
        <f t="shared" si="23"/>
        <v>0</v>
      </c>
      <c r="AI28" s="76">
        <f t="shared" si="24"/>
        <v>0</v>
      </c>
      <c r="AJ28" s="76">
        <f t="shared" si="25"/>
        <v>0</v>
      </c>
      <c r="AK28" s="76">
        <f t="shared" si="26"/>
        <v>0</v>
      </c>
      <c r="AL28" s="76">
        <f t="shared" si="27"/>
        <v>0</v>
      </c>
      <c r="AM28" s="76">
        <f t="shared" ref="AM28:AM30" si="38">ROUND(AJ28/1000,1)</f>
        <v>0</v>
      </c>
      <c r="AN28" s="76">
        <v>0</v>
      </c>
      <c r="AO28" s="76">
        <v>0</v>
      </c>
    </row>
    <row r="29" spans="1:41" ht="15.75" hidden="1" x14ac:dyDescent="0.2">
      <c r="A29" s="105" t="s">
        <v>60</v>
      </c>
      <c r="B29" s="100" t="s">
        <v>58</v>
      </c>
      <c r="C29" s="101"/>
      <c r="D29" s="101"/>
      <c r="E29" s="101"/>
      <c r="F29" s="103"/>
      <c r="G29" s="102">
        <f>C29*F29</f>
        <v>0</v>
      </c>
      <c r="H29" s="76">
        <f>K29+L29+M29</f>
        <v>0</v>
      </c>
      <c r="I29" s="76">
        <f>ROUND($H$35/$G$31*F29,2)</f>
        <v>0</v>
      </c>
      <c r="J29" s="77">
        <f>K29+L29</f>
        <v>0</v>
      </c>
      <c r="K29" s="77">
        <f>ROUND((I29-M29)*(1-$H$37),2)</f>
        <v>0</v>
      </c>
      <c r="L29" s="77">
        <f>ROUND((I29-M29)*$H$37,2)</f>
        <v>0</v>
      </c>
      <c r="M29" s="76">
        <f>ROUNDUP(I29*(1-C29),2)</f>
        <v>0</v>
      </c>
      <c r="N29" s="78">
        <f t="shared" si="9"/>
        <v>0</v>
      </c>
      <c r="O29" s="79">
        <f t="shared" si="10"/>
        <v>0</v>
      </c>
      <c r="P29" s="103"/>
      <c r="Q29" s="102">
        <f>P29*D29</f>
        <v>0</v>
      </c>
      <c r="R29" s="76">
        <f t="shared" si="2"/>
        <v>0</v>
      </c>
      <c r="S29" s="76">
        <f>ROUND($S$35/$Q$31*P29,2)</f>
        <v>0</v>
      </c>
      <c r="T29" s="77">
        <f>U29+V29</f>
        <v>0</v>
      </c>
      <c r="U29" s="81">
        <f>ROUND((S29-W29)*(1-$S$37),2)</f>
        <v>0</v>
      </c>
      <c r="V29" s="81">
        <f>ROUND((S29-W29)*$S$37,2)</f>
        <v>0</v>
      </c>
      <c r="W29" s="76">
        <f>ROUND(S29*(1-D29),2)</f>
        <v>0</v>
      </c>
      <c r="X29" s="82">
        <f t="shared" si="16"/>
        <v>0</v>
      </c>
      <c r="Y29" s="76">
        <f t="shared" si="17"/>
        <v>0</v>
      </c>
      <c r="Z29" s="76"/>
      <c r="AA29" s="83"/>
      <c r="AB29" s="76">
        <f t="shared" si="19"/>
        <v>0</v>
      </c>
      <c r="AC29" s="76">
        <f>ROUND($AC$35/$AA$31*Z29,2)</f>
        <v>0</v>
      </c>
      <c r="AD29" s="76">
        <f>AE29+AF29</f>
        <v>0</v>
      </c>
      <c r="AE29" s="76"/>
      <c r="AF29" s="76"/>
      <c r="AG29" s="76"/>
      <c r="AH29" s="78">
        <f t="shared" si="23"/>
        <v>0</v>
      </c>
      <c r="AI29" s="76">
        <f t="shared" si="24"/>
        <v>0</v>
      </c>
      <c r="AJ29" s="76">
        <f t="shared" si="25"/>
        <v>0</v>
      </c>
      <c r="AK29" s="76">
        <f t="shared" si="26"/>
        <v>0</v>
      </c>
      <c r="AL29" s="76">
        <f t="shared" si="27"/>
        <v>0</v>
      </c>
      <c r="AM29" s="76">
        <f t="shared" si="38"/>
        <v>0</v>
      </c>
      <c r="AN29" s="76">
        <v>0</v>
      </c>
      <c r="AO29" s="76">
        <v>0</v>
      </c>
    </row>
    <row r="30" spans="1:41" ht="15.75" hidden="1" x14ac:dyDescent="0.2">
      <c r="A30" s="105" t="s">
        <v>61</v>
      </c>
      <c r="B30" s="100" t="s">
        <v>58</v>
      </c>
      <c r="C30" s="101"/>
      <c r="D30" s="101"/>
      <c r="E30" s="101"/>
      <c r="F30" s="103"/>
      <c r="G30" s="102">
        <f>C30*F30</f>
        <v>0</v>
      </c>
      <c r="H30" s="76">
        <f>K30+L30+M30</f>
        <v>0</v>
      </c>
      <c r="I30" s="76">
        <f>ROUND($H$35/$G$31*F30,2)</f>
        <v>0</v>
      </c>
      <c r="J30" s="77">
        <f>K30+L30</f>
        <v>0</v>
      </c>
      <c r="K30" s="77">
        <f>ROUND((I30-M30)*(1-$H$37),2)</f>
        <v>0</v>
      </c>
      <c r="L30" s="77">
        <f>ROUND((I30-M30)*$H$37,2)</f>
        <v>0</v>
      </c>
      <c r="M30" s="76">
        <f>ROUNDUP(I30*(1-C30),2)</f>
        <v>0</v>
      </c>
      <c r="N30" s="78">
        <f t="shared" si="9"/>
        <v>0</v>
      </c>
      <c r="O30" s="79">
        <f t="shared" si="10"/>
        <v>0</v>
      </c>
      <c r="P30" s="103"/>
      <c r="Q30" s="102">
        <f>P30*D30</f>
        <v>0</v>
      </c>
      <c r="R30" s="76">
        <f t="shared" si="2"/>
        <v>0</v>
      </c>
      <c r="S30" s="76">
        <f>ROUND($S$35/$Q$31*P30,2)</f>
        <v>0</v>
      </c>
      <c r="T30" s="77">
        <f>U30+V30</f>
        <v>0</v>
      </c>
      <c r="U30" s="81">
        <f>ROUND((S30-W30)*(1-$S$37),2)</f>
        <v>0</v>
      </c>
      <c r="V30" s="81">
        <f>ROUND((S30-W30)*$S$37,2)</f>
        <v>0</v>
      </c>
      <c r="W30" s="76">
        <f>ROUND(S30*(1-D30),2)</f>
        <v>0</v>
      </c>
      <c r="X30" s="82">
        <f t="shared" si="16"/>
        <v>0</v>
      </c>
      <c r="Y30" s="76">
        <f t="shared" si="17"/>
        <v>0</v>
      </c>
      <c r="Z30" s="76"/>
      <c r="AA30" s="83"/>
      <c r="AB30" s="76">
        <f t="shared" si="19"/>
        <v>0</v>
      </c>
      <c r="AC30" s="76">
        <f>ROUND($AC$35/$AA$31*Z30,2)</f>
        <v>0</v>
      </c>
      <c r="AD30" s="76">
        <f>AE30+AF30</f>
        <v>0</v>
      </c>
      <c r="AE30" s="76"/>
      <c r="AF30" s="76"/>
      <c r="AG30" s="76"/>
      <c r="AH30" s="78">
        <f t="shared" si="23"/>
        <v>0</v>
      </c>
      <c r="AI30" s="76">
        <f t="shared" si="24"/>
        <v>0</v>
      </c>
      <c r="AJ30" s="76">
        <f t="shared" si="25"/>
        <v>0</v>
      </c>
      <c r="AK30" s="76">
        <f t="shared" si="26"/>
        <v>0</v>
      </c>
      <c r="AL30" s="76">
        <f t="shared" si="27"/>
        <v>0</v>
      </c>
      <c r="AM30" s="76">
        <f t="shared" si="38"/>
        <v>0</v>
      </c>
      <c r="AN30" s="76">
        <v>0</v>
      </c>
      <c r="AO30" s="76">
        <v>0</v>
      </c>
    </row>
    <row r="31" spans="1:41" ht="15.75" x14ac:dyDescent="0.2">
      <c r="A31" s="99"/>
      <c r="B31" s="100" t="s">
        <v>25</v>
      </c>
      <c r="C31" s="106"/>
      <c r="D31" s="106"/>
      <c r="E31" s="106"/>
      <c r="F31" s="103">
        <f>F27+F28+F29+F30</f>
        <v>14</v>
      </c>
      <c r="G31" s="84">
        <f t="shared" ref="G31:AG31" si="39">G27+G28+G29+G30</f>
        <v>12.510000000000002</v>
      </c>
      <c r="H31" s="76">
        <f t="shared" si="39"/>
        <v>30272118.34</v>
      </c>
      <c r="I31" s="76">
        <f t="shared" si="39"/>
        <v>30272118.280000001</v>
      </c>
      <c r="J31" s="77">
        <f t="shared" si="39"/>
        <v>27050299.999999996</v>
      </c>
      <c r="K31" s="77">
        <f t="shared" si="39"/>
        <v>923800</v>
      </c>
      <c r="L31" s="77">
        <f t="shared" si="39"/>
        <v>26126500</v>
      </c>
      <c r="M31" s="76">
        <f t="shared" si="39"/>
        <v>3221818.34</v>
      </c>
      <c r="N31" s="78">
        <f t="shared" si="9"/>
        <v>0.10642857266214407</v>
      </c>
      <c r="O31" s="79">
        <f t="shared" si="10"/>
        <v>2162294.1628571427</v>
      </c>
      <c r="P31" s="103">
        <f t="shared" si="39"/>
        <v>14</v>
      </c>
      <c r="Q31" s="83">
        <f t="shared" si="39"/>
        <v>12.58</v>
      </c>
      <c r="R31" s="76">
        <f t="shared" si="39"/>
        <v>30333926.910000004</v>
      </c>
      <c r="S31" s="76">
        <f t="shared" si="39"/>
        <v>30333926.850000001</v>
      </c>
      <c r="T31" s="77">
        <f t="shared" si="39"/>
        <v>27257200.000000004</v>
      </c>
      <c r="U31" s="81">
        <f t="shared" si="39"/>
        <v>974600</v>
      </c>
      <c r="V31" s="81">
        <f t="shared" si="39"/>
        <v>26282600</v>
      </c>
      <c r="W31" s="76">
        <f t="shared" si="39"/>
        <v>3076726.91</v>
      </c>
      <c r="X31" s="82">
        <f t="shared" si="16"/>
        <v>0.10142857287202828</v>
      </c>
      <c r="Y31" s="76">
        <f t="shared" si="17"/>
        <v>2166709.0607142858</v>
      </c>
      <c r="Z31" s="76">
        <f t="shared" si="39"/>
        <v>14</v>
      </c>
      <c r="AA31" s="83">
        <f t="shared" si="39"/>
        <v>12.36</v>
      </c>
      <c r="AB31" s="76">
        <f t="shared" si="39"/>
        <v>30333899.760000002</v>
      </c>
      <c r="AC31" s="76">
        <f t="shared" si="39"/>
        <v>30333899.680000007</v>
      </c>
      <c r="AD31" s="76">
        <f t="shared" si="39"/>
        <v>26780500</v>
      </c>
      <c r="AE31" s="76">
        <f t="shared" si="39"/>
        <v>974600.00000000012</v>
      </c>
      <c r="AF31" s="76">
        <f t="shared" si="39"/>
        <v>25805900</v>
      </c>
      <c r="AG31" s="76">
        <f t="shared" si="39"/>
        <v>3553399.7600000007</v>
      </c>
      <c r="AH31" s="78">
        <f t="shared" si="23"/>
        <v>0.11714285988566307</v>
      </c>
      <c r="AI31" s="76">
        <f t="shared" si="24"/>
        <v>2166707.1200000006</v>
      </c>
      <c r="AJ31" s="76">
        <f t="shared" ref="AJ31:AM31" si="40">AJ27+AJ28+AJ29+AJ30</f>
        <v>27050299.999999996</v>
      </c>
      <c r="AK31" s="76">
        <f t="shared" si="40"/>
        <v>27257200.000000004</v>
      </c>
      <c r="AL31" s="76">
        <f t="shared" si="40"/>
        <v>26780500</v>
      </c>
      <c r="AM31" s="76">
        <f t="shared" si="40"/>
        <v>27050.3</v>
      </c>
      <c r="AN31" s="76">
        <v>0</v>
      </c>
      <c r="AO31" s="76">
        <v>0</v>
      </c>
    </row>
    <row r="32" spans="1:41" x14ac:dyDescent="0.2">
      <c r="O32" s="85"/>
      <c r="X32" s="86"/>
      <c r="Y32" s="79"/>
      <c r="AM32" s="87">
        <f>ROUND(AJ32/1000,1)</f>
        <v>0</v>
      </c>
      <c r="AN32" s="87">
        <f>ROUND(AK32/1000,1)</f>
        <v>0</v>
      </c>
      <c r="AO32" s="87">
        <f>ROUND(AL32/1000,1)</f>
        <v>0</v>
      </c>
    </row>
    <row r="33" spans="7:30" ht="15" x14ac:dyDescent="0.25">
      <c r="G33" s="90" t="s">
        <v>30</v>
      </c>
      <c r="H33" s="107">
        <v>923800</v>
      </c>
      <c r="I33" s="108">
        <f>H33-K31</f>
        <v>0</v>
      </c>
      <c r="S33" s="109">
        <v>974600</v>
      </c>
      <c r="T33" s="88">
        <f>+S33/S35</f>
        <v>3.5755690239643104E-2</v>
      </c>
      <c r="U33" s="110"/>
      <c r="AC33" s="111">
        <v>974600</v>
      </c>
      <c r="AD33" s="108">
        <f>AC33-AE31</f>
        <v>0</v>
      </c>
    </row>
    <row r="34" spans="7:30" ht="15" x14ac:dyDescent="0.25">
      <c r="G34" s="90" t="s">
        <v>29</v>
      </c>
      <c r="H34" s="107">
        <v>26126500</v>
      </c>
      <c r="I34" s="108">
        <f>H34-L31</f>
        <v>0</v>
      </c>
      <c r="N34" s="112">
        <v>211404.98490000001</v>
      </c>
      <c r="S34" s="109">
        <v>26282600</v>
      </c>
      <c r="T34" s="88">
        <f>+S34/S35</f>
        <v>0.96424430976035691</v>
      </c>
      <c r="U34" s="110"/>
      <c r="AC34" s="111">
        <v>25805900</v>
      </c>
      <c r="AD34" s="108">
        <f>AC34-AF31</f>
        <v>0</v>
      </c>
    </row>
    <row r="35" spans="7:30" x14ac:dyDescent="0.2">
      <c r="G35" s="90" t="s">
        <v>36</v>
      </c>
      <c r="H35" s="113">
        <f>SUM(H33:H34)</f>
        <v>27050300</v>
      </c>
      <c r="S35" s="113">
        <f>SUM(S33:S34)</f>
        <v>27257200</v>
      </c>
      <c r="T35" s="114"/>
      <c r="U35" s="110"/>
      <c r="AC35" s="115">
        <f>SUM(AC33:AC34)</f>
        <v>26780500</v>
      </c>
    </row>
    <row r="37" spans="7:30" x14ac:dyDescent="0.2">
      <c r="H37" s="90">
        <f>H34/H35</f>
        <v>0.96584880759178271</v>
      </c>
      <c r="J37" s="90">
        <f>1-H37</f>
        <v>3.415119240821729E-2</v>
      </c>
      <c r="S37" s="90">
        <f>S34/S35</f>
        <v>0.96424430976035691</v>
      </c>
      <c r="AC37" s="89">
        <f>AC34/AC35</f>
        <v>0.96360784899460428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AJ5:AL7"/>
    <mergeCell ref="Z7:Z8"/>
    <mergeCell ref="G7:G8"/>
    <mergeCell ref="H7:H8"/>
    <mergeCell ref="I7:M7"/>
    <mergeCell ref="N7:N8"/>
    <mergeCell ref="O7:O8"/>
    <mergeCell ref="P7:P8"/>
    <mergeCell ref="Q7:Q8"/>
    <mergeCell ref="R7:R8"/>
    <mergeCell ref="S7:W7"/>
    <mergeCell ref="X7:X8"/>
    <mergeCell ref="A3:AO3"/>
    <mergeCell ref="AM5:AO7"/>
    <mergeCell ref="F6:O6"/>
    <mergeCell ref="P6:Y6"/>
    <mergeCell ref="Z6:AI6"/>
    <mergeCell ref="F7:F8"/>
    <mergeCell ref="Y7:Y8"/>
    <mergeCell ref="AA7:AA8"/>
    <mergeCell ref="AB7:AB8"/>
    <mergeCell ref="AC7:AG7"/>
    <mergeCell ref="AH7:AH8"/>
    <mergeCell ref="AI7:AI8"/>
    <mergeCell ref="F5:O5"/>
    <mergeCell ref="A5:A8"/>
    <mergeCell ref="B5:B8"/>
    <mergeCell ref="C5:E7"/>
  </mergeCells>
  <pageMargins left="0.39370078740157483" right="0.23622047244094491" top="0.74803149606299213" bottom="0.74803149606299213" header="0.31496062992125984" footer="0.31496062992125984"/>
  <pageSetup paperSize="9" scale="55" orientation="landscape" r:id="rId1"/>
  <colBreaks count="2" manualBreakCount="2">
    <brk id="17" max="35" man="1"/>
    <brk id="2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расчет спорт стадионы</vt:lpstr>
      <vt:lpstr>'Приложение(9)_4_исход'!Заголовки_для_печати</vt:lpstr>
      <vt:lpstr>'расчет спорт стадионы'!Заголовки_для_печати</vt:lpstr>
      <vt:lpstr>'Приложение(9)_4_исход'!Область_печати</vt:lpstr>
      <vt:lpstr>'расчет спорт стадионы'!Область_печати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2023-08-18T11:45:41Z</cp:lastPrinted>
  <dcterms:created xsi:type="dcterms:W3CDTF">1996-10-08T23:32:33Z</dcterms:created>
  <dcterms:modified xsi:type="dcterms:W3CDTF">2023-08-24T10:18:42Z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