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675" windowHeight="10785"/>
  </bookViews>
  <sheets>
    <sheet name="Расчет всей субв." sheetId="1" r:id="rId1"/>
    <sheet name="Расчет по МО" sheetId="2" r:id="rId2"/>
    <sheet name="Нормативная численность" sheetId="3" r:id="rId3"/>
    <sheet name="Сравнит.табл. ЗП" sheetId="4" r:id="rId4"/>
  </sheets>
  <calcPr calcId="145621"/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4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12" i="4"/>
  <c r="F23" i="4"/>
  <c r="J6" i="4"/>
  <c r="J7" i="4"/>
  <c r="J8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5" i="4"/>
  <c r="H23" i="4" l="1"/>
  <c r="E23" i="4"/>
  <c r="N22" i="4"/>
  <c r="H22" i="4"/>
  <c r="I22" i="4" s="1"/>
  <c r="E22" i="4"/>
  <c r="N21" i="4"/>
  <c r="H21" i="4"/>
  <c r="I21" i="4" s="1"/>
  <c r="E21" i="4"/>
  <c r="N20" i="4"/>
  <c r="H20" i="4"/>
  <c r="I20" i="4" s="1"/>
  <c r="E20" i="4"/>
  <c r="N19" i="4"/>
  <c r="I19" i="4"/>
  <c r="H19" i="4"/>
  <c r="E19" i="4"/>
  <c r="N18" i="4"/>
  <c r="I18" i="4"/>
  <c r="H18" i="4"/>
  <c r="E18" i="4"/>
  <c r="N17" i="4"/>
  <c r="I17" i="4"/>
  <c r="H17" i="4"/>
  <c r="E17" i="4"/>
  <c r="N16" i="4"/>
  <c r="H16" i="4"/>
  <c r="I16" i="4" s="1"/>
  <c r="E16" i="4"/>
  <c r="N15" i="4"/>
  <c r="H15" i="4"/>
  <c r="I15" i="4" s="1"/>
  <c r="E15" i="4"/>
  <c r="N14" i="4"/>
  <c r="I14" i="4"/>
  <c r="H14" i="4"/>
  <c r="E14" i="4"/>
  <c r="N13" i="4"/>
  <c r="H13" i="4"/>
  <c r="I13" i="4" s="1"/>
  <c r="E13" i="4"/>
  <c r="N12" i="4"/>
  <c r="H12" i="4"/>
  <c r="I12" i="4" s="1"/>
  <c r="N11" i="4"/>
  <c r="H11" i="4"/>
  <c r="I11" i="4" s="1"/>
  <c r="E11" i="4"/>
  <c r="N10" i="4"/>
  <c r="H10" i="4"/>
  <c r="I10" i="4" s="1"/>
  <c r="E10" i="4"/>
  <c r="N9" i="4"/>
  <c r="H9" i="4"/>
  <c r="J9" i="4" s="1"/>
  <c r="E9" i="4"/>
  <c r="N8" i="4"/>
  <c r="H8" i="4"/>
  <c r="I8" i="4" s="1"/>
  <c r="E8" i="4"/>
  <c r="N7" i="4"/>
  <c r="H7" i="4"/>
  <c r="I7" i="4" s="1"/>
  <c r="E7" i="4"/>
  <c r="N6" i="4"/>
  <c r="I6" i="4"/>
  <c r="H6" i="4"/>
  <c r="E6" i="4"/>
  <c r="N5" i="4"/>
  <c r="N23" i="4" s="1"/>
  <c r="I5" i="4"/>
  <c r="H5" i="4"/>
  <c r="E5" i="4"/>
  <c r="D26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4" i="2"/>
  <c r="I5" i="1"/>
  <c r="I4" i="1"/>
  <c r="D75" i="3"/>
  <c r="I23" i="4" l="1"/>
  <c r="I9" i="4"/>
  <c r="F6" i="1" l="1"/>
  <c r="G6" i="1"/>
  <c r="H6" i="1"/>
  <c r="O6" i="1"/>
  <c r="N5" i="1"/>
  <c r="P5" i="1" s="1"/>
  <c r="L5" i="1"/>
  <c r="M5" i="1" s="1"/>
  <c r="B5" i="1"/>
  <c r="L4" i="1" l="1"/>
  <c r="L6" i="1" s="1"/>
  <c r="M4" i="1" l="1"/>
  <c r="M6" i="1" s="1"/>
  <c r="I6" i="1" l="1"/>
  <c r="D4" i="1"/>
  <c r="D6" i="1" s="1"/>
  <c r="V52" i="3" l="1"/>
  <c r="U52" i="3"/>
  <c r="T52" i="3"/>
  <c r="S52" i="3"/>
  <c r="R52" i="3"/>
  <c r="Q52" i="3"/>
  <c r="P52" i="3"/>
  <c r="O52" i="3"/>
  <c r="N52" i="3"/>
  <c r="M52" i="3"/>
  <c r="L52" i="3"/>
  <c r="K52" i="3"/>
  <c r="J52" i="3"/>
  <c r="H52" i="3"/>
  <c r="G52" i="3"/>
  <c r="F52" i="3"/>
  <c r="E52" i="3"/>
  <c r="D52" i="3"/>
  <c r="C52" i="3"/>
  <c r="B52" i="3"/>
  <c r="P51" i="3"/>
  <c r="H51" i="3"/>
  <c r="V50" i="3"/>
  <c r="U50" i="3"/>
  <c r="T50" i="3"/>
  <c r="R50" i="3"/>
  <c r="W50" i="3" s="1"/>
  <c r="Q50" i="3"/>
  <c r="O50" i="3"/>
  <c r="N50" i="3"/>
  <c r="M50" i="3"/>
  <c r="L50" i="3"/>
  <c r="J50" i="3"/>
  <c r="G50" i="3"/>
  <c r="F50" i="3"/>
  <c r="E50" i="3"/>
  <c r="D50" i="3"/>
  <c r="C50" i="3"/>
  <c r="B50" i="3"/>
  <c r="I50" i="3" s="1"/>
  <c r="V49" i="3"/>
  <c r="U49" i="3"/>
  <c r="T49" i="3"/>
  <c r="R49" i="3"/>
  <c r="Q49" i="3"/>
  <c r="O49" i="3"/>
  <c r="N49" i="3"/>
  <c r="M49" i="3"/>
  <c r="L49" i="3"/>
  <c r="W49" i="3" s="1"/>
  <c r="J49" i="3"/>
  <c r="G49" i="3"/>
  <c r="F49" i="3"/>
  <c r="E49" i="3"/>
  <c r="D49" i="3"/>
  <c r="C49" i="3"/>
  <c r="B49" i="3"/>
  <c r="I49" i="3" s="1"/>
  <c r="V48" i="3"/>
  <c r="U48" i="3"/>
  <c r="T48" i="3"/>
  <c r="R48" i="3"/>
  <c r="Q48" i="3"/>
  <c r="O48" i="3"/>
  <c r="N48" i="3"/>
  <c r="M48" i="3"/>
  <c r="L48" i="3"/>
  <c r="J48" i="3"/>
  <c r="W48" i="3" s="1"/>
  <c r="X48" i="3" s="1"/>
  <c r="G48" i="3"/>
  <c r="F48" i="3"/>
  <c r="E48" i="3"/>
  <c r="D48" i="3"/>
  <c r="C48" i="3"/>
  <c r="I48" i="3" s="1"/>
  <c r="B48" i="3"/>
  <c r="V47" i="3"/>
  <c r="U47" i="3"/>
  <c r="T47" i="3"/>
  <c r="S47" i="3"/>
  <c r="R47" i="3"/>
  <c r="Q47" i="3"/>
  <c r="O47" i="3"/>
  <c r="N47" i="3"/>
  <c r="M47" i="3"/>
  <c r="L47" i="3"/>
  <c r="J47" i="3"/>
  <c r="W47" i="3" s="1"/>
  <c r="X47" i="3" s="1"/>
  <c r="G47" i="3"/>
  <c r="F47" i="3"/>
  <c r="E47" i="3"/>
  <c r="D47" i="3"/>
  <c r="C47" i="3"/>
  <c r="B47" i="3"/>
  <c r="I47" i="3" s="1"/>
  <c r="V46" i="3"/>
  <c r="U46" i="3"/>
  <c r="T46" i="3"/>
  <c r="R46" i="3"/>
  <c r="Q46" i="3"/>
  <c r="O46" i="3"/>
  <c r="N46" i="3"/>
  <c r="M46" i="3"/>
  <c r="L46" i="3"/>
  <c r="W46" i="3" s="1"/>
  <c r="X46" i="3" s="1"/>
  <c r="J46" i="3"/>
  <c r="G46" i="3"/>
  <c r="F46" i="3"/>
  <c r="E46" i="3"/>
  <c r="D46" i="3"/>
  <c r="I46" i="3" s="1"/>
  <c r="C46" i="3"/>
  <c r="B46" i="3"/>
  <c r="V45" i="3"/>
  <c r="U45" i="3"/>
  <c r="T45" i="3"/>
  <c r="R45" i="3"/>
  <c r="Q45" i="3"/>
  <c r="O45" i="3"/>
  <c r="N45" i="3"/>
  <c r="M45" i="3"/>
  <c r="W45" i="3" s="1"/>
  <c r="X45" i="3" s="1"/>
  <c r="L45" i="3"/>
  <c r="K45" i="3"/>
  <c r="J45" i="3"/>
  <c r="I45" i="3"/>
  <c r="G45" i="3"/>
  <c r="F45" i="3"/>
  <c r="E45" i="3"/>
  <c r="D45" i="3"/>
  <c r="C45" i="3"/>
  <c r="B45" i="3"/>
  <c r="V44" i="3"/>
  <c r="U44" i="3"/>
  <c r="T44" i="3"/>
  <c r="S44" i="3"/>
  <c r="R44" i="3"/>
  <c r="Q44" i="3"/>
  <c r="O44" i="3"/>
  <c r="N44" i="3"/>
  <c r="W44" i="3" s="1"/>
  <c r="X44" i="3" s="1"/>
  <c r="M44" i="3"/>
  <c r="L44" i="3"/>
  <c r="J44" i="3"/>
  <c r="G44" i="3"/>
  <c r="F44" i="3"/>
  <c r="E44" i="3"/>
  <c r="D44" i="3"/>
  <c r="I44" i="3" s="1"/>
  <c r="C44" i="3"/>
  <c r="B44" i="3"/>
  <c r="V43" i="3"/>
  <c r="U43" i="3"/>
  <c r="T43" i="3"/>
  <c r="S43" i="3"/>
  <c r="R43" i="3"/>
  <c r="Q43" i="3"/>
  <c r="O43" i="3"/>
  <c r="N43" i="3"/>
  <c r="M43" i="3"/>
  <c r="L43" i="3"/>
  <c r="K43" i="3"/>
  <c r="J43" i="3"/>
  <c r="W43" i="3" s="1"/>
  <c r="G43" i="3"/>
  <c r="F43" i="3"/>
  <c r="E43" i="3"/>
  <c r="D43" i="3"/>
  <c r="C43" i="3"/>
  <c r="B43" i="3"/>
  <c r="I43" i="3" s="1"/>
  <c r="V42" i="3"/>
  <c r="U42" i="3"/>
  <c r="T42" i="3"/>
  <c r="T51" i="3" s="1"/>
  <c r="R42" i="3"/>
  <c r="Q42" i="3"/>
  <c r="O42" i="3"/>
  <c r="N42" i="3"/>
  <c r="M42" i="3"/>
  <c r="W42" i="3" s="1"/>
  <c r="X42" i="3" s="1"/>
  <c r="L42" i="3"/>
  <c r="J42" i="3"/>
  <c r="I42" i="3"/>
  <c r="G42" i="3"/>
  <c r="F42" i="3"/>
  <c r="E42" i="3"/>
  <c r="D42" i="3"/>
  <c r="C42" i="3"/>
  <c r="B42" i="3"/>
  <c r="V41" i="3"/>
  <c r="U41" i="3"/>
  <c r="T41" i="3"/>
  <c r="R41" i="3"/>
  <c r="W41" i="3" s="1"/>
  <c r="Q41" i="3"/>
  <c r="O41" i="3"/>
  <c r="N41" i="3"/>
  <c r="M41" i="3"/>
  <c r="L41" i="3"/>
  <c r="J41" i="3"/>
  <c r="G41" i="3"/>
  <c r="F41" i="3"/>
  <c r="E41" i="3"/>
  <c r="D41" i="3"/>
  <c r="C41" i="3"/>
  <c r="I41" i="3" s="1"/>
  <c r="B41" i="3"/>
  <c r="V40" i="3"/>
  <c r="U40" i="3"/>
  <c r="T40" i="3"/>
  <c r="S40" i="3"/>
  <c r="R40" i="3"/>
  <c r="Q40" i="3"/>
  <c r="O40" i="3"/>
  <c r="N40" i="3"/>
  <c r="M40" i="3"/>
  <c r="W40" i="3" s="1"/>
  <c r="L40" i="3"/>
  <c r="J40" i="3"/>
  <c r="G40" i="3"/>
  <c r="F40" i="3"/>
  <c r="E40" i="3"/>
  <c r="D40" i="3"/>
  <c r="C40" i="3"/>
  <c r="B40" i="3"/>
  <c r="I40" i="3" s="1"/>
  <c r="V39" i="3"/>
  <c r="U39" i="3"/>
  <c r="T39" i="3"/>
  <c r="S39" i="3"/>
  <c r="R39" i="3"/>
  <c r="Q39" i="3"/>
  <c r="O39" i="3"/>
  <c r="N39" i="3"/>
  <c r="M39" i="3"/>
  <c r="L39" i="3"/>
  <c r="K39" i="3"/>
  <c r="J39" i="3"/>
  <c r="W39" i="3" s="1"/>
  <c r="X39" i="3" s="1"/>
  <c r="I39" i="3"/>
  <c r="G39" i="3"/>
  <c r="F39" i="3"/>
  <c r="E39" i="3"/>
  <c r="D39" i="3"/>
  <c r="C39" i="3"/>
  <c r="B39" i="3"/>
  <c r="V38" i="3"/>
  <c r="U38" i="3"/>
  <c r="T38" i="3"/>
  <c r="R38" i="3"/>
  <c r="Q38" i="3"/>
  <c r="O38" i="3"/>
  <c r="N38" i="3"/>
  <c r="M38" i="3"/>
  <c r="W38" i="3" s="1"/>
  <c r="X38" i="3" s="1"/>
  <c r="L38" i="3"/>
  <c r="K38" i="3"/>
  <c r="K51" i="3" s="1"/>
  <c r="J38" i="3"/>
  <c r="G38" i="3"/>
  <c r="F38" i="3"/>
  <c r="E38" i="3"/>
  <c r="D38" i="3"/>
  <c r="I38" i="3" s="1"/>
  <c r="C38" i="3"/>
  <c r="B38" i="3"/>
  <c r="V37" i="3"/>
  <c r="U37" i="3"/>
  <c r="T37" i="3"/>
  <c r="R37" i="3"/>
  <c r="W37" i="3" s="1"/>
  <c r="X37" i="3" s="1"/>
  <c r="Q37" i="3"/>
  <c r="O37" i="3"/>
  <c r="N37" i="3"/>
  <c r="M37" i="3"/>
  <c r="L37" i="3"/>
  <c r="J37" i="3"/>
  <c r="G37" i="3"/>
  <c r="F37" i="3"/>
  <c r="E37" i="3"/>
  <c r="D37" i="3"/>
  <c r="C37" i="3"/>
  <c r="B37" i="3"/>
  <c r="I37" i="3" s="1"/>
  <c r="V36" i="3"/>
  <c r="U36" i="3"/>
  <c r="T36" i="3"/>
  <c r="R36" i="3"/>
  <c r="Q36" i="3"/>
  <c r="O36" i="3"/>
  <c r="N36" i="3"/>
  <c r="M36" i="3"/>
  <c r="L36" i="3"/>
  <c r="W36" i="3" s="1"/>
  <c r="X36" i="3" s="1"/>
  <c r="J36" i="3"/>
  <c r="G36" i="3"/>
  <c r="F36" i="3"/>
  <c r="E36" i="3"/>
  <c r="D36" i="3"/>
  <c r="C36" i="3"/>
  <c r="B36" i="3"/>
  <c r="I36" i="3" s="1"/>
  <c r="V35" i="3"/>
  <c r="U35" i="3"/>
  <c r="T35" i="3"/>
  <c r="S35" i="3"/>
  <c r="R35" i="3"/>
  <c r="Q35" i="3"/>
  <c r="O35" i="3"/>
  <c r="N35" i="3"/>
  <c r="M35" i="3"/>
  <c r="L35" i="3"/>
  <c r="J35" i="3"/>
  <c r="W35" i="3" s="1"/>
  <c r="G35" i="3"/>
  <c r="F35" i="3"/>
  <c r="E35" i="3"/>
  <c r="D35" i="3"/>
  <c r="C35" i="3"/>
  <c r="B35" i="3"/>
  <c r="I35" i="3" s="1"/>
  <c r="V34" i="3"/>
  <c r="U34" i="3"/>
  <c r="T34" i="3"/>
  <c r="S34" i="3"/>
  <c r="S51" i="3" s="1"/>
  <c r="R34" i="3"/>
  <c r="Q34" i="3"/>
  <c r="O34" i="3"/>
  <c r="N34" i="3"/>
  <c r="M34" i="3"/>
  <c r="L34" i="3"/>
  <c r="L51" i="3" s="1"/>
  <c r="J34" i="3"/>
  <c r="W34" i="3" s="1"/>
  <c r="G34" i="3"/>
  <c r="F34" i="3"/>
  <c r="E34" i="3"/>
  <c r="D34" i="3"/>
  <c r="C34" i="3"/>
  <c r="B34" i="3"/>
  <c r="I34" i="3" s="1"/>
  <c r="V33" i="3"/>
  <c r="V51" i="3" s="1"/>
  <c r="U33" i="3"/>
  <c r="U51" i="3" s="1"/>
  <c r="T33" i="3"/>
  <c r="R33" i="3"/>
  <c r="R51" i="3" s="1"/>
  <c r="Q33" i="3"/>
  <c r="Q51" i="3" s="1"/>
  <c r="O33" i="3"/>
  <c r="O51" i="3" s="1"/>
  <c r="N33" i="3"/>
  <c r="N51" i="3" s="1"/>
  <c r="M33" i="3"/>
  <c r="M51" i="3" s="1"/>
  <c r="L33" i="3"/>
  <c r="J33" i="3"/>
  <c r="J51" i="3" s="1"/>
  <c r="G33" i="3"/>
  <c r="G51" i="3" s="1"/>
  <c r="F33" i="3"/>
  <c r="F51" i="3" s="1"/>
  <c r="E33" i="3"/>
  <c r="E51" i="3" s="1"/>
  <c r="D33" i="3"/>
  <c r="C33" i="3"/>
  <c r="C51" i="3" s="1"/>
  <c r="B33" i="3"/>
  <c r="B51" i="3" s="1"/>
  <c r="D30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H29" i="3"/>
  <c r="G29" i="3"/>
  <c r="F29" i="3"/>
  <c r="E29" i="3"/>
  <c r="D29" i="3"/>
  <c r="C29" i="3"/>
  <c r="B29" i="3"/>
  <c r="X28" i="3"/>
  <c r="W28" i="3"/>
  <c r="I28" i="3"/>
  <c r="W27" i="3"/>
  <c r="X27" i="3" s="1"/>
  <c r="I27" i="3"/>
  <c r="W26" i="3"/>
  <c r="X26" i="3" s="1"/>
  <c r="I26" i="3"/>
  <c r="W25" i="3"/>
  <c r="X25" i="3" s="1"/>
  <c r="I25" i="3"/>
  <c r="X24" i="3"/>
  <c r="W24" i="3"/>
  <c r="I24" i="3"/>
  <c r="W23" i="3"/>
  <c r="X23" i="3" s="1"/>
  <c r="I23" i="3"/>
  <c r="W22" i="3"/>
  <c r="X22" i="3" s="1"/>
  <c r="I22" i="3"/>
  <c r="W21" i="3"/>
  <c r="X21" i="3" s="1"/>
  <c r="I21" i="3"/>
  <c r="X20" i="3"/>
  <c r="W20" i="3"/>
  <c r="I20" i="3"/>
  <c r="W19" i="3"/>
  <c r="X19" i="3" s="1"/>
  <c r="I19" i="3"/>
  <c r="W18" i="3"/>
  <c r="I18" i="3"/>
  <c r="X18" i="3" s="1"/>
  <c r="W17" i="3"/>
  <c r="X17" i="3" s="1"/>
  <c r="I17" i="3"/>
  <c r="X16" i="3"/>
  <c r="W16" i="3"/>
  <c r="I16" i="3"/>
  <c r="W15" i="3"/>
  <c r="X15" i="3" s="1"/>
  <c r="I15" i="3"/>
  <c r="W14" i="3"/>
  <c r="X14" i="3" s="1"/>
  <c r="I14" i="3"/>
  <c r="I29" i="3" s="1"/>
  <c r="W13" i="3"/>
  <c r="X13" i="3" s="1"/>
  <c r="I13" i="3"/>
  <c r="X12" i="3"/>
  <c r="W12" i="3"/>
  <c r="I12" i="3"/>
  <c r="W11" i="3"/>
  <c r="W29" i="3" s="1"/>
  <c r="I11" i="3"/>
  <c r="E4" i="1"/>
  <c r="E6" i="1" s="1"/>
  <c r="X41" i="3" l="1"/>
  <c r="X49" i="3"/>
  <c r="X34" i="3"/>
  <c r="X40" i="3"/>
  <c r="X43" i="3"/>
  <c r="X35" i="3"/>
  <c r="X50" i="3"/>
  <c r="D51" i="3"/>
  <c r="X11" i="3"/>
  <c r="X29" i="3" s="1"/>
  <c r="I33" i="3"/>
  <c r="I51" i="3" s="1"/>
  <c r="W33" i="3"/>
  <c r="X33" i="3" l="1"/>
  <c r="X51" i="3" s="1"/>
  <c r="W51" i="3"/>
  <c r="H22" i="2" l="1"/>
  <c r="N21" i="2"/>
  <c r="P21" i="2" s="1"/>
  <c r="L21" i="2"/>
  <c r="M21" i="2" s="1"/>
  <c r="N20" i="2"/>
  <c r="P20" i="2" s="1"/>
  <c r="L20" i="2"/>
  <c r="M20" i="2" s="1"/>
  <c r="N19" i="2"/>
  <c r="P19" i="2" s="1"/>
  <c r="L19" i="2"/>
  <c r="M19" i="2" s="1"/>
  <c r="N18" i="2"/>
  <c r="P18" i="2" s="1"/>
  <c r="L18" i="2"/>
  <c r="M18" i="2" s="1"/>
  <c r="N17" i="2"/>
  <c r="P17" i="2" s="1"/>
  <c r="L17" i="2"/>
  <c r="M17" i="2" s="1"/>
  <c r="N16" i="2"/>
  <c r="P16" i="2" s="1"/>
  <c r="L16" i="2"/>
  <c r="M16" i="2" s="1"/>
  <c r="N15" i="2"/>
  <c r="P15" i="2" s="1"/>
  <c r="L15" i="2"/>
  <c r="M15" i="2" s="1"/>
  <c r="N14" i="2"/>
  <c r="P14" i="2" s="1"/>
  <c r="L14" i="2"/>
  <c r="M14" i="2" s="1"/>
  <c r="N13" i="2"/>
  <c r="P13" i="2" s="1"/>
  <c r="L13" i="2"/>
  <c r="M13" i="2" s="1"/>
  <c r="N12" i="2"/>
  <c r="P12" i="2" s="1"/>
  <c r="L12" i="2"/>
  <c r="M12" i="2" s="1"/>
  <c r="N11" i="2"/>
  <c r="P11" i="2" s="1"/>
  <c r="L11" i="2"/>
  <c r="M11" i="2" s="1"/>
  <c r="N10" i="2"/>
  <c r="P10" i="2" s="1"/>
  <c r="L10" i="2"/>
  <c r="M10" i="2" s="1"/>
  <c r="N9" i="2"/>
  <c r="P9" i="2" s="1"/>
  <c r="L9" i="2"/>
  <c r="M9" i="2" s="1"/>
  <c r="N8" i="2"/>
  <c r="P8" i="2" s="1"/>
  <c r="L8" i="2"/>
  <c r="M8" i="2" s="1"/>
  <c r="N7" i="2"/>
  <c r="P7" i="2" s="1"/>
  <c r="L7" i="2"/>
  <c r="M7" i="2" s="1"/>
  <c r="N6" i="2"/>
  <c r="P6" i="2" s="1"/>
  <c r="L6" i="2"/>
  <c r="M6" i="2" s="1"/>
  <c r="N5" i="2"/>
  <c r="P5" i="2" s="1"/>
  <c r="L5" i="2"/>
  <c r="M5" i="2" s="1"/>
  <c r="N4" i="2"/>
  <c r="P4" i="2" s="1"/>
  <c r="L4" i="2"/>
  <c r="M4" i="2" s="1"/>
  <c r="C4" i="1"/>
  <c r="N4" i="1"/>
  <c r="P4" i="1" l="1"/>
  <c r="P6" i="1" s="1"/>
  <c r="N6" i="1"/>
  <c r="C6" i="1"/>
  <c r="Q4" i="1"/>
  <c r="Q6" i="1" s="1"/>
  <c r="B4" i="1"/>
  <c r="B6" i="1" s="1"/>
  <c r="Q5" i="2"/>
  <c r="D5" i="2" s="1"/>
  <c r="Q15" i="2"/>
  <c r="D15" i="2" s="1"/>
  <c r="Q17" i="2"/>
  <c r="D17" i="2" s="1"/>
  <c r="Q13" i="2"/>
  <c r="D13" i="2" s="1"/>
  <c r="Q20" i="2"/>
  <c r="D20" i="2" s="1"/>
  <c r="Q9" i="2"/>
  <c r="D9" i="2" s="1"/>
  <c r="Q6" i="2"/>
  <c r="D6" i="2" s="1"/>
  <c r="Q10" i="2"/>
  <c r="D10" i="2" s="1"/>
  <c r="Q12" i="2"/>
  <c r="D12" i="2" s="1"/>
  <c r="Q14" i="2"/>
  <c r="D14" i="2" s="1"/>
  <c r="Q18" i="2"/>
  <c r="D18" i="2" s="1"/>
  <c r="Q11" i="2"/>
  <c r="D11" i="2" s="1"/>
  <c r="Q8" i="2"/>
  <c r="D8" i="2" s="1"/>
  <c r="Q16" i="2"/>
  <c r="D16" i="2" s="1"/>
  <c r="Q21" i="2"/>
  <c r="D21" i="2" s="1"/>
  <c r="Q7" i="2"/>
  <c r="D7" i="2" s="1"/>
  <c r="P22" i="2"/>
  <c r="Q4" i="2"/>
  <c r="D4" i="2" s="1"/>
  <c r="M22" i="2"/>
  <c r="Q19" i="2"/>
  <c r="D19" i="2" s="1"/>
  <c r="D22" i="2" l="1"/>
  <c r="Q22" i="2"/>
  <c r="B22" i="2" l="1"/>
</calcChain>
</file>

<file path=xl/sharedStrings.xml><?xml version="1.0" encoding="utf-8"?>
<sst xmlns="http://schemas.openxmlformats.org/spreadsheetml/2006/main" count="241" uniqueCount="140">
  <si>
    <t>Таблица1</t>
  </si>
  <si>
    <t>Наименование</t>
  </si>
  <si>
    <t xml:space="preserve">Нормативная численность работников </t>
  </si>
  <si>
    <t>Фонд оплаты труда (с начислениями на выплаты по оплате труда) специалиста эксп.</t>
  </si>
  <si>
    <t>расходы на оплату труда работников органов записи актов гражданского состояния i-го муниципального образования, кроме обслуживающего персонала (ФОТ с начисл.кроме обсл.)</t>
  </si>
  <si>
    <t>расходы на оплату труда одного лица обслуживающего персонала, рассчитываемые исходя из минимального размера оплаты труда и страховых взносов(МРОТ с начисл обсл.перс)*</t>
  </si>
  <si>
    <t>численность обслуживающего персонала, рассчитываемая исходя из средней фактической численности обслуживающего персонала в нормативной численности работников(Числ. обсл.перс.)</t>
  </si>
  <si>
    <t>расходы на оплату труда обслуживающего персонала органов записи актов гражданского состояния i-го муниципального образования(ФОТ с начисл.обсл.перс)</t>
  </si>
  <si>
    <t>прочие расходы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(Мат.затраты)</t>
  </si>
  <si>
    <t>Qhi</t>
  </si>
  <si>
    <t>Si(зп.спец-эксп. год с начисл)</t>
  </si>
  <si>
    <t>Zhi(зп на МО с начисл. спец)</t>
  </si>
  <si>
    <t>Sоi</t>
  </si>
  <si>
    <t>Qоi</t>
  </si>
  <si>
    <t>Zоi(зп на МО с начисл. спец)</t>
  </si>
  <si>
    <t>Мзi</t>
  </si>
  <si>
    <t>Ленинградская область</t>
  </si>
  <si>
    <t xml:space="preserve">Общий 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рассчитывается </t>
  </si>
  <si>
    <t>V</t>
  </si>
  <si>
    <t>размер субвенции, выделенной областному бюджету Ленинградской области из федерального бюджета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</si>
  <si>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>F</t>
  </si>
  <si>
    <t>H</t>
  </si>
  <si>
    <t>Vfb</t>
  </si>
  <si>
    <t xml:space="preserve">размер субвенций,  бюджету Ленинградской области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выделенный областному бюджету Ленинградской области из федерального бюджета </t>
  </si>
  <si>
    <t xml:space="preserve"> расходы уполномоченного органа исполнительной власти Ленинградской области в сфере государственной регистрации актов гражданского состояния на приобретение бланков свидетельств о государственной регистрации актов гражданского состояния в порядке, установленном постановлением Правительства Российской Федерации от 4 октября 2018 года № 1191 «Об утверждении Правил изготовления бланков свидетельств о государственной регистрации актов гражданского состояния, их приобретения, учета и уничтожения поврежденных бланков свидетельств о государственной регистрации актов гражданского состояния» </t>
  </si>
  <si>
    <t>A</t>
  </si>
  <si>
    <t>расходы, связанные с финансовым обеспечением возложенных на государственное бюджетное учреждение Ленинградской области «Многофункциональный центр предоставления государственных и муниципальных услуг»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состояния, в соответствии с областным законом от 12 июля 2019 года № 60-оз «О возложении на государственное бюджетное учреждение Ленинградской области «Многофункциональный центр предоставления государственных и муниципальных услуг»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состояния» (далее - областной закон № 60-оз, расходы, связанные с финансовым обеспечением возложенных на ГБУ ЛО «МФЦ» отдельных государственных полномочий в соответствии с областным законом № 60-оз</t>
  </si>
  <si>
    <t>B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</si>
  <si>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состояния;</t>
  </si>
  <si>
    <t>ФОТ спец. 1 катег. = 12+4+3+14+16+4</t>
  </si>
  <si>
    <t>Расчет по МО</t>
  </si>
  <si>
    <t>Наименование района</t>
  </si>
  <si>
    <t>Vi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</si>
  <si>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</si>
  <si>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</si>
  <si>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</si>
  <si>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</si>
  <si>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</si>
  <si>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</si>
  <si>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</si>
  <si>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</si>
  <si>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</si>
  <si>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</si>
  <si>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</si>
  <si>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</si>
  <si>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</si>
  <si>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</si>
  <si>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</si>
  <si>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</si>
  <si>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</si>
  <si>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</si>
  <si>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</si>
  <si>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Численность обслуживающенго персонала из отчетных данных в Минюст РФ по итогам 2021 года.</t>
  </si>
  <si>
    <t>Рачсчет времени и численности</t>
  </si>
  <si>
    <t>Кол-во АЗ и ЮЗД за 2021 (отчетные данные в Минюст РФ)по видам</t>
  </si>
  <si>
    <t>Наименование районов</t>
  </si>
  <si>
    <t>рожд</t>
  </si>
  <si>
    <t>смерть</t>
  </si>
  <si>
    <t>брак</t>
  </si>
  <si>
    <t>развод</t>
  </si>
  <si>
    <t>отцовство</t>
  </si>
  <si>
    <t>усыновл</t>
  </si>
  <si>
    <t>имя</t>
  </si>
  <si>
    <t>итого</t>
  </si>
  <si>
    <t>Запросы</t>
  </si>
  <si>
    <t>извещение об отказе</t>
  </si>
  <si>
    <t>исп.закл др.орг.</t>
  </si>
  <si>
    <t>испр изм</t>
  </si>
  <si>
    <t>справки</t>
  </si>
  <si>
    <t>свид-ва</t>
  </si>
  <si>
    <t xml:space="preserve">рассмотр заяв.о вн.изм </t>
  </si>
  <si>
    <t>рассмотр заяв.о вн.изм</t>
  </si>
  <si>
    <t>извещ.др.орг.ЗАГС</t>
  </si>
  <si>
    <t>аннулир</t>
  </si>
  <si>
    <t>истреб.</t>
  </si>
  <si>
    <t>дооформ</t>
  </si>
  <si>
    <t>отмет</t>
  </si>
  <si>
    <t>всего АиЮ</t>
  </si>
  <si>
    <t>Расчет Tоi</t>
  </si>
  <si>
    <t>рожд*50мин(0,83ч)</t>
  </si>
  <si>
    <t>смерть*40мин(0,67)</t>
  </si>
  <si>
    <t>брак*113мин(1,88ч)</t>
  </si>
  <si>
    <t>развод*50мин(0,83ч)</t>
  </si>
  <si>
    <t>отцовство*80мин(1,33ч)</t>
  </si>
  <si>
    <t>усыновл*70мин(1,17ч)</t>
  </si>
  <si>
    <t>имя*60мин(1ч)</t>
  </si>
  <si>
    <t>итого по АЗ</t>
  </si>
  <si>
    <t>Запросы(50мин(0,83ч)</t>
  </si>
  <si>
    <t>изв. об отказе(50мин(0,83ч)</t>
  </si>
  <si>
    <t>исп.закл*2дн(16ч)</t>
  </si>
  <si>
    <t>испр*(50мин(0,83ч)</t>
  </si>
  <si>
    <t>справки*50мин(0,83ч)</t>
  </si>
  <si>
    <t>свид-ва*90мин(1,5ч.)</t>
  </si>
  <si>
    <t>рассмотр заяв.о вн.изм60мин(1ч)</t>
  </si>
  <si>
    <t>рассмотр заяв.о вн.изм185мин(3,083ч)</t>
  </si>
  <si>
    <t>извещ.др.орг.ЗАГС*30мин(0,5ч)</t>
  </si>
  <si>
    <t>аннулир(37 мин.(0,62ч)</t>
  </si>
  <si>
    <t>истреб.*50мин(0,83ч)</t>
  </si>
  <si>
    <t>дооформ*50мин(0,83ч)</t>
  </si>
  <si>
    <t>отмет*30мин(0,5ч)</t>
  </si>
  <si>
    <t>итого по ЮЗД</t>
  </si>
  <si>
    <t>всего Toi поАиЮ</t>
  </si>
  <si>
    <t>Итого</t>
  </si>
  <si>
    <t>Время на исполнение одной записи АГС или ЮЗД (час) в соотв. с приказом Минюста РФ №307 от 28.12.2018  Об утв. адм. регламента</t>
  </si>
  <si>
    <t>Кол-во окладов гл.спец-эксперта</t>
  </si>
  <si>
    <t>МФЦ</t>
  </si>
  <si>
    <t>Органы ЗАГС МО Ленинградской области</t>
  </si>
  <si>
    <t>Qhiмо</t>
  </si>
  <si>
    <t>Размер субвенций, предусмотренных бюджету i-го муниципального образования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</si>
  <si>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>D</t>
  </si>
  <si>
    <t>L</t>
  </si>
  <si>
    <t>размер должностного оклада на планируемый год по должности "специалист первой категории" в соответствии с областным законом от 25 февраля 2005 года N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области"</t>
  </si>
  <si>
    <t xml:space="preserve">количество должностных окладов в год на одного специалиста, предусматриваемое при формировании фонда оплаты труда </t>
  </si>
  <si>
    <t>нормативная численность  работников i-го муниципального образования.</t>
  </si>
  <si>
    <t>Tоi</t>
  </si>
  <si>
    <t>Qhi с округлением</t>
  </si>
  <si>
    <t>К*1,302</t>
  </si>
  <si>
    <t>расходы областного бюджета Ленинградской области на финансовое обеспечение оплаты труда работника органа записи актов гражданского состояния в объеме, не превышающем размера должностного оклада на планируемый год по должности "специалист первой категории" в соответствии с областным законом от 25 февраля 2005 года №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области» с учетом страховых взносов</t>
  </si>
  <si>
    <t>Сравнительная таблица заработной платы работников ЗАГС муниципальных образований Ленинградской области за 2022 год, плановые показатели на 2023 год без учета дополнительных средств и с учетом дополнительных средств областного бюджета Ленинградской области</t>
  </si>
  <si>
    <t>численность МС 01.01.2022</t>
  </si>
  <si>
    <t>численность всего 01.01.2022</t>
  </si>
  <si>
    <t>Средняя з/п в мес. 2022 МС по состоянию на 01.01.2022</t>
  </si>
  <si>
    <t>численность МС 01.01.2023</t>
  </si>
  <si>
    <t>численность всего 01.01.2023</t>
  </si>
  <si>
    <t>Средняя з/п в мес. 2022 МС по состоянию на 01.01.2023</t>
  </si>
  <si>
    <t>Средняя з/п в мес. Расчетс учетом предельных объемов финансирования на 2023</t>
  </si>
  <si>
    <t>Предельные объемы финансирования с учетом уточнения 1</t>
  </si>
  <si>
    <t>0,20% на МЗ</t>
  </si>
  <si>
    <t>Нормативная численность</t>
  </si>
  <si>
    <t>Средняя з/п в мес. Расчетс учетом дополнительных средств на 2023</t>
  </si>
  <si>
    <t>Субвенция на з/п с учетом ОБ</t>
  </si>
  <si>
    <t>численность ОП 01.01.2022</t>
  </si>
  <si>
    <t>численность ОП 01.01.2023</t>
  </si>
  <si>
    <t>Hi</t>
  </si>
  <si>
    <t>Fi</t>
  </si>
  <si>
    <t xml:space="preserve">Общий 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</t>
  </si>
  <si>
    <t>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</si>
  <si>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</si>
  <si>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</si>
  <si>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 xml:space="preserve">Статья 9. Фонд оплаты труда гражданских служащих и работников государственного органа Ленинградской области
1. Фонд оплаты труда гражданских служащих и фонд оплаты труда работников, занимающих должности, не являющиеся должностями государственной гражданской службы Ленинградской области, составляют фонд оплаты труда гражданских служащих и работников государственного органа Ленинградской области.
2. При формировании фонда оплаты труда гражданских служащих сверх суммы средств, направляемых для выплаты должностных окладов, предусматриваются следующие средства для выплаты (в расчете на год):
1) оклада за классный чин - в размере четырех должностных окладов;
2) ежемесячной надбавки к должностному окладу за выслугу лет на гражданской службе - в размере трех должностных окладов;
3) ежемесячной надбавки к должностному окладу за особые условия гражданской службы - в размере четырнадцати должностных окладов;
4) ежемесячной процентной надбавки к должностному окладу за работу со сведениями, составляющими государственную тайну, - в размере полутора должностных окладов;
5) премий, в том числе за выполнение особо важных и сложных заданий, - в размере трех с половиной должностных окладов;
(в ред. Областных законов Ленинградской области от 10.10.2022 N 108-оз, от 19.12.2022 N 157-оз)
6) ежемесячного денежного поощрения - в размере шестнадцати должностных окладов;
7) единовременной выплаты при предоставлении ежегодного оплачиваемого отпуска и материальной помощи - в размере четырех должностных окладов.
(в ред. Областного закона Ленинградской области от 19.12.2022 N 157-оз)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</si>
</sst>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#,##0.00\ &quot;₽&quot;"/>
    <numFmt numFmtId="166" formatCode="0.00000000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94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8" fillId="2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3" fontId="2" fillId="0" borderId="0" xfId="0" applyNumberFormat="1" applyFont="1"/>
    <xf numFmtId="0" fontId="1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/>
    <xf numFmtId="164" fontId="0" fillId="0" borderId="0" xfId="0" applyNumberFormat="1"/>
    <xf numFmtId="166" fontId="0" fillId="0" borderId="0" xfId="0" applyNumberFormat="1"/>
    <xf numFmtId="0" fontId="0" fillId="0" borderId="1" xfId="0" applyBorder="1"/>
    <xf numFmtId="0" fontId="0" fillId="0" borderId="0" xfId="0"/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2" fillId="2" borderId="1" xfId="1" applyFont="1" applyFill="1" applyBorder="1" applyAlignment="1">
      <alignment horizontal="left"/>
    </xf>
    <xf numFmtId="0" fontId="13" fillId="0" borderId="1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3" xfId="2" applyFont="1" applyBorder="1" applyAlignment="1">
      <alignment horizontal="center"/>
    </xf>
    <xf numFmtId="0" fontId="4" fillId="2" borderId="1" xfId="0" applyFont="1" applyFill="1" applyBorder="1"/>
    <xf numFmtId="3" fontId="13" fillId="0" borderId="3" xfId="2" applyNumberFormat="1" applyFont="1" applyBorder="1" applyAlignment="1">
      <alignment horizontal="center"/>
    </xf>
    <xf numFmtId="3" fontId="13" fillId="0" borderId="1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4" fillId="2" borderId="1" xfId="0" applyNumberFormat="1" applyFont="1" applyFill="1" applyBorder="1"/>
    <xf numFmtId="0" fontId="13" fillId="0" borderId="4" xfId="2" applyFont="1" applyBorder="1" applyAlignment="1">
      <alignment horizontal="center"/>
    </xf>
    <xf numFmtId="3" fontId="12" fillId="2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0" borderId="1" xfId="1" applyFont="1" applyBorder="1" applyAlignment="1">
      <alignment horizontal="left"/>
    </xf>
    <xf numFmtId="3" fontId="12" fillId="0" borderId="1" xfId="0" applyNumberFormat="1" applyFont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3" fontId="4" fillId="0" borderId="1" xfId="0" applyNumberFormat="1" applyFont="1" applyBorder="1"/>
    <xf numFmtId="3" fontId="14" fillId="0" borderId="1" xfId="0" applyNumberFormat="1" applyFont="1" applyBorder="1"/>
    <xf numFmtId="0" fontId="12" fillId="2" borderId="5" xfId="1" applyFont="1" applyFill="1" applyBorder="1" applyAlignment="1">
      <alignment horizontal="left"/>
    </xf>
    <xf numFmtId="0" fontId="14" fillId="2" borderId="4" xfId="0" applyFont="1" applyFill="1" applyBorder="1"/>
    <xf numFmtId="3" fontId="4" fillId="2" borderId="6" xfId="0" applyNumberFormat="1" applyFont="1" applyFill="1" applyBorder="1"/>
    <xf numFmtId="0" fontId="4" fillId="0" borderId="5" xfId="1" applyFont="1" applyFill="1" applyBorder="1" applyAlignment="1">
      <alignment horizontal="left"/>
    </xf>
    <xf numFmtId="0" fontId="12" fillId="0" borderId="5" xfId="1" applyFont="1" applyBorder="1" applyAlignment="1">
      <alignment horizontal="left"/>
    </xf>
    <xf numFmtId="0" fontId="14" fillId="0" borderId="1" xfId="0" applyFont="1" applyBorder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left" wrapText="1"/>
    </xf>
    <xf numFmtId="164" fontId="12" fillId="2" borderId="2" xfId="1" applyNumberFormat="1" applyFont="1" applyFill="1" applyBorder="1" applyAlignment="1">
      <alignment horizontal="left" wrapText="1"/>
    </xf>
    <xf numFmtId="164" fontId="12" fillId="2" borderId="2" xfId="1" applyNumberFormat="1" applyFont="1" applyFill="1" applyBorder="1" applyAlignment="1">
      <alignment horizontal="center" vertical="center" wrapText="1"/>
    </xf>
    <xf numFmtId="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left" wrapText="1"/>
    </xf>
    <xf numFmtId="0" fontId="1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wrapText="1"/>
    </xf>
    <xf numFmtId="0" fontId="12" fillId="0" borderId="1" xfId="1" applyFont="1" applyFill="1" applyBorder="1" applyAlignment="1">
      <alignment horizontal="left"/>
    </xf>
    <xf numFmtId="164" fontId="12" fillId="0" borderId="1" xfId="1" applyNumberFormat="1" applyFont="1" applyFill="1" applyBorder="1" applyAlignment="1">
      <alignment horizontal="left"/>
    </xf>
    <xf numFmtId="4" fontId="12" fillId="0" borderId="1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164" fontId="4" fillId="0" borderId="1" xfId="0" applyNumberFormat="1" applyFont="1" applyBorder="1"/>
    <xf numFmtId="0" fontId="12" fillId="2" borderId="1" xfId="1" applyFont="1" applyFill="1" applyBorder="1" applyAlignment="1">
      <alignment horizontal="left" wrapText="1"/>
    </xf>
    <xf numFmtId="0" fontId="12" fillId="0" borderId="1" xfId="1" applyFont="1" applyBorder="1" applyAlignment="1">
      <alignment horizontal="left" wrapText="1"/>
    </xf>
    <xf numFmtId="0" fontId="8" fillId="0" borderId="0" xfId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6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7" workbookViewId="0">
      <selection activeCell="D24" sqref="D24"/>
    </sheetView>
  </sheetViews>
  <sheetFormatPr defaultRowHeight="15" x14ac:dyDescent="0.25"/>
  <cols>
    <col min="1" max="2" width="23.5703125" customWidth="1"/>
    <col min="3" max="3" width="25.140625" customWidth="1"/>
    <col min="4" max="7" width="23.5703125" customWidth="1"/>
    <col min="8" max="8" width="20.28515625" customWidth="1"/>
    <col min="9" max="11" width="24.42578125" customWidth="1"/>
    <col min="12" max="12" width="21" customWidth="1"/>
    <col min="13" max="13" width="20.85546875" customWidth="1"/>
    <col min="14" max="14" width="15.140625" customWidth="1"/>
    <col min="15" max="15" width="16" customWidth="1"/>
    <col min="16" max="16" width="20.28515625" customWidth="1"/>
    <col min="17" max="17" width="24.85546875" customWidth="1"/>
  </cols>
  <sheetData>
    <row r="1" spans="1:17" x14ac:dyDescent="0.25">
      <c r="A1" t="s">
        <v>0</v>
      </c>
    </row>
    <row r="2" spans="1:17" ht="409.5" customHeight="1" x14ac:dyDescent="0.25">
      <c r="A2" s="31" t="s">
        <v>1</v>
      </c>
      <c r="B2" s="2" t="s">
        <v>17</v>
      </c>
      <c r="C2" s="2" t="s">
        <v>19</v>
      </c>
      <c r="D2" s="7" t="s">
        <v>28</v>
      </c>
      <c r="E2" s="7" t="s">
        <v>23</v>
      </c>
      <c r="F2" s="7" t="s">
        <v>24</v>
      </c>
      <c r="G2" s="32" t="s">
        <v>26</v>
      </c>
      <c r="H2" s="31" t="s">
        <v>2</v>
      </c>
      <c r="I2" s="31" t="s">
        <v>117</v>
      </c>
      <c r="J2" s="31" t="s">
        <v>111</v>
      </c>
      <c r="K2" s="31" t="s">
        <v>112</v>
      </c>
      <c r="L2" s="31" t="s">
        <v>3</v>
      </c>
      <c r="M2" s="31" t="s">
        <v>4</v>
      </c>
      <c r="N2" s="31" t="s">
        <v>5</v>
      </c>
      <c r="O2" s="31" t="s">
        <v>6</v>
      </c>
      <c r="P2" s="31" t="s">
        <v>7</v>
      </c>
      <c r="Q2" s="31" t="s">
        <v>8</v>
      </c>
    </row>
    <row r="3" spans="1:17" ht="39.75" customHeight="1" x14ac:dyDescent="0.3">
      <c r="A3" s="3"/>
      <c r="B3" s="6" t="s">
        <v>18</v>
      </c>
      <c r="C3" s="4" t="s">
        <v>20</v>
      </c>
      <c r="D3" s="5" t="s">
        <v>21</v>
      </c>
      <c r="E3" s="4" t="s">
        <v>22</v>
      </c>
      <c r="F3" s="4" t="s">
        <v>25</v>
      </c>
      <c r="G3" s="4" t="s">
        <v>27</v>
      </c>
      <c r="H3" s="4" t="s">
        <v>9</v>
      </c>
      <c r="I3" s="4" t="s">
        <v>116</v>
      </c>
      <c r="J3" s="4" t="s">
        <v>109</v>
      </c>
      <c r="K3" s="4" t="s">
        <v>110</v>
      </c>
      <c r="L3" s="5" t="s">
        <v>10</v>
      </c>
      <c r="M3" s="5" t="s">
        <v>11</v>
      </c>
      <c r="N3" s="5" t="s">
        <v>12</v>
      </c>
      <c r="O3" s="4" t="s">
        <v>13</v>
      </c>
      <c r="P3" s="5" t="s">
        <v>14</v>
      </c>
      <c r="Q3" s="5" t="s">
        <v>15</v>
      </c>
    </row>
    <row r="4" spans="1:17" ht="56.25" x14ac:dyDescent="0.3">
      <c r="A4" s="3" t="s">
        <v>106</v>
      </c>
      <c r="B4" s="12">
        <f>C4+D4</f>
        <v>93765153.15681085</v>
      </c>
      <c r="C4" s="12">
        <f>E4-F4-G4</f>
        <v>60121719.652865201</v>
      </c>
      <c r="D4" s="12">
        <f>I4*H4-M4</f>
        <v>33643433.503945656</v>
      </c>
      <c r="E4" s="12">
        <f>60121719.6528652+1558309.18+1994681.17</f>
        <v>63674710.002865203</v>
      </c>
      <c r="F4" s="12">
        <v>1558309.18</v>
      </c>
      <c r="G4" s="12">
        <v>1994681.17</v>
      </c>
      <c r="H4" s="12">
        <v>95.25</v>
      </c>
      <c r="I4" s="12">
        <f>J4*K4*1.302</f>
        <v>863226</v>
      </c>
      <c r="J4" s="11">
        <v>15600</v>
      </c>
      <c r="K4" s="12">
        <v>42.5</v>
      </c>
      <c r="L4" s="13">
        <f>18042*21.711334574*1.302</f>
        <v>510014.09969610861</v>
      </c>
      <c r="M4" s="13">
        <f>L4*H4</f>
        <v>48578842.996054344</v>
      </c>
      <c r="N4" s="13">
        <f>16242*1.302</f>
        <v>21147.084000000003</v>
      </c>
      <c r="O4" s="12">
        <v>6</v>
      </c>
      <c r="P4" s="13">
        <f>N4*O4*12</f>
        <v>1522590.0480000002</v>
      </c>
      <c r="Q4" s="13">
        <f>C4/120*20</f>
        <v>10020286.608810868</v>
      </c>
    </row>
    <row r="5" spans="1:17" ht="18.75" x14ac:dyDescent="0.3">
      <c r="A5" s="1" t="s">
        <v>105</v>
      </c>
      <c r="B5" s="13">
        <f>I5*H5</f>
        <v>1933626.2400000002</v>
      </c>
      <c r="C5" s="13">
        <v>1994681.17</v>
      </c>
      <c r="D5" s="13"/>
      <c r="E5" s="13"/>
      <c r="F5" s="13"/>
      <c r="G5" s="13"/>
      <c r="H5" s="13">
        <v>2.2400000000000002</v>
      </c>
      <c r="I5" s="12">
        <f>J5*K5*1.302</f>
        <v>863226</v>
      </c>
      <c r="J5" s="11">
        <v>15600</v>
      </c>
      <c r="K5" s="12">
        <v>42.5</v>
      </c>
      <c r="L5" s="13">
        <f>18042*21.711334574*1.302</f>
        <v>510014.09969610861</v>
      </c>
      <c r="M5" s="13">
        <f>L5*H5</f>
        <v>1142431.5833192833</v>
      </c>
      <c r="N5" s="13">
        <f>16242*1.302</f>
        <v>21147.084000000003</v>
      </c>
      <c r="O5" s="13">
        <v>24.580350200000002</v>
      </c>
      <c r="P5" s="13">
        <f>N5*O5</f>
        <v>519802.73042881693</v>
      </c>
      <c r="Q5" s="13">
        <v>332446.86</v>
      </c>
    </row>
    <row r="6" spans="1:17" ht="37.5" x14ac:dyDescent="0.3">
      <c r="A6" s="1" t="s">
        <v>16</v>
      </c>
      <c r="B6" s="13">
        <f>B4+B5</f>
        <v>95698779.396810845</v>
      </c>
      <c r="C6" s="13">
        <f>C4+C5</f>
        <v>62116400.822865203</v>
      </c>
      <c r="D6" s="13">
        <f>D4+D5</f>
        <v>33643433.503945656</v>
      </c>
      <c r="E6" s="13">
        <f t="shared" ref="E6:Q6" si="0">E4+E5</f>
        <v>63674710.002865203</v>
      </c>
      <c r="F6" s="13">
        <f t="shared" si="0"/>
        <v>1558309.18</v>
      </c>
      <c r="G6" s="13">
        <f t="shared" si="0"/>
        <v>1994681.17</v>
      </c>
      <c r="H6" s="13">
        <f t="shared" si="0"/>
        <v>97.49</v>
      </c>
      <c r="I6" s="13">
        <f t="shared" si="0"/>
        <v>1726452</v>
      </c>
      <c r="J6" s="13"/>
      <c r="K6" s="13"/>
      <c r="L6" s="13">
        <f t="shared" si="0"/>
        <v>1020028.1993922172</v>
      </c>
      <c r="M6" s="13">
        <f t="shared" si="0"/>
        <v>49721274.579373628</v>
      </c>
      <c r="N6" s="13">
        <f t="shared" si="0"/>
        <v>42294.168000000005</v>
      </c>
      <c r="O6" s="13">
        <f t="shared" si="0"/>
        <v>30.580350200000002</v>
      </c>
      <c r="P6" s="13">
        <f t="shared" si="0"/>
        <v>2042392.7784288172</v>
      </c>
      <c r="Q6" s="13">
        <f t="shared" si="0"/>
        <v>10352733.468810868</v>
      </c>
    </row>
    <row r="7" spans="1:17" x14ac:dyDescent="0.25">
      <c r="B7" s="26"/>
      <c r="O7" s="26"/>
    </row>
    <row r="8" spans="1:17" x14ac:dyDescent="0.25">
      <c r="Q8" s="24"/>
    </row>
    <row r="9" spans="1:17" x14ac:dyDescent="0.25">
      <c r="A9" s="25" t="s">
        <v>104</v>
      </c>
      <c r="C9" s="27">
        <v>21.711334573999999</v>
      </c>
    </row>
    <row r="10" spans="1:17" ht="18.75" x14ac:dyDescent="0.25">
      <c r="A10" s="8"/>
      <c r="B10" s="8"/>
      <c r="F10" s="9"/>
      <c r="I10" s="24"/>
      <c r="J10" s="24"/>
      <c r="K10" s="24"/>
      <c r="M10" s="24"/>
    </row>
    <row r="11" spans="1:17" x14ac:dyDescent="0.25">
      <c r="A11" t="s">
        <v>29</v>
      </c>
      <c r="N11" s="24"/>
    </row>
    <row r="12" spans="1:17" ht="15" customHeight="1" x14ac:dyDescent="0.25">
      <c r="A12" s="93" t="s">
        <v>139</v>
      </c>
      <c r="B12" s="93"/>
      <c r="C12" s="93"/>
      <c r="D12">
        <v>42.5</v>
      </c>
      <c r="N12" s="24"/>
    </row>
    <row r="13" spans="1:17" x14ac:dyDescent="0.25">
      <c r="A13" s="93"/>
      <c r="B13" s="93"/>
      <c r="C13" s="93"/>
      <c r="I13" s="24"/>
      <c r="J13" s="24"/>
      <c r="K13" s="24"/>
    </row>
    <row r="14" spans="1:17" x14ac:dyDescent="0.25">
      <c r="A14" s="93"/>
      <c r="B14" s="93"/>
      <c r="C14" s="93"/>
      <c r="I14" s="24"/>
    </row>
    <row r="15" spans="1:17" x14ac:dyDescent="0.25">
      <c r="A15" s="93"/>
      <c r="B15" s="93"/>
      <c r="C15" s="93"/>
    </row>
    <row r="16" spans="1:17" x14ac:dyDescent="0.25">
      <c r="A16" s="93"/>
      <c r="B16" s="93"/>
      <c r="C16" s="93"/>
    </row>
    <row r="17" spans="1:5" x14ac:dyDescent="0.25">
      <c r="A17" s="93"/>
      <c r="B17" s="93"/>
      <c r="C17" s="93"/>
    </row>
    <row r="18" spans="1:5" x14ac:dyDescent="0.25">
      <c r="A18" s="93"/>
      <c r="B18" s="93"/>
      <c r="C18" s="93"/>
    </row>
    <row r="19" spans="1:5" x14ac:dyDescent="0.25">
      <c r="A19" s="93"/>
      <c r="B19" s="93"/>
      <c r="C19" s="93"/>
    </row>
    <row r="20" spans="1:5" x14ac:dyDescent="0.25">
      <c r="A20" s="93"/>
      <c r="B20" s="93"/>
      <c r="C20" s="93"/>
    </row>
    <row r="21" spans="1:5" x14ac:dyDescent="0.25">
      <c r="A21" s="93"/>
      <c r="B21" s="93"/>
      <c r="C21" s="93"/>
    </row>
    <row r="22" spans="1:5" x14ac:dyDescent="0.25">
      <c r="A22" s="93"/>
      <c r="B22" s="93"/>
      <c r="C22" s="93"/>
    </row>
    <row r="23" spans="1:5" ht="12" customHeight="1" x14ac:dyDescent="0.25">
      <c r="A23" s="93"/>
      <c r="B23" s="93"/>
      <c r="C23" s="93"/>
    </row>
    <row r="24" spans="1:5" ht="288.75" customHeight="1" x14ac:dyDescent="0.25">
      <c r="A24" s="93"/>
      <c r="B24" s="93"/>
      <c r="C24" s="93"/>
    </row>
    <row r="27" spans="1:5" x14ac:dyDescent="0.25">
      <c r="E27" s="10"/>
    </row>
  </sheetData>
  <mergeCells count="1">
    <mergeCell ref="A12:C24"/>
  </mergeCells>
  <pageMargins left="0.25" right="0.25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opLeftCell="A4" zoomScale="110" zoomScaleNormal="110" workbookViewId="0">
      <selection activeCell="E4" sqref="E4"/>
    </sheetView>
  </sheetViews>
  <sheetFormatPr defaultRowHeight="15" x14ac:dyDescent="0.25"/>
  <cols>
    <col min="1" max="4" width="23.5703125" customWidth="1"/>
    <col min="5" max="6" width="23.5703125" style="29" customWidth="1"/>
    <col min="7" max="7" width="23.5703125" customWidth="1"/>
    <col min="8" max="8" width="20.28515625" customWidth="1"/>
    <col min="9" max="11" width="24.42578125" customWidth="1"/>
    <col min="12" max="12" width="21" customWidth="1"/>
    <col min="13" max="13" width="20.85546875" customWidth="1"/>
    <col min="14" max="14" width="15.140625" customWidth="1"/>
    <col min="15" max="15" width="16" customWidth="1"/>
    <col min="16" max="16" width="20.28515625" customWidth="1"/>
    <col min="17" max="17" width="24.85546875" customWidth="1"/>
    <col min="18" max="18" width="20.7109375" customWidth="1"/>
  </cols>
  <sheetData>
    <row r="1" spans="1:18" x14ac:dyDescent="0.25">
      <c r="A1" t="s">
        <v>30</v>
      </c>
    </row>
    <row r="2" spans="1:18" ht="403.5" customHeight="1" x14ac:dyDescent="0.25">
      <c r="A2" s="31" t="s">
        <v>31</v>
      </c>
      <c r="B2" s="31" t="s">
        <v>108</v>
      </c>
      <c r="C2" s="31" t="s">
        <v>135</v>
      </c>
      <c r="D2" s="31" t="s">
        <v>136</v>
      </c>
      <c r="E2" s="31" t="s">
        <v>138</v>
      </c>
      <c r="F2" s="31" t="s">
        <v>137</v>
      </c>
      <c r="G2" s="31" t="s">
        <v>2</v>
      </c>
      <c r="H2" s="31" t="s">
        <v>113</v>
      </c>
      <c r="I2" s="31" t="s">
        <v>117</v>
      </c>
      <c r="J2" s="31" t="s">
        <v>111</v>
      </c>
      <c r="K2" s="31" t="s">
        <v>112</v>
      </c>
      <c r="L2" s="31" t="s">
        <v>3</v>
      </c>
      <c r="M2" s="31" t="s">
        <v>4</v>
      </c>
      <c r="N2" s="31" t="s">
        <v>5</v>
      </c>
      <c r="O2" s="31" t="s">
        <v>6</v>
      </c>
      <c r="P2" s="31" t="s">
        <v>7</v>
      </c>
      <c r="Q2" s="31" t="s">
        <v>8</v>
      </c>
    </row>
    <row r="3" spans="1:18" ht="31.5" x14ac:dyDescent="0.25">
      <c r="A3" s="67"/>
      <c r="B3" s="68" t="s">
        <v>32</v>
      </c>
      <c r="C3" s="68" t="s">
        <v>18</v>
      </c>
      <c r="D3" s="68" t="s">
        <v>134</v>
      </c>
      <c r="E3" s="68" t="s">
        <v>133</v>
      </c>
      <c r="F3" s="68" t="s">
        <v>21</v>
      </c>
      <c r="G3" s="68" t="s">
        <v>9</v>
      </c>
      <c r="H3" s="69" t="s">
        <v>107</v>
      </c>
      <c r="I3" s="68" t="s">
        <v>116</v>
      </c>
      <c r="J3" s="68" t="s">
        <v>109</v>
      </c>
      <c r="K3" s="68" t="s">
        <v>110</v>
      </c>
      <c r="L3" s="69" t="s">
        <v>10</v>
      </c>
      <c r="M3" s="69" t="s">
        <v>11</v>
      </c>
      <c r="N3" s="69" t="s">
        <v>12</v>
      </c>
      <c r="O3" s="68" t="s">
        <v>13</v>
      </c>
      <c r="P3" s="69" t="s">
        <v>14</v>
      </c>
      <c r="Q3" s="69" t="s">
        <v>15</v>
      </c>
      <c r="R3" s="26"/>
    </row>
    <row r="4" spans="1:18" ht="15.75" x14ac:dyDescent="0.25">
      <c r="A4" s="70" t="s">
        <v>33</v>
      </c>
      <c r="B4" s="71">
        <f>D4+E4</f>
        <v>2717590.0594480545</v>
      </c>
      <c r="C4" s="72">
        <v>93765153.15681085</v>
      </c>
      <c r="D4" s="73">
        <f>M4+P4+Q4</f>
        <v>1834560.308688326</v>
      </c>
      <c r="E4" s="73">
        <f t="shared" ref="E4:E21" si="0">F4/G4*H4</f>
        <v>883029.75075972849</v>
      </c>
      <c r="F4" s="73">
        <v>33643433.503945656</v>
      </c>
      <c r="G4" s="68">
        <v>95.25</v>
      </c>
      <c r="H4" s="74">
        <v>2.5</v>
      </c>
      <c r="I4" s="72">
        <f>J4*K4*1.302</f>
        <v>863226</v>
      </c>
      <c r="J4" s="72">
        <v>15600</v>
      </c>
      <c r="K4" s="72">
        <v>42.5</v>
      </c>
      <c r="L4" s="75">
        <f>18042*21.711334574*1.302</f>
        <v>510014.09969610861</v>
      </c>
      <c r="M4" s="75">
        <f t="shared" ref="M4:M21" si="1">L4*H4</f>
        <v>1275035.2492402715</v>
      </c>
      <c r="N4" s="75">
        <f>16242*1.302</f>
        <v>21147.084000000003</v>
      </c>
      <c r="O4" s="65">
        <v>1</v>
      </c>
      <c r="P4" s="75">
        <f>N4*O4*12</f>
        <v>253765.00800000003</v>
      </c>
      <c r="Q4" s="75">
        <f>(M4+P4)*0.2</f>
        <v>305760.05144805432</v>
      </c>
      <c r="R4" s="26"/>
    </row>
    <row r="5" spans="1:18" ht="15.75" x14ac:dyDescent="0.25">
      <c r="A5" s="76" t="s">
        <v>34</v>
      </c>
      <c r="B5" s="71">
        <f t="shared" ref="B5:B21" si="2">D5+E5</f>
        <v>3136993.6648024707</v>
      </c>
      <c r="C5" s="72">
        <v>93765153.15681085</v>
      </c>
      <c r="D5" s="73">
        <f t="shared" ref="D5:D21" si="3">M5+P5+Q5</f>
        <v>1989054.9888148238</v>
      </c>
      <c r="E5" s="73">
        <f t="shared" si="0"/>
        <v>1147938.6759876469</v>
      </c>
      <c r="F5" s="73">
        <v>33643433.503945656</v>
      </c>
      <c r="G5" s="68">
        <v>95.25</v>
      </c>
      <c r="H5" s="77">
        <v>3.25</v>
      </c>
      <c r="I5" s="72">
        <f t="shared" ref="I5:I21" si="4">J5*K5*1.302</f>
        <v>863226</v>
      </c>
      <c r="J5" s="72">
        <v>15600</v>
      </c>
      <c r="K5" s="72">
        <v>42.5</v>
      </c>
      <c r="L5" s="75">
        <f t="shared" ref="L5:L21" si="5">18042*21.711334574*1.302</f>
        <v>510014.09969610861</v>
      </c>
      <c r="M5" s="75">
        <f t="shared" si="1"/>
        <v>1657545.8240123531</v>
      </c>
      <c r="N5" s="75">
        <f t="shared" ref="N5:N21" si="6">16242*1.302</f>
        <v>21147.084000000003</v>
      </c>
      <c r="O5" s="78">
        <v>0</v>
      </c>
      <c r="P5" s="79">
        <f t="shared" ref="P5:P21" si="7">N5*O5</f>
        <v>0</v>
      </c>
      <c r="Q5" s="79">
        <f t="shared" ref="Q5:Q21" si="8">(M5+P5)*0.2</f>
        <v>331509.16480247065</v>
      </c>
      <c r="R5" s="26"/>
    </row>
    <row r="6" spans="1:18" ht="15.75" x14ac:dyDescent="0.25">
      <c r="A6" s="76" t="s">
        <v>35</v>
      </c>
      <c r="B6" s="71">
        <f t="shared" si="2"/>
        <v>4826144.0996961091</v>
      </c>
      <c r="C6" s="72">
        <v>93765153.15681085</v>
      </c>
      <c r="D6" s="73">
        <f t="shared" si="3"/>
        <v>3060084.5981766516</v>
      </c>
      <c r="E6" s="73">
        <f t="shared" si="0"/>
        <v>1766059.501519457</v>
      </c>
      <c r="F6" s="73">
        <v>33643433.503945656</v>
      </c>
      <c r="G6" s="68">
        <v>95.25</v>
      </c>
      <c r="H6" s="78">
        <v>5</v>
      </c>
      <c r="I6" s="72">
        <f t="shared" si="4"/>
        <v>863226</v>
      </c>
      <c r="J6" s="72">
        <v>15600</v>
      </c>
      <c r="K6" s="72">
        <v>42.5</v>
      </c>
      <c r="L6" s="75">
        <f t="shared" si="5"/>
        <v>510014.09969610861</v>
      </c>
      <c r="M6" s="75">
        <f t="shared" si="1"/>
        <v>2550070.498480543</v>
      </c>
      <c r="N6" s="75">
        <f t="shared" si="6"/>
        <v>21147.084000000003</v>
      </c>
      <c r="O6" s="78">
        <v>0</v>
      </c>
      <c r="P6" s="79">
        <f t="shared" si="7"/>
        <v>0</v>
      </c>
      <c r="Q6" s="79">
        <f t="shared" si="8"/>
        <v>510014.09969610861</v>
      </c>
      <c r="R6" s="26"/>
    </row>
    <row r="7" spans="1:18" ht="15.75" x14ac:dyDescent="0.25">
      <c r="A7" s="76" t="s">
        <v>36</v>
      </c>
      <c r="B7" s="71">
        <f t="shared" si="2"/>
        <v>16472100.743581966</v>
      </c>
      <c r="C7" s="72">
        <v>93765153.15681085</v>
      </c>
      <c r="D7" s="73">
        <f t="shared" si="3"/>
        <v>10555801.413491784</v>
      </c>
      <c r="E7" s="73">
        <f t="shared" si="0"/>
        <v>5916299.330090181</v>
      </c>
      <c r="F7" s="73">
        <v>33643433.503945656</v>
      </c>
      <c r="G7" s="68">
        <v>95.25</v>
      </c>
      <c r="H7" s="78">
        <v>16.75</v>
      </c>
      <c r="I7" s="72">
        <f t="shared" si="4"/>
        <v>863226</v>
      </c>
      <c r="J7" s="72">
        <v>15600</v>
      </c>
      <c r="K7" s="72">
        <v>42.5</v>
      </c>
      <c r="L7" s="75">
        <f t="shared" si="5"/>
        <v>510014.09969610861</v>
      </c>
      <c r="M7" s="75">
        <f t="shared" si="1"/>
        <v>8542736.16990982</v>
      </c>
      <c r="N7" s="75">
        <f t="shared" si="6"/>
        <v>21147.084000000003</v>
      </c>
      <c r="O7" s="78">
        <v>1</v>
      </c>
      <c r="P7" s="79">
        <f>N7*O7*12</f>
        <v>253765.00800000003</v>
      </c>
      <c r="Q7" s="79">
        <f t="shared" si="8"/>
        <v>1759300.235581964</v>
      </c>
      <c r="R7" s="26"/>
    </row>
    <row r="8" spans="1:18" ht="15.75" x14ac:dyDescent="0.25">
      <c r="A8" s="76" t="s">
        <v>37</v>
      </c>
      <c r="B8" s="71">
        <f t="shared" si="2"/>
        <v>9652288.1993922181</v>
      </c>
      <c r="C8" s="72">
        <v>93765153.15681085</v>
      </c>
      <c r="D8" s="73">
        <f t="shared" si="3"/>
        <v>6120169.1963533033</v>
      </c>
      <c r="E8" s="73">
        <f t="shared" si="0"/>
        <v>3532119.0030389139</v>
      </c>
      <c r="F8" s="73">
        <v>33643433.503945656</v>
      </c>
      <c r="G8" s="68">
        <v>95.25</v>
      </c>
      <c r="H8" s="78">
        <v>10</v>
      </c>
      <c r="I8" s="72">
        <f t="shared" si="4"/>
        <v>863226</v>
      </c>
      <c r="J8" s="72">
        <v>15600</v>
      </c>
      <c r="K8" s="72">
        <v>42.5</v>
      </c>
      <c r="L8" s="75">
        <f t="shared" si="5"/>
        <v>510014.09969610861</v>
      </c>
      <c r="M8" s="75">
        <f t="shared" si="1"/>
        <v>5100140.9969610861</v>
      </c>
      <c r="N8" s="75">
        <f t="shared" si="6"/>
        <v>21147.084000000003</v>
      </c>
      <c r="O8" s="78">
        <v>0</v>
      </c>
      <c r="P8" s="79">
        <f t="shared" si="7"/>
        <v>0</v>
      </c>
      <c r="Q8" s="79">
        <f t="shared" si="8"/>
        <v>1020028.1993922172</v>
      </c>
      <c r="R8" s="26"/>
    </row>
    <row r="9" spans="1:18" ht="15.75" x14ac:dyDescent="0.25">
      <c r="A9" s="76" t="s">
        <v>38</v>
      </c>
      <c r="B9" s="71">
        <f t="shared" si="2"/>
        <v>13702835.892994689</v>
      </c>
      <c r="C9" s="72">
        <v>93765153.15681085</v>
      </c>
      <c r="D9" s="73">
        <f t="shared" si="3"/>
        <v>9022778.213968128</v>
      </c>
      <c r="E9" s="73">
        <f t="shared" si="0"/>
        <v>4680057.6790265609</v>
      </c>
      <c r="F9" s="73">
        <v>33643433.503945656</v>
      </c>
      <c r="G9" s="68">
        <v>95.25</v>
      </c>
      <c r="H9" s="78">
        <v>13.25</v>
      </c>
      <c r="I9" s="72">
        <f t="shared" si="4"/>
        <v>863226</v>
      </c>
      <c r="J9" s="72">
        <v>15600</v>
      </c>
      <c r="K9" s="72">
        <v>42.5</v>
      </c>
      <c r="L9" s="75">
        <f t="shared" si="5"/>
        <v>510014.09969610861</v>
      </c>
      <c r="M9" s="75">
        <f t="shared" si="1"/>
        <v>6757686.8209734391</v>
      </c>
      <c r="N9" s="75">
        <f t="shared" si="6"/>
        <v>21147.084000000003</v>
      </c>
      <c r="O9" s="78">
        <v>3</v>
      </c>
      <c r="P9" s="79">
        <f>N9*O9*12</f>
        <v>761295.02400000009</v>
      </c>
      <c r="Q9" s="79">
        <f t="shared" si="8"/>
        <v>1503796.3689946879</v>
      </c>
      <c r="R9" s="26"/>
    </row>
    <row r="10" spans="1:18" ht="15.75" x14ac:dyDescent="0.25">
      <c r="A10" s="76" t="s">
        <v>39</v>
      </c>
      <c r="B10" s="71">
        <f t="shared" si="2"/>
        <v>4343529.689726498</v>
      </c>
      <c r="C10" s="72">
        <v>93765153.15681085</v>
      </c>
      <c r="D10" s="73">
        <f t="shared" si="3"/>
        <v>2754076.1383589869</v>
      </c>
      <c r="E10" s="73">
        <f t="shared" si="0"/>
        <v>1589453.5513675113</v>
      </c>
      <c r="F10" s="73">
        <v>33643433.503945656</v>
      </c>
      <c r="G10" s="68">
        <v>95.25</v>
      </c>
      <c r="H10" s="78">
        <v>4.5</v>
      </c>
      <c r="I10" s="72">
        <f t="shared" si="4"/>
        <v>863226</v>
      </c>
      <c r="J10" s="72">
        <v>15600</v>
      </c>
      <c r="K10" s="72">
        <v>42.5</v>
      </c>
      <c r="L10" s="75">
        <f t="shared" si="5"/>
        <v>510014.09969610861</v>
      </c>
      <c r="M10" s="75">
        <f t="shared" si="1"/>
        <v>2295063.448632489</v>
      </c>
      <c r="N10" s="75">
        <f t="shared" si="6"/>
        <v>21147.084000000003</v>
      </c>
      <c r="O10" s="78">
        <v>0</v>
      </c>
      <c r="P10" s="79">
        <f t="shared" si="7"/>
        <v>0</v>
      </c>
      <c r="Q10" s="79">
        <f t="shared" si="8"/>
        <v>459012.6897264978</v>
      </c>
      <c r="R10" s="26"/>
    </row>
    <row r="11" spans="1:18" ht="15.75" x14ac:dyDescent="0.25">
      <c r="A11" s="80" t="s">
        <v>40</v>
      </c>
      <c r="B11" s="71">
        <f t="shared" si="2"/>
        <v>3860915.2797568869</v>
      </c>
      <c r="C11" s="72">
        <v>93765153.15681085</v>
      </c>
      <c r="D11" s="73">
        <f t="shared" si="3"/>
        <v>2448067.6785413213</v>
      </c>
      <c r="E11" s="73">
        <f t="shared" si="0"/>
        <v>1412847.6012155656</v>
      </c>
      <c r="F11" s="73">
        <v>33643433.503945656</v>
      </c>
      <c r="G11" s="68">
        <v>95.25</v>
      </c>
      <c r="H11" s="78">
        <v>4</v>
      </c>
      <c r="I11" s="72">
        <f t="shared" si="4"/>
        <v>863226</v>
      </c>
      <c r="J11" s="72">
        <v>15600</v>
      </c>
      <c r="K11" s="72">
        <v>42.5</v>
      </c>
      <c r="L11" s="75">
        <f t="shared" si="5"/>
        <v>510014.09969610861</v>
      </c>
      <c r="M11" s="75">
        <f t="shared" si="1"/>
        <v>2040056.3987844344</v>
      </c>
      <c r="N11" s="75">
        <f t="shared" si="6"/>
        <v>21147.084000000003</v>
      </c>
      <c r="O11" s="78">
        <v>0</v>
      </c>
      <c r="P11" s="79">
        <f t="shared" si="7"/>
        <v>0</v>
      </c>
      <c r="Q11" s="79">
        <f t="shared" si="8"/>
        <v>408011.27975688688</v>
      </c>
      <c r="R11" s="26"/>
    </row>
    <row r="12" spans="1:18" ht="15.75" x14ac:dyDescent="0.25">
      <c r="A12" s="76" t="s">
        <v>41</v>
      </c>
      <c r="B12" s="71">
        <f t="shared" si="2"/>
        <v>5791372.9196353303</v>
      </c>
      <c r="C12" s="72">
        <v>93765153.15681085</v>
      </c>
      <c r="D12" s="73">
        <f t="shared" si="3"/>
        <v>3672101.517811982</v>
      </c>
      <c r="E12" s="73">
        <f t="shared" si="0"/>
        <v>2119271.4018233484</v>
      </c>
      <c r="F12" s="73">
        <v>33643433.503945656</v>
      </c>
      <c r="G12" s="68">
        <v>95.25</v>
      </c>
      <c r="H12" s="78">
        <v>6</v>
      </c>
      <c r="I12" s="72">
        <f t="shared" si="4"/>
        <v>863226</v>
      </c>
      <c r="J12" s="72">
        <v>15600</v>
      </c>
      <c r="K12" s="72">
        <v>42.5</v>
      </c>
      <c r="L12" s="75">
        <f t="shared" si="5"/>
        <v>510014.09969610861</v>
      </c>
      <c r="M12" s="75">
        <f t="shared" si="1"/>
        <v>3060084.5981766516</v>
      </c>
      <c r="N12" s="75">
        <f t="shared" si="6"/>
        <v>21147.084000000003</v>
      </c>
      <c r="O12" s="78">
        <v>0</v>
      </c>
      <c r="P12" s="79">
        <f t="shared" si="7"/>
        <v>0</v>
      </c>
      <c r="Q12" s="79">
        <f t="shared" si="8"/>
        <v>612016.91963533033</v>
      </c>
      <c r="R12" s="26"/>
    </row>
    <row r="13" spans="1:18" ht="31.5" x14ac:dyDescent="0.25">
      <c r="A13" s="76" t="s">
        <v>42</v>
      </c>
      <c r="B13" s="71">
        <f t="shared" si="2"/>
        <v>1930457.6398784434</v>
      </c>
      <c r="C13" s="72">
        <v>93765153.15681085</v>
      </c>
      <c r="D13" s="73">
        <f t="shared" si="3"/>
        <v>1224033.8392706607</v>
      </c>
      <c r="E13" s="73">
        <f t="shared" si="0"/>
        <v>706423.80060778279</v>
      </c>
      <c r="F13" s="73">
        <v>33643433.503945656</v>
      </c>
      <c r="G13" s="68">
        <v>95.25</v>
      </c>
      <c r="H13" s="78">
        <v>2</v>
      </c>
      <c r="I13" s="72">
        <f t="shared" si="4"/>
        <v>863226</v>
      </c>
      <c r="J13" s="72">
        <v>15600</v>
      </c>
      <c r="K13" s="72">
        <v>42.5</v>
      </c>
      <c r="L13" s="75">
        <f t="shared" si="5"/>
        <v>510014.09969610861</v>
      </c>
      <c r="M13" s="75">
        <f t="shared" si="1"/>
        <v>1020028.1993922172</v>
      </c>
      <c r="N13" s="75">
        <f t="shared" si="6"/>
        <v>21147.084000000003</v>
      </c>
      <c r="O13" s="78">
        <v>0</v>
      </c>
      <c r="P13" s="79">
        <f t="shared" si="7"/>
        <v>0</v>
      </c>
      <c r="Q13" s="79">
        <f t="shared" si="8"/>
        <v>204005.63987844344</v>
      </c>
      <c r="R13" s="26"/>
    </row>
    <row r="14" spans="1:18" ht="15.75" x14ac:dyDescent="0.25">
      <c r="A14" s="76" t="s">
        <v>43</v>
      </c>
      <c r="B14" s="71">
        <f t="shared" si="2"/>
        <v>2413072.0498480545</v>
      </c>
      <c r="C14" s="72">
        <v>93765153.15681085</v>
      </c>
      <c r="D14" s="73">
        <f t="shared" si="3"/>
        <v>1530042.2990883258</v>
      </c>
      <c r="E14" s="73">
        <f t="shared" si="0"/>
        <v>883029.75075972849</v>
      </c>
      <c r="F14" s="73">
        <v>33643433.503945656</v>
      </c>
      <c r="G14" s="68">
        <v>95.25</v>
      </c>
      <c r="H14" s="78">
        <v>2.5</v>
      </c>
      <c r="I14" s="72">
        <f t="shared" si="4"/>
        <v>863226</v>
      </c>
      <c r="J14" s="72">
        <v>15600</v>
      </c>
      <c r="K14" s="72">
        <v>42.5</v>
      </c>
      <c r="L14" s="75">
        <f t="shared" si="5"/>
        <v>510014.09969610861</v>
      </c>
      <c r="M14" s="75">
        <f t="shared" si="1"/>
        <v>1275035.2492402715</v>
      </c>
      <c r="N14" s="75">
        <f t="shared" si="6"/>
        <v>21147.084000000003</v>
      </c>
      <c r="O14" s="78">
        <v>0</v>
      </c>
      <c r="P14" s="79">
        <f t="shared" si="7"/>
        <v>0</v>
      </c>
      <c r="Q14" s="79">
        <f t="shared" si="8"/>
        <v>255007.0498480543</v>
      </c>
      <c r="R14" s="26"/>
    </row>
    <row r="15" spans="1:18" ht="15.75" x14ac:dyDescent="0.25">
      <c r="A15" s="76" t="s">
        <v>44</v>
      </c>
      <c r="B15" s="71">
        <f t="shared" si="2"/>
        <v>4826144.0996961091</v>
      </c>
      <c r="C15" s="72">
        <v>93765153.15681085</v>
      </c>
      <c r="D15" s="73">
        <f t="shared" si="3"/>
        <v>3060084.5981766516</v>
      </c>
      <c r="E15" s="73">
        <f t="shared" si="0"/>
        <v>1766059.501519457</v>
      </c>
      <c r="F15" s="73">
        <v>33643433.503945656</v>
      </c>
      <c r="G15" s="68">
        <v>95.25</v>
      </c>
      <c r="H15" s="78">
        <v>5</v>
      </c>
      <c r="I15" s="72">
        <f t="shared" si="4"/>
        <v>863226</v>
      </c>
      <c r="J15" s="72">
        <v>15600</v>
      </c>
      <c r="K15" s="72">
        <v>42.5</v>
      </c>
      <c r="L15" s="75">
        <f t="shared" si="5"/>
        <v>510014.09969610861</v>
      </c>
      <c r="M15" s="75">
        <f t="shared" si="1"/>
        <v>2550070.498480543</v>
      </c>
      <c r="N15" s="75">
        <f t="shared" si="6"/>
        <v>21147.084000000003</v>
      </c>
      <c r="O15" s="78">
        <v>0</v>
      </c>
      <c r="P15" s="79">
        <f t="shared" si="7"/>
        <v>0</v>
      </c>
      <c r="Q15" s="79">
        <f t="shared" si="8"/>
        <v>510014.09969610861</v>
      </c>
      <c r="R15" s="26"/>
    </row>
    <row r="16" spans="1:18" ht="15.75" x14ac:dyDescent="0.25">
      <c r="A16" s="76" t="s">
        <v>45</v>
      </c>
      <c r="B16" s="71">
        <f t="shared" si="2"/>
        <v>1930457.6398784434</v>
      </c>
      <c r="C16" s="72">
        <v>93765153.15681085</v>
      </c>
      <c r="D16" s="73">
        <f t="shared" si="3"/>
        <v>1224033.8392706607</v>
      </c>
      <c r="E16" s="73">
        <f t="shared" si="0"/>
        <v>706423.80060778279</v>
      </c>
      <c r="F16" s="73">
        <v>33643433.503945656</v>
      </c>
      <c r="G16" s="68">
        <v>95.25</v>
      </c>
      <c r="H16" s="78">
        <v>2</v>
      </c>
      <c r="I16" s="72">
        <f t="shared" si="4"/>
        <v>863226</v>
      </c>
      <c r="J16" s="72">
        <v>15600</v>
      </c>
      <c r="K16" s="72">
        <v>42.5</v>
      </c>
      <c r="L16" s="75">
        <f t="shared" si="5"/>
        <v>510014.09969610861</v>
      </c>
      <c r="M16" s="75">
        <f t="shared" si="1"/>
        <v>1020028.1993922172</v>
      </c>
      <c r="N16" s="75">
        <f t="shared" si="6"/>
        <v>21147.084000000003</v>
      </c>
      <c r="O16" s="78">
        <v>0</v>
      </c>
      <c r="P16" s="79">
        <f t="shared" si="7"/>
        <v>0</v>
      </c>
      <c r="Q16" s="79">
        <f t="shared" si="8"/>
        <v>204005.63987844344</v>
      </c>
      <c r="R16" s="26"/>
    </row>
    <row r="17" spans="1:18" ht="15.75" x14ac:dyDescent="0.25">
      <c r="A17" s="76" t="s">
        <v>46</v>
      </c>
      <c r="B17" s="71">
        <f t="shared" si="2"/>
        <v>3200204.4694176652</v>
      </c>
      <c r="C17" s="72">
        <v>93765153.15681085</v>
      </c>
      <c r="D17" s="73">
        <f t="shared" si="3"/>
        <v>2140568.768505991</v>
      </c>
      <c r="E17" s="73">
        <f t="shared" si="0"/>
        <v>1059635.7009116742</v>
      </c>
      <c r="F17" s="73">
        <v>33643433.503945656</v>
      </c>
      <c r="G17" s="68">
        <v>95.25</v>
      </c>
      <c r="H17" s="78">
        <v>3</v>
      </c>
      <c r="I17" s="72">
        <f t="shared" si="4"/>
        <v>863226</v>
      </c>
      <c r="J17" s="72">
        <v>15600</v>
      </c>
      <c r="K17" s="72">
        <v>42.5</v>
      </c>
      <c r="L17" s="75">
        <f t="shared" si="5"/>
        <v>510014.09969610861</v>
      </c>
      <c r="M17" s="75">
        <f t="shared" si="1"/>
        <v>1530042.2990883258</v>
      </c>
      <c r="N17" s="75">
        <f t="shared" si="6"/>
        <v>21147.084000000003</v>
      </c>
      <c r="O17" s="78">
        <v>1</v>
      </c>
      <c r="P17" s="79">
        <f>N17*O17*12</f>
        <v>253765.00800000003</v>
      </c>
      <c r="Q17" s="79">
        <f t="shared" si="8"/>
        <v>356761.46141766518</v>
      </c>
      <c r="R17" s="26"/>
    </row>
    <row r="18" spans="1:18" ht="15.75" x14ac:dyDescent="0.25">
      <c r="A18" s="76" t="s">
        <v>47</v>
      </c>
      <c r="B18" s="71">
        <f t="shared" si="2"/>
        <v>2895686.4598176652</v>
      </c>
      <c r="C18" s="72">
        <v>93765153.15681085</v>
      </c>
      <c r="D18" s="73">
        <f t="shared" si="3"/>
        <v>1836050.758905991</v>
      </c>
      <c r="E18" s="73">
        <f t="shared" si="0"/>
        <v>1059635.7009116742</v>
      </c>
      <c r="F18" s="73">
        <v>33643433.503945656</v>
      </c>
      <c r="G18" s="68">
        <v>95.25</v>
      </c>
      <c r="H18" s="78">
        <v>3</v>
      </c>
      <c r="I18" s="72">
        <f t="shared" si="4"/>
        <v>863226</v>
      </c>
      <c r="J18" s="72">
        <v>15600</v>
      </c>
      <c r="K18" s="72">
        <v>42.5</v>
      </c>
      <c r="L18" s="75">
        <f t="shared" si="5"/>
        <v>510014.09969610861</v>
      </c>
      <c r="M18" s="75">
        <f t="shared" si="1"/>
        <v>1530042.2990883258</v>
      </c>
      <c r="N18" s="75">
        <f t="shared" si="6"/>
        <v>21147.084000000003</v>
      </c>
      <c r="O18" s="78">
        <v>0</v>
      </c>
      <c r="P18" s="79">
        <f t="shared" si="7"/>
        <v>0</v>
      </c>
      <c r="Q18" s="79">
        <f t="shared" si="8"/>
        <v>306008.45981766516</v>
      </c>
      <c r="R18" s="26"/>
    </row>
    <row r="19" spans="1:18" ht="15.75" x14ac:dyDescent="0.25">
      <c r="A19" s="76" t="s">
        <v>48</v>
      </c>
      <c r="B19" s="71">
        <f t="shared" si="2"/>
        <v>4102222.4847416924</v>
      </c>
      <c r="C19" s="72">
        <v>93765153.15681085</v>
      </c>
      <c r="D19" s="73">
        <f t="shared" si="3"/>
        <v>2601071.9084501541</v>
      </c>
      <c r="E19" s="73">
        <f t="shared" si="0"/>
        <v>1501150.5762915383</v>
      </c>
      <c r="F19" s="73">
        <v>33643433.503945656</v>
      </c>
      <c r="G19" s="68">
        <v>95.25</v>
      </c>
      <c r="H19" s="78">
        <v>4.25</v>
      </c>
      <c r="I19" s="72">
        <f t="shared" si="4"/>
        <v>863226</v>
      </c>
      <c r="J19" s="72">
        <v>15600</v>
      </c>
      <c r="K19" s="72">
        <v>42.5</v>
      </c>
      <c r="L19" s="75">
        <f t="shared" si="5"/>
        <v>510014.09969610861</v>
      </c>
      <c r="M19" s="75">
        <f t="shared" si="1"/>
        <v>2167559.9237084617</v>
      </c>
      <c r="N19" s="75">
        <f t="shared" si="6"/>
        <v>21147.084000000003</v>
      </c>
      <c r="O19" s="78">
        <v>0</v>
      </c>
      <c r="P19" s="79">
        <f t="shared" si="7"/>
        <v>0</v>
      </c>
      <c r="Q19" s="79">
        <f t="shared" si="8"/>
        <v>433511.98474169237</v>
      </c>
      <c r="R19" s="26"/>
    </row>
    <row r="20" spans="1:18" ht="15.75" x14ac:dyDescent="0.25">
      <c r="A20" s="76" t="s">
        <v>49</v>
      </c>
      <c r="B20" s="71">
        <f t="shared" si="2"/>
        <v>4343529.689726498</v>
      </c>
      <c r="C20" s="72">
        <v>93765153.15681085</v>
      </c>
      <c r="D20" s="73">
        <f t="shared" si="3"/>
        <v>2754076.1383589869</v>
      </c>
      <c r="E20" s="73">
        <f t="shared" si="0"/>
        <v>1589453.5513675113</v>
      </c>
      <c r="F20" s="73">
        <v>33643433.503945656</v>
      </c>
      <c r="G20" s="68">
        <v>95.25</v>
      </c>
      <c r="H20" s="78">
        <v>4.5</v>
      </c>
      <c r="I20" s="72">
        <f t="shared" si="4"/>
        <v>863226</v>
      </c>
      <c r="J20" s="72">
        <v>15600</v>
      </c>
      <c r="K20" s="72">
        <v>42.5</v>
      </c>
      <c r="L20" s="75">
        <f t="shared" si="5"/>
        <v>510014.09969610861</v>
      </c>
      <c r="M20" s="75">
        <f t="shared" si="1"/>
        <v>2295063.448632489</v>
      </c>
      <c r="N20" s="75">
        <f t="shared" si="6"/>
        <v>21147.084000000003</v>
      </c>
      <c r="O20" s="78">
        <v>0</v>
      </c>
      <c r="P20" s="79">
        <f t="shared" si="7"/>
        <v>0</v>
      </c>
      <c r="Q20" s="79">
        <f t="shared" si="8"/>
        <v>459012.6897264978</v>
      </c>
      <c r="R20" s="26"/>
    </row>
    <row r="21" spans="1:18" ht="31.5" x14ac:dyDescent="0.25">
      <c r="A21" s="76" t="s">
        <v>50</v>
      </c>
      <c r="B21" s="71">
        <f t="shared" si="2"/>
        <v>3619608.0747720813</v>
      </c>
      <c r="C21" s="72">
        <v>93765153.15681085</v>
      </c>
      <c r="D21" s="73">
        <f t="shared" si="3"/>
        <v>2295063.4486324885</v>
      </c>
      <c r="E21" s="73">
        <f t="shared" si="0"/>
        <v>1324544.6261395928</v>
      </c>
      <c r="F21" s="73">
        <v>33643433.503945656</v>
      </c>
      <c r="G21" s="68">
        <v>95.25</v>
      </c>
      <c r="H21" s="78">
        <v>3.75</v>
      </c>
      <c r="I21" s="72">
        <f t="shared" si="4"/>
        <v>863226</v>
      </c>
      <c r="J21" s="72">
        <v>15600</v>
      </c>
      <c r="K21" s="72">
        <v>42.5</v>
      </c>
      <c r="L21" s="75">
        <f t="shared" si="5"/>
        <v>510014.09969610861</v>
      </c>
      <c r="M21" s="75">
        <f t="shared" si="1"/>
        <v>1912552.8738604072</v>
      </c>
      <c r="N21" s="75">
        <f t="shared" si="6"/>
        <v>21147.084000000003</v>
      </c>
      <c r="O21" s="78">
        <v>0</v>
      </c>
      <c r="P21" s="79">
        <f t="shared" si="7"/>
        <v>0</v>
      </c>
      <c r="Q21" s="79">
        <f t="shared" si="8"/>
        <v>382510.57477208145</v>
      </c>
      <c r="R21" s="26"/>
    </row>
    <row r="22" spans="1:18" ht="15.75" x14ac:dyDescent="0.25">
      <c r="A22" s="81" t="s">
        <v>51</v>
      </c>
      <c r="B22" s="82">
        <f>SUM(B4:B21)</f>
        <v>93765153.156810865</v>
      </c>
      <c r="C22" s="72"/>
      <c r="D22" s="83">
        <f>SUM(D4:D21)</f>
        <v>60121719.652865224</v>
      </c>
      <c r="E22" s="83">
        <f>SUM(E4:E21)</f>
        <v>33643433.503945656</v>
      </c>
      <c r="F22" s="83"/>
      <c r="G22" s="81"/>
      <c r="H22" s="84">
        <f>SUM(H4:H21)</f>
        <v>95.25</v>
      </c>
      <c r="I22" s="84"/>
      <c r="J22" s="84"/>
      <c r="K22" s="84"/>
      <c r="L22" s="79"/>
      <c r="M22" s="79">
        <f>SUM(M4:M21)</f>
        <v>48578842.996054336</v>
      </c>
      <c r="N22" s="79"/>
      <c r="O22" s="78">
        <v>6</v>
      </c>
      <c r="P22" s="79">
        <f>SUM(P4:P21)</f>
        <v>1522590.048</v>
      </c>
      <c r="Q22" s="79">
        <f>SUM(Q4:Q21)</f>
        <v>10020286.608810868</v>
      </c>
    </row>
    <row r="23" spans="1:18" x14ac:dyDescent="0.25">
      <c r="D23" s="24"/>
      <c r="E23" s="24"/>
      <c r="F23" s="24"/>
      <c r="J23" s="24"/>
    </row>
    <row r="24" spans="1:18" x14ac:dyDescent="0.25">
      <c r="C24" s="24"/>
      <c r="D24" s="24"/>
      <c r="E24" s="24"/>
      <c r="F24" s="24"/>
      <c r="J24" s="24"/>
      <c r="M24" s="24"/>
    </row>
    <row r="25" spans="1:18" x14ac:dyDescent="0.25">
      <c r="C25" s="24"/>
      <c r="I25" s="24"/>
      <c r="J25" s="24"/>
      <c r="O25" s="24"/>
    </row>
    <row r="26" spans="1:18" x14ac:dyDescent="0.25">
      <c r="D26">
        <f>H21*D25</f>
        <v>0</v>
      </c>
      <c r="I26" s="24"/>
    </row>
    <row r="27" spans="1:18" x14ac:dyDescent="0.25">
      <c r="O27" s="24"/>
    </row>
    <row r="28" spans="1:18" x14ac:dyDescent="0.25">
      <c r="O28" s="24"/>
    </row>
  </sheetData>
  <pageMargins left="0.23622047244094491" right="0.23622047244094491" top="0" bottom="0" header="0" footer="0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opLeftCell="A52" workbookViewId="0">
      <selection activeCell="E27" sqref="E27"/>
    </sheetView>
  </sheetViews>
  <sheetFormatPr defaultRowHeight="15" x14ac:dyDescent="0.25"/>
  <cols>
    <col min="1" max="1" width="23.5703125" customWidth="1"/>
    <col min="2" max="2" width="20.28515625" customWidth="1"/>
    <col min="3" max="3" width="17.7109375" customWidth="1"/>
    <col min="4" max="4" width="23.5703125" customWidth="1"/>
    <col min="5" max="5" width="20.85546875" customWidth="1"/>
    <col min="6" max="6" width="17.7109375" customWidth="1"/>
    <col min="7" max="7" width="21" customWidth="1"/>
    <col min="8" max="8" width="20.85546875" customWidth="1"/>
    <col min="9" max="9" width="15.140625" customWidth="1"/>
    <col min="10" max="10" width="16" customWidth="1"/>
    <col min="11" max="11" width="20.28515625" customWidth="1"/>
    <col min="12" max="13" width="24.85546875" customWidth="1"/>
    <col min="14" max="14" width="23.5703125" customWidth="1"/>
    <col min="15" max="15" width="16" customWidth="1"/>
    <col min="16" max="16" width="15.7109375" customWidth="1"/>
    <col min="17" max="17" width="20.5703125" customWidth="1"/>
    <col min="18" max="19" width="20.28515625" customWidth="1"/>
    <col min="20" max="20" width="19.28515625" customWidth="1"/>
    <col min="21" max="21" width="23.42578125" customWidth="1"/>
    <col min="22" max="22" width="28.7109375" customWidth="1"/>
    <col min="23" max="23" width="16.85546875" customWidth="1"/>
    <col min="24" max="24" width="32" customWidth="1"/>
  </cols>
  <sheetData>
    <row r="1" spans="1:2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8.75" x14ac:dyDescent="0.3">
      <c r="A2" s="90" t="s">
        <v>52</v>
      </c>
      <c r="B2" s="90"/>
      <c r="C2" s="90"/>
      <c r="D2" s="90"/>
      <c r="E2" s="90"/>
      <c r="F2" s="9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6" spans="1:24" x14ac:dyDescent="0.25">
      <c r="A6" s="91" t="s">
        <v>53</v>
      </c>
      <c r="B6" s="91"/>
      <c r="C6" s="91"/>
      <c r="D6" s="91"/>
      <c r="E6" s="91"/>
      <c r="F6" s="91"/>
      <c r="G6" s="91"/>
    </row>
    <row r="9" spans="1:24" ht="18.75" x14ac:dyDescent="0.25">
      <c r="A9" t="s">
        <v>54</v>
      </c>
      <c r="B9" s="15"/>
      <c r="C9" s="15"/>
      <c r="D9" s="15"/>
      <c r="E9" s="15"/>
      <c r="F9" s="15"/>
      <c r="G9" s="15"/>
      <c r="H9" s="15"/>
      <c r="I9" s="15"/>
    </row>
    <row r="10" spans="1:24" ht="56.25" x14ac:dyDescent="0.25">
      <c r="A10" s="16" t="s">
        <v>55</v>
      </c>
      <c r="B10" s="17" t="s">
        <v>56</v>
      </c>
      <c r="C10" s="17" t="s">
        <v>57</v>
      </c>
      <c r="D10" s="17" t="s">
        <v>58</v>
      </c>
      <c r="E10" s="17" t="s">
        <v>59</v>
      </c>
      <c r="F10" s="16" t="s">
        <v>60</v>
      </c>
      <c r="G10" s="16" t="s">
        <v>61</v>
      </c>
      <c r="H10" s="17" t="s">
        <v>62</v>
      </c>
      <c r="I10" s="17" t="s">
        <v>63</v>
      </c>
      <c r="J10" s="18" t="s">
        <v>64</v>
      </c>
      <c r="K10" s="19" t="s">
        <v>65</v>
      </c>
      <c r="L10" s="19" t="s">
        <v>66</v>
      </c>
      <c r="M10" s="17" t="s">
        <v>67</v>
      </c>
      <c r="N10" s="16" t="s">
        <v>68</v>
      </c>
      <c r="O10" s="16" t="s">
        <v>69</v>
      </c>
      <c r="P10" s="16" t="s">
        <v>70</v>
      </c>
      <c r="Q10" s="16" t="s">
        <v>71</v>
      </c>
      <c r="R10" s="16" t="s">
        <v>72</v>
      </c>
      <c r="S10" s="17" t="s">
        <v>73</v>
      </c>
      <c r="T10" s="16" t="s">
        <v>74</v>
      </c>
      <c r="U10" s="16" t="s">
        <v>75</v>
      </c>
      <c r="V10" s="17" t="s">
        <v>76</v>
      </c>
      <c r="W10" s="17" t="s">
        <v>63</v>
      </c>
      <c r="X10" s="17" t="s">
        <v>77</v>
      </c>
    </row>
    <row r="11" spans="1:24" ht="15.75" x14ac:dyDescent="0.25">
      <c r="A11" s="33" t="s">
        <v>33</v>
      </c>
      <c r="B11" s="34">
        <v>242</v>
      </c>
      <c r="C11" s="35">
        <v>1079</v>
      </c>
      <c r="D11" s="36">
        <v>236</v>
      </c>
      <c r="E11" s="30">
        <v>231</v>
      </c>
      <c r="F11" s="30">
        <v>77</v>
      </c>
      <c r="G11" s="30">
        <v>1</v>
      </c>
      <c r="H11" s="30">
        <v>14</v>
      </c>
      <c r="I11" s="37">
        <f t="shared" ref="I11:I28" si="0">B11+C11+D11+E11+F11+G11+H11</f>
        <v>1880</v>
      </c>
      <c r="J11" s="38">
        <v>326</v>
      </c>
      <c r="K11" s="34">
        <v>0</v>
      </c>
      <c r="L11" s="39">
        <v>22</v>
      </c>
      <c r="M11" s="39">
        <v>3</v>
      </c>
      <c r="N11" s="40">
        <v>1574</v>
      </c>
      <c r="O11" s="41">
        <v>499</v>
      </c>
      <c r="P11" s="41">
        <v>40</v>
      </c>
      <c r="Q11" s="41">
        <v>6</v>
      </c>
      <c r="R11" s="41">
        <v>22</v>
      </c>
      <c r="S11" s="41">
        <v>0</v>
      </c>
      <c r="T11" s="39">
        <v>9</v>
      </c>
      <c r="U11" s="41">
        <v>88</v>
      </c>
      <c r="V11" s="41">
        <v>247</v>
      </c>
      <c r="W11" s="42">
        <f>SUM(J11:V11)</f>
        <v>2836</v>
      </c>
      <c r="X11" s="42">
        <f t="shared" ref="X11:X28" si="1">W11+I11</f>
        <v>4716</v>
      </c>
    </row>
    <row r="12" spans="1:24" ht="15.75" x14ac:dyDescent="0.25">
      <c r="A12" s="33" t="s">
        <v>34</v>
      </c>
      <c r="B12" s="34">
        <v>257</v>
      </c>
      <c r="C12" s="43">
        <v>803</v>
      </c>
      <c r="D12" s="34">
        <v>357</v>
      </c>
      <c r="E12" s="30">
        <v>240</v>
      </c>
      <c r="F12" s="30">
        <v>96</v>
      </c>
      <c r="G12" s="30">
        <v>4</v>
      </c>
      <c r="H12" s="30">
        <v>34</v>
      </c>
      <c r="I12" s="37">
        <f t="shared" si="0"/>
        <v>1791</v>
      </c>
      <c r="J12" s="39">
        <v>339</v>
      </c>
      <c r="K12" s="36">
        <v>0</v>
      </c>
      <c r="L12" s="39">
        <v>80</v>
      </c>
      <c r="M12" s="39">
        <v>8</v>
      </c>
      <c r="N12" s="40">
        <v>1481</v>
      </c>
      <c r="O12" s="41">
        <v>634</v>
      </c>
      <c r="P12" s="41">
        <v>83</v>
      </c>
      <c r="Q12" s="41">
        <v>7</v>
      </c>
      <c r="R12" s="41">
        <v>80</v>
      </c>
      <c r="S12" s="41">
        <v>2</v>
      </c>
      <c r="T12" s="39">
        <v>40</v>
      </c>
      <c r="U12" s="41">
        <v>95</v>
      </c>
      <c r="V12" s="41">
        <v>376</v>
      </c>
      <c r="W12" s="42">
        <f t="shared" ref="W12:W28" si="2">SUM(J12:V12)</f>
        <v>3225</v>
      </c>
      <c r="X12" s="42">
        <f t="shared" si="1"/>
        <v>5016</v>
      </c>
    </row>
    <row r="13" spans="1:24" ht="15.75" x14ac:dyDescent="0.25">
      <c r="A13" s="33" t="s">
        <v>35</v>
      </c>
      <c r="B13" s="34">
        <v>386</v>
      </c>
      <c r="C13" s="35">
        <v>1779</v>
      </c>
      <c r="D13" s="36">
        <v>611</v>
      </c>
      <c r="E13" s="30">
        <v>369</v>
      </c>
      <c r="F13" s="30">
        <v>126</v>
      </c>
      <c r="G13" s="30">
        <v>6</v>
      </c>
      <c r="H13" s="30">
        <v>50</v>
      </c>
      <c r="I13" s="37">
        <f t="shared" si="0"/>
        <v>3327</v>
      </c>
      <c r="J13" s="38">
        <v>720</v>
      </c>
      <c r="K13" s="34">
        <v>0</v>
      </c>
      <c r="L13" s="39">
        <v>55</v>
      </c>
      <c r="M13" s="39">
        <v>45</v>
      </c>
      <c r="N13" s="40">
        <v>3153</v>
      </c>
      <c r="O13" s="41">
        <v>1046</v>
      </c>
      <c r="P13" s="41">
        <v>115</v>
      </c>
      <c r="Q13" s="41">
        <v>45</v>
      </c>
      <c r="R13" s="41">
        <v>55</v>
      </c>
      <c r="S13" s="41">
        <v>1</v>
      </c>
      <c r="T13" s="39">
        <v>33</v>
      </c>
      <c r="U13" s="41">
        <v>129</v>
      </c>
      <c r="V13" s="41">
        <v>510</v>
      </c>
      <c r="W13" s="42">
        <f t="shared" si="2"/>
        <v>5907</v>
      </c>
      <c r="X13" s="42">
        <f t="shared" si="1"/>
        <v>9234</v>
      </c>
    </row>
    <row r="14" spans="1:24" ht="15.75" x14ac:dyDescent="0.25">
      <c r="A14" s="33" t="s">
        <v>36</v>
      </c>
      <c r="B14" s="34">
        <v>1822</v>
      </c>
      <c r="C14" s="43">
        <v>5547</v>
      </c>
      <c r="D14" s="34">
        <v>890</v>
      </c>
      <c r="E14" s="30">
        <v>1207</v>
      </c>
      <c r="F14" s="30">
        <v>471</v>
      </c>
      <c r="G14" s="30">
        <v>43</v>
      </c>
      <c r="H14" s="30">
        <v>359</v>
      </c>
      <c r="I14" s="37">
        <f t="shared" si="0"/>
        <v>10339</v>
      </c>
      <c r="J14" s="39">
        <v>384</v>
      </c>
      <c r="K14" s="36">
        <v>0</v>
      </c>
      <c r="L14" s="39">
        <v>344</v>
      </c>
      <c r="M14" s="39">
        <v>172</v>
      </c>
      <c r="N14" s="41">
        <v>13323</v>
      </c>
      <c r="O14" s="41">
        <v>3478</v>
      </c>
      <c r="P14" s="41">
        <v>308</v>
      </c>
      <c r="Q14" s="41">
        <v>167</v>
      </c>
      <c r="R14" s="41">
        <v>344</v>
      </c>
      <c r="S14" s="41">
        <v>0</v>
      </c>
      <c r="T14" s="39">
        <v>343</v>
      </c>
      <c r="U14" s="41">
        <v>345</v>
      </c>
      <c r="V14" s="41">
        <v>755</v>
      </c>
      <c r="W14" s="42">
        <f t="shared" si="2"/>
        <v>19963</v>
      </c>
      <c r="X14" s="42">
        <f t="shared" si="1"/>
        <v>30302</v>
      </c>
    </row>
    <row r="15" spans="1:24" ht="15.75" x14ac:dyDescent="0.25">
      <c r="A15" s="33" t="s">
        <v>37</v>
      </c>
      <c r="B15" s="34">
        <v>708</v>
      </c>
      <c r="C15" s="35">
        <v>3134</v>
      </c>
      <c r="D15" s="36">
        <v>883</v>
      </c>
      <c r="E15" s="30">
        <v>729</v>
      </c>
      <c r="F15" s="30">
        <v>227</v>
      </c>
      <c r="G15" s="30">
        <v>9</v>
      </c>
      <c r="H15" s="30">
        <v>128</v>
      </c>
      <c r="I15" s="37">
        <f t="shared" si="0"/>
        <v>5818</v>
      </c>
      <c r="J15" s="38">
        <v>3150</v>
      </c>
      <c r="K15" s="34">
        <v>0</v>
      </c>
      <c r="L15" s="39">
        <v>173</v>
      </c>
      <c r="M15" s="39">
        <v>99</v>
      </c>
      <c r="N15" s="41">
        <v>5555</v>
      </c>
      <c r="O15" s="41">
        <v>2026</v>
      </c>
      <c r="P15" s="41">
        <v>223</v>
      </c>
      <c r="Q15" s="41">
        <v>65</v>
      </c>
      <c r="R15" s="41">
        <v>173</v>
      </c>
      <c r="S15" s="41">
        <v>0</v>
      </c>
      <c r="T15" s="39">
        <v>122</v>
      </c>
      <c r="U15" s="41">
        <v>148</v>
      </c>
      <c r="V15" s="41">
        <v>703</v>
      </c>
      <c r="W15" s="42">
        <f t="shared" si="2"/>
        <v>12437</v>
      </c>
      <c r="X15" s="42">
        <f t="shared" si="1"/>
        <v>18255</v>
      </c>
    </row>
    <row r="16" spans="1:24" ht="15.75" x14ac:dyDescent="0.25">
      <c r="A16" s="33" t="s">
        <v>38</v>
      </c>
      <c r="B16" s="34">
        <v>736</v>
      </c>
      <c r="C16" s="43">
        <v>4538</v>
      </c>
      <c r="D16" s="34">
        <v>1109</v>
      </c>
      <c r="E16" s="37">
        <v>962</v>
      </c>
      <c r="F16" s="37">
        <v>268</v>
      </c>
      <c r="G16" s="37">
        <v>19</v>
      </c>
      <c r="H16" s="37">
        <v>176</v>
      </c>
      <c r="I16" s="37">
        <f t="shared" si="0"/>
        <v>7808</v>
      </c>
      <c r="J16" s="39">
        <v>1744</v>
      </c>
      <c r="K16" s="36">
        <v>1</v>
      </c>
      <c r="L16" s="39">
        <v>337</v>
      </c>
      <c r="M16" s="39">
        <v>104</v>
      </c>
      <c r="N16" s="44">
        <v>7088</v>
      </c>
      <c r="O16" s="44">
        <v>2661</v>
      </c>
      <c r="P16" s="44">
        <v>324</v>
      </c>
      <c r="Q16" s="44">
        <v>114</v>
      </c>
      <c r="R16" s="44">
        <v>337</v>
      </c>
      <c r="S16" s="44">
        <v>0</v>
      </c>
      <c r="T16" s="39">
        <v>85</v>
      </c>
      <c r="U16" s="44">
        <v>477</v>
      </c>
      <c r="V16" s="44">
        <v>1245</v>
      </c>
      <c r="W16" s="42">
        <f t="shared" si="2"/>
        <v>14517</v>
      </c>
      <c r="X16" s="42">
        <f t="shared" si="1"/>
        <v>22325</v>
      </c>
    </row>
    <row r="17" spans="1:24" ht="15.75" x14ac:dyDescent="0.25">
      <c r="A17" s="33" t="s">
        <v>39</v>
      </c>
      <c r="B17" s="34">
        <v>385</v>
      </c>
      <c r="C17" s="35">
        <v>1459</v>
      </c>
      <c r="D17" s="36">
        <v>414</v>
      </c>
      <c r="E17" s="30">
        <v>319</v>
      </c>
      <c r="F17" s="30">
        <v>85</v>
      </c>
      <c r="G17" s="30">
        <v>8</v>
      </c>
      <c r="H17" s="30">
        <v>60</v>
      </c>
      <c r="I17" s="37">
        <f t="shared" si="0"/>
        <v>2730</v>
      </c>
      <c r="J17" s="38">
        <v>479</v>
      </c>
      <c r="K17" s="34">
        <v>2</v>
      </c>
      <c r="L17" s="39">
        <v>68</v>
      </c>
      <c r="M17" s="39">
        <v>57</v>
      </c>
      <c r="N17" s="41">
        <v>2674</v>
      </c>
      <c r="O17" s="41">
        <v>956</v>
      </c>
      <c r="P17" s="41">
        <v>76</v>
      </c>
      <c r="Q17" s="41">
        <v>52</v>
      </c>
      <c r="R17" s="41">
        <v>68</v>
      </c>
      <c r="S17" s="41">
        <v>1</v>
      </c>
      <c r="T17" s="39">
        <v>57</v>
      </c>
      <c r="U17" s="41">
        <v>197</v>
      </c>
      <c r="V17" s="41">
        <v>566</v>
      </c>
      <c r="W17" s="42">
        <f t="shared" si="2"/>
        <v>5253</v>
      </c>
      <c r="X17" s="42">
        <f t="shared" si="1"/>
        <v>7983</v>
      </c>
    </row>
    <row r="18" spans="1:24" ht="15.75" x14ac:dyDescent="0.25">
      <c r="A18" s="45" t="s">
        <v>40</v>
      </c>
      <c r="B18" s="34">
        <v>154</v>
      </c>
      <c r="C18" s="43">
        <v>1237</v>
      </c>
      <c r="D18" s="34">
        <v>398</v>
      </c>
      <c r="E18" s="46">
        <v>272</v>
      </c>
      <c r="F18" s="46">
        <v>76</v>
      </c>
      <c r="G18" s="46">
        <v>12</v>
      </c>
      <c r="H18" s="46">
        <v>57</v>
      </c>
      <c r="I18" s="37">
        <f t="shared" si="0"/>
        <v>2206</v>
      </c>
      <c r="J18" s="39">
        <v>619</v>
      </c>
      <c r="K18" s="36">
        <v>0</v>
      </c>
      <c r="L18" s="39">
        <v>95</v>
      </c>
      <c r="M18" s="39">
        <v>46</v>
      </c>
      <c r="N18" s="47">
        <v>2353</v>
      </c>
      <c r="O18" s="47">
        <v>708</v>
      </c>
      <c r="P18" s="47">
        <v>85</v>
      </c>
      <c r="Q18" s="47">
        <v>42</v>
      </c>
      <c r="R18" s="47">
        <v>95</v>
      </c>
      <c r="S18" s="47">
        <v>1</v>
      </c>
      <c r="T18" s="39">
        <v>27</v>
      </c>
      <c r="U18" s="47">
        <v>172</v>
      </c>
      <c r="V18" s="47">
        <v>375</v>
      </c>
      <c r="W18" s="42">
        <f t="shared" si="2"/>
        <v>4618</v>
      </c>
      <c r="X18" s="42">
        <f t="shared" si="1"/>
        <v>6824</v>
      </c>
    </row>
    <row r="19" spans="1:24" ht="15.75" x14ac:dyDescent="0.25">
      <c r="A19" s="33" t="s">
        <v>41</v>
      </c>
      <c r="B19" s="34">
        <v>521</v>
      </c>
      <c r="C19" s="35">
        <v>1764</v>
      </c>
      <c r="D19" s="36">
        <v>580</v>
      </c>
      <c r="E19" s="30">
        <v>476</v>
      </c>
      <c r="F19" s="30">
        <v>148</v>
      </c>
      <c r="G19" s="30">
        <v>5</v>
      </c>
      <c r="H19" s="30">
        <v>65</v>
      </c>
      <c r="I19" s="37">
        <f t="shared" si="0"/>
        <v>3559</v>
      </c>
      <c r="J19" s="38">
        <v>527</v>
      </c>
      <c r="K19" s="34">
        <v>0</v>
      </c>
      <c r="L19" s="39">
        <v>118</v>
      </c>
      <c r="M19" s="39">
        <v>33</v>
      </c>
      <c r="N19" s="41">
        <v>3439</v>
      </c>
      <c r="O19" s="40">
        <v>1112</v>
      </c>
      <c r="P19" s="40">
        <v>107</v>
      </c>
      <c r="Q19" s="40">
        <v>33</v>
      </c>
      <c r="R19" s="40">
        <v>118</v>
      </c>
      <c r="S19" s="40">
        <v>0</v>
      </c>
      <c r="T19" s="39">
        <v>85</v>
      </c>
      <c r="U19" s="40">
        <v>206</v>
      </c>
      <c r="V19" s="40">
        <v>425</v>
      </c>
      <c r="W19" s="42">
        <f t="shared" si="2"/>
        <v>6203</v>
      </c>
      <c r="X19" s="42">
        <f t="shared" si="1"/>
        <v>9762</v>
      </c>
    </row>
    <row r="20" spans="1:24" ht="15.75" x14ac:dyDescent="0.25">
      <c r="A20" s="33" t="s">
        <v>42</v>
      </c>
      <c r="B20" s="34">
        <v>126</v>
      </c>
      <c r="C20" s="43">
        <v>627</v>
      </c>
      <c r="D20" s="34">
        <v>123</v>
      </c>
      <c r="E20" s="30">
        <v>101</v>
      </c>
      <c r="F20" s="30">
        <v>48</v>
      </c>
      <c r="G20" s="30">
        <v>1</v>
      </c>
      <c r="H20" s="30">
        <v>13</v>
      </c>
      <c r="I20" s="37">
        <f t="shared" si="0"/>
        <v>1039</v>
      </c>
      <c r="J20" s="39">
        <v>451</v>
      </c>
      <c r="K20" s="36">
        <v>0</v>
      </c>
      <c r="L20" s="39">
        <v>53</v>
      </c>
      <c r="M20" s="39">
        <v>12</v>
      </c>
      <c r="N20" s="40">
        <v>1085</v>
      </c>
      <c r="O20" s="41">
        <v>319</v>
      </c>
      <c r="P20" s="41">
        <v>37</v>
      </c>
      <c r="Q20" s="41">
        <v>12</v>
      </c>
      <c r="R20" s="41">
        <v>53</v>
      </c>
      <c r="S20" s="41">
        <v>0</v>
      </c>
      <c r="T20" s="39">
        <v>10</v>
      </c>
      <c r="U20" s="41">
        <v>57</v>
      </c>
      <c r="V20" s="41">
        <v>149</v>
      </c>
      <c r="W20" s="42">
        <f t="shared" si="2"/>
        <v>2238</v>
      </c>
      <c r="X20" s="42">
        <f t="shared" si="1"/>
        <v>3277</v>
      </c>
    </row>
    <row r="21" spans="1:24" ht="15.75" x14ac:dyDescent="0.25">
      <c r="A21" s="33" t="s">
        <v>43</v>
      </c>
      <c r="B21" s="48">
        <v>325</v>
      </c>
      <c r="C21" s="43">
        <v>972</v>
      </c>
      <c r="D21" s="34">
        <v>201</v>
      </c>
      <c r="E21" s="30">
        <v>336</v>
      </c>
      <c r="F21" s="30">
        <v>71</v>
      </c>
      <c r="G21" s="30">
        <v>3</v>
      </c>
      <c r="H21" s="30">
        <v>68</v>
      </c>
      <c r="I21" s="37">
        <f t="shared" si="0"/>
        <v>1976</v>
      </c>
      <c r="J21" s="38">
        <v>117</v>
      </c>
      <c r="K21" s="34">
        <v>1</v>
      </c>
      <c r="L21" s="39">
        <v>15</v>
      </c>
      <c r="M21" s="39">
        <v>7</v>
      </c>
      <c r="N21" s="41">
        <v>1700</v>
      </c>
      <c r="O21" s="41">
        <v>664</v>
      </c>
      <c r="P21" s="41">
        <v>25</v>
      </c>
      <c r="Q21" s="41">
        <v>17</v>
      </c>
      <c r="R21" s="41">
        <v>15</v>
      </c>
      <c r="S21" s="41">
        <v>1</v>
      </c>
      <c r="T21" s="39">
        <v>41</v>
      </c>
      <c r="U21" s="41">
        <v>101</v>
      </c>
      <c r="V21" s="41">
        <v>244</v>
      </c>
      <c r="W21" s="42">
        <f t="shared" si="2"/>
        <v>2948</v>
      </c>
      <c r="X21" s="42">
        <f t="shared" si="1"/>
        <v>4924</v>
      </c>
    </row>
    <row r="22" spans="1:24" ht="15.75" x14ac:dyDescent="0.25">
      <c r="A22" s="33" t="s">
        <v>44</v>
      </c>
      <c r="B22" s="34">
        <v>424</v>
      </c>
      <c r="C22" s="43">
        <v>1784</v>
      </c>
      <c r="D22" s="34">
        <v>426</v>
      </c>
      <c r="E22" s="30">
        <v>339</v>
      </c>
      <c r="F22" s="30">
        <v>92</v>
      </c>
      <c r="G22" s="30">
        <v>5</v>
      </c>
      <c r="H22" s="30">
        <v>51</v>
      </c>
      <c r="I22" s="37">
        <f t="shared" si="0"/>
        <v>3121</v>
      </c>
      <c r="J22" s="39">
        <v>401</v>
      </c>
      <c r="K22" s="36">
        <v>0</v>
      </c>
      <c r="L22" s="39">
        <v>97</v>
      </c>
      <c r="M22" s="39">
        <v>40</v>
      </c>
      <c r="N22" s="41">
        <v>2818</v>
      </c>
      <c r="O22" s="41">
        <v>1173</v>
      </c>
      <c r="P22" s="41">
        <v>113</v>
      </c>
      <c r="Q22" s="41">
        <v>51</v>
      </c>
      <c r="R22" s="41">
        <v>97</v>
      </c>
      <c r="S22" s="41">
        <v>1</v>
      </c>
      <c r="T22" s="39">
        <v>60</v>
      </c>
      <c r="U22" s="41">
        <v>145</v>
      </c>
      <c r="V22" s="41">
        <v>381</v>
      </c>
      <c r="W22" s="42">
        <f t="shared" si="2"/>
        <v>5377</v>
      </c>
      <c r="X22" s="42">
        <f t="shared" si="1"/>
        <v>8498</v>
      </c>
    </row>
    <row r="23" spans="1:24" ht="15.75" x14ac:dyDescent="0.25">
      <c r="A23" s="33" t="s">
        <v>45</v>
      </c>
      <c r="B23" s="34">
        <v>106</v>
      </c>
      <c r="C23" s="35">
        <v>592</v>
      </c>
      <c r="D23" s="36">
        <v>135</v>
      </c>
      <c r="E23" s="30">
        <v>111</v>
      </c>
      <c r="F23" s="30">
        <v>48</v>
      </c>
      <c r="G23" s="30">
        <v>1</v>
      </c>
      <c r="H23" s="30">
        <v>16</v>
      </c>
      <c r="I23" s="37">
        <f t="shared" si="0"/>
        <v>1009</v>
      </c>
      <c r="J23" s="38">
        <v>163</v>
      </c>
      <c r="K23" s="34">
        <v>1</v>
      </c>
      <c r="L23" s="39">
        <v>38</v>
      </c>
      <c r="M23" s="39">
        <v>11</v>
      </c>
      <c r="N23" s="49">
        <v>1052</v>
      </c>
      <c r="O23" s="49">
        <v>376</v>
      </c>
      <c r="P23" s="49">
        <v>38</v>
      </c>
      <c r="Q23" s="49">
        <v>6</v>
      </c>
      <c r="R23" s="49">
        <v>38</v>
      </c>
      <c r="S23" s="49">
        <v>0</v>
      </c>
      <c r="T23" s="39">
        <v>22</v>
      </c>
      <c r="U23" s="49">
        <v>52</v>
      </c>
      <c r="V23" s="49">
        <v>159</v>
      </c>
      <c r="W23" s="42">
        <f t="shared" si="2"/>
        <v>1956</v>
      </c>
      <c r="X23" s="42">
        <f t="shared" si="1"/>
        <v>2965</v>
      </c>
    </row>
    <row r="24" spans="1:24" ht="15.75" x14ac:dyDescent="0.25">
      <c r="A24" s="33" t="s">
        <v>46</v>
      </c>
      <c r="B24" s="34">
        <v>220</v>
      </c>
      <c r="C24" s="43">
        <v>1130</v>
      </c>
      <c r="D24" s="34">
        <v>279</v>
      </c>
      <c r="E24" s="30">
        <v>219</v>
      </c>
      <c r="F24" s="30">
        <v>80</v>
      </c>
      <c r="G24" s="30">
        <v>2</v>
      </c>
      <c r="H24" s="30">
        <v>35</v>
      </c>
      <c r="I24" s="37">
        <f t="shared" si="0"/>
        <v>1965</v>
      </c>
      <c r="J24" s="39">
        <v>315</v>
      </c>
      <c r="K24" s="36">
        <v>0</v>
      </c>
      <c r="L24" s="39">
        <v>65</v>
      </c>
      <c r="M24" s="39">
        <v>15</v>
      </c>
      <c r="N24" s="49">
        <v>1795</v>
      </c>
      <c r="O24" s="44">
        <v>586</v>
      </c>
      <c r="P24" s="44">
        <v>51</v>
      </c>
      <c r="Q24" s="44">
        <v>9</v>
      </c>
      <c r="R24" s="44">
        <v>65</v>
      </c>
      <c r="S24" s="44">
        <v>0</v>
      </c>
      <c r="T24" s="39">
        <v>36</v>
      </c>
      <c r="U24" s="44">
        <v>70</v>
      </c>
      <c r="V24" s="44">
        <v>240</v>
      </c>
      <c r="W24" s="42">
        <f t="shared" si="2"/>
        <v>3247</v>
      </c>
      <c r="X24" s="42">
        <f t="shared" si="1"/>
        <v>5212</v>
      </c>
    </row>
    <row r="25" spans="1:24" ht="15.75" x14ac:dyDescent="0.25">
      <c r="A25" s="33" t="s">
        <v>47</v>
      </c>
      <c r="B25" s="34">
        <v>231</v>
      </c>
      <c r="C25" s="43">
        <v>963</v>
      </c>
      <c r="D25" s="34">
        <v>258</v>
      </c>
      <c r="E25" s="37">
        <v>212</v>
      </c>
      <c r="F25" s="37">
        <v>71</v>
      </c>
      <c r="G25" s="37">
        <v>4</v>
      </c>
      <c r="H25" s="37">
        <v>33</v>
      </c>
      <c r="I25" s="37">
        <f t="shared" si="0"/>
        <v>1772</v>
      </c>
      <c r="J25" s="38">
        <v>580</v>
      </c>
      <c r="K25" s="34">
        <v>0</v>
      </c>
      <c r="L25" s="39">
        <v>48</v>
      </c>
      <c r="M25" s="39">
        <v>30</v>
      </c>
      <c r="N25" s="49">
        <v>1593</v>
      </c>
      <c r="O25" s="49">
        <v>653</v>
      </c>
      <c r="P25" s="49">
        <v>73</v>
      </c>
      <c r="Q25" s="49">
        <v>38</v>
      </c>
      <c r="R25" s="49">
        <v>48</v>
      </c>
      <c r="S25" s="49">
        <v>1</v>
      </c>
      <c r="T25" s="39">
        <v>22</v>
      </c>
      <c r="U25" s="49">
        <v>92</v>
      </c>
      <c r="V25" s="49">
        <v>242</v>
      </c>
      <c r="W25" s="42">
        <f t="shared" si="2"/>
        <v>3420</v>
      </c>
      <c r="X25" s="42">
        <f t="shared" si="1"/>
        <v>5192</v>
      </c>
    </row>
    <row r="26" spans="1:24" ht="15.75" x14ac:dyDescent="0.25">
      <c r="A26" s="50" t="s">
        <v>48</v>
      </c>
      <c r="B26" s="34">
        <v>427</v>
      </c>
      <c r="C26" s="35">
        <v>1439</v>
      </c>
      <c r="D26" s="36">
        <v>376</v>
      </c>
      <c r="E26" s="37">
        <v>345</v>
      </c>
      <c r="F26" s="37">
        <v>90</v>
      </c>
      <c r="G26" s="37">
        <v>12</v>
      </c>
      <c r="H26" s="37">
        <v>49</v>
      </c>
      <c r="I26" s="37">
        <f t="shared" si="0"/>
        <v>2738</v>
      </c>
      <c r="J26" s="39">
        <v>666</v>
      </c>
      <c r="K26" s="34">
        <v>0</v>
      </c>
      <c r="L26" s="39">
        <v>60</v>
      </c>
      <c r="M26" s="39">
        <v>29</v>
      </c>
      <c r="N26" s="44">
        <v>2680</v>
      </c>
      <c r="O26" s="44">
        <v>992</v>
      </c>
      <c r="P26" s="44">
        <v>76</v>
      </c>
      <c r="Q26" s="44">
        <v>28</v>
      </c>
      <c r="R26" s="44">
        <v>60</v>
      </c>
      <c r="S26" s="44">
        <v>0</v>
      </c>
      <c r="T26" s="39">
        <v>29</v>
      </c>
      <c r="U26" s="44">
        <v>246</v>
      </c>
      <c r="V26" s="44">
        <v>325</v>
      </c>
      <c r="W26" s="42">
        <f t="shared" si="2"/>
        <v>5191</v>
      </c>
      <c r="X26" s="42">
        <f t="shared" si="1"/>
        <v>7929</v>
      </c>
    </row>
    <row r="27" spans="1:24" ht="15.75" x14ac:dyDescent="0.25">
      <c r="A27" s="50" t="s">
        <v>49</v>
      </c>
      <c r="B27" s="34">
        <v>435</v>
      </c>
      <c r="C27" s="43">
        <v>2391</v>
      </c>
      <c r="D27" s="34">
        <v>584</v>
      </c>
      <c r="E27" s="37">
        <v>479</v>
      </c>
      <c r="F27" s="37">
        <v>146</v>
      </c>
      <c r="G27" s="37">
        <v>4</v>
      </c>
      <c r="H27" s="37">
        <v>86</v>
      </c>
      <c r="I27" s="37">
        <f t="shared" si="0"/>
        <v>4125</v>
      </c>
      <c r="J27" s="38">
        <v>594</v>
      </c>
      <c r="K27" s="34">
        <v>0</v>
      </c>
      <c r="L27" s="39">
        <v>31</v>
      </c>
      <c r="M27" s="39">
        <v>23</v>
      </c>
      <c r="N27" s="44">
        <v>1365</v>
      </c>
      <c r="O27" s="44">
        <v>1357</v>
      </c>
      <c r="P27" s="44">
        <v>38</v>
      </c>
      <c r="Q27" s="44">
        <v>51</v>
      </c>
      <c r="R27" s="44">
        <v>31</v>
      </c>
      <c r="S27" s="44">
        <v>0</v>
      </c>
      <c r="T27" s="39">
        <v>61</v>
      </c>
      <c r="U27" s="44">
        <v>206</v>
      </c>
      <c r="V27" s="44">
        <v>687</v>
      </c>
      <c r="W27" s="42">
        <f t="shared" si="2"/>
        <v>4444</v>
      </c>
      <c r="X27" s="42">
        <f t="shared" si="1"/>
        <v>8569</v>
      </c>
    </row>
    <row r="28" spans="1:24" ht="15.75" x14ac:dyDescent="0.25">
      <c r="A28" s="50" t="s">
        <v>50</v>
      </c>
      <c r="B28" s="34">
        <v>359</v>
      </c>
      <c r="C28" s="43">
        <v>996</v>
      </c>
      <c r="D28" s="34">
        <v>396</v>
      </c>
      <c r="E28" s="30">
        <v>320</v>
      </c>
      <c r="F28" s="30">
        <v>58</v>
      </c>
      <c r="G28" s="30">
        <v>7</v>
      </c>
      <c r="H28" s="30">
        <v>65</v>
      </c>
      <c r="I28" s="37">
        <f t="shared" si="0"/>
        <v>2201</v>
      </c>
      <c r="J28" s="39">
        <v>241</v>
      </c>
      <c r="K28" s="34">
        <v>0</v>
      </c>
      <c r="L28" s="39">
        <v>95</v>
      </c>
      <c r="M28" s="39">
        <v>15</v>
      </c>
      <c r="N28" s="51">
        <v>1802</v>
      </c>
      <c r="O28" s="51">
        <v>743</v>
      </c>
      <c r="P28" s="51">
        <v>141</v>
      </c>
      <c r="Q28" s="51">
        <v>28</v>
      </c>
      <c r="R28" s="51">
        <v>95</v>
      </c>
      <c r="S28" s="51">
        <v>0</v>
      </c>
      <c r="T28" s="39">
        <v>39</v>
      </c>
      <c r="U28" s="51">
        <v>139</v>
      </c>
      <c r="V28" s="51">
        <v>425</v>
      </c>
      <c r="W28" s="42">
        <f t="shared" si="2"/>
        <v>3763</v>
      </c>
      <c r="X28" s="42">
        <f t="shared" si="1"/>
        <v>5964</v>
      </c>
    </row>
    <row r="29" spans="1:24" ht="15.75" x14ac:dyDescent="0.25">
      <c r="A29" s="52"/>
      <c r="B29" s="46">
        <f t="shared" ref="B29:X29" si="3">SUM(B11:B28)</f>
        <v>7864</v>
      </c>
      <c r="C29" s="46">
        <f t="shared" si="3"/>
        <v>32234</v>
      </c>
      <c r="D29" s="46">
        <f t="shared" si="3"/>
        <v>8256</v>
      </c>
      <c r="E29" s="46">
        <f t="shared" si="3"/>
        <v>7267</v>
      </c>
      <c r="F29" s="46">
        <f t="shared" si="3"/>
        <v>2278</v>
      </c>
      <c r="G29" s="46">
        <f t="shared" si="3"/>
        <v>146</v>
      </c>
      <c r="H29" s="46">
        <f t="shared" si="3"/>
        <v>1359</v>
      </c>
      <c r="I29" s="46">
        <f t="shared" si="3"/>
        <v>59404</v>
      </c>
      <c r="J29" s="47">
        <f t="shared" si="3"/>
        <v>11816</v>
      </c>
      <c r="K29" s="47">
        <f t="shared" si="3"/>
        <v>5</v>
      </c>
      <c r="L29" s="47">
        <f t="shared" si="3"/>
        <v>1794</v>
      </c>
      <c r="M29" s="53">
        <f t="shared" si="3"/>
        <v>749</v>
      </c>
      <c r="N29" s="46">
        <f t="shared" si="3"/>
        <v>56530</v>
      </c>
      <c r="O29" s="53">
        <f t="shared" si="3"/>
        <v>19983</v>
      </c>
      <c r="P29" s="53">
        <f t="shared" si="3"/>
        <v>1953</v>
      </c>
      <c r="Q29" s="53">
        <f t="shared" si="3"/>
        <v>771</v>
      </c>
      <c r="R29" s="53">
        <f t="shared" si="3"/>
        <v>1794</v>
      </c>
      <c r="S29" s="53">
        <f t="shared" si="3"/>
        <v>8</v>
      </c>
      <c r="T29" s="53">
        <f t="shared" si="3"/>
        <v>1121</v>
      </c>
      <c r="U29" s="53">
        <f t="shared" si="3"/>
        <v>2965</v>
      </c>
      <c r="V29" s="53">
        <f t="shared" si="3"/>
        <v>8054</v>
      </c>
      <c r="W29" s="54">
        <f t="shared" si="3"/>
        <v>107543</v>
      </c>
      <c r="X29" s="55">
        <f t="shared" si="3"/>
        <v>166947</v>
      </c>
    </row>
    <row r="30" spans="1:24" ht="18.75" x14ac:dyDescent="0.3">
      <c r="A30" s="20"/>
      <c r="B30" s="20"/>
      <c r="C30" s="20"/>
      <c r="D30" s="20">
        <f>D29*1.88</f>
        <v>15521.279999999999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1:24" x14ac:dyDescent="0.25">
      <c r="A31" t="s">
        <v>78</v>
      </c>
    </row>
    <row r="32" spans="1:24" ht="75" x14ac:dyDescent="0.25">
      <c r="A32" s="16" t="s">
        <v>55</v>
      </c>
      <c r="B32" s="16" t="s">
        <v>79</v>
      </c>
      <c r="C32" s="16" t="s">
        <v>80</v>
      </c>
      <c r="D32" s="16" t="s">
        <v>81</v>
      </c>
      <c r="E32" s="16" t="s">
        <v>82</v>
      </c>
      <c r="F32" s="16" t="s">
        <v>83</v>
      </c>
      <c r="G32" s="16" t="s">
        <v>84</v>
      </c>
      <c r="H32" s="16" t="s">
        <v>85</v>
      </c>
      <c r="I32" s="22" t="s">
        <v>86</v>
      </c>
      <c r="J32" s="23" t="s">
        <v>87</v>
      </c>
      <c r="K32" s="19" t="s">
        <v>88</v>
      </c>
      <c r="L32" s="19" t="s">
        <v>89</v>
      </c>
      <c r="M32" s="16" t="s">
        <v>90</v>
      </c>
      <c r="N32" s="16" t="s">
        <v>91</v>
      </c>
      <c r="O32" s="16" t="s">
        <v>92</v>
      </c>
      <c r="P32" s="16" t="s">
        <v>93</v>
      </c>
      <c r="Q32" s="16" t="s">
        <v>94</v>
      </c>
      <c r="R32" s="16" t="s">
        <v>95</v>
      </c>
      <c r="S32" s="16" t="s">
        <v>96</v>
      </c>
      <c r="T32" s="16" t="s">
        <v>97</v>
      </c>
      <c r="U32" s="16" t="s">
        <v>98</v>
      </c>
      <c r="V32" s="16" t="s">
        <v>99</v>
      </c>
      <c r="W32" s="16" t="s">
        <v>100</v>
      </c>
      <c r="X32" s="16" t="s">
        <v>101</v>
      </c>
    </row>
    <row r="33" spans="1:24" ht="15.75" x14ac:dyDescent="0.25">
      <c r="A33" s="56" t="s">
        <v>33</v>
      </c>
      <c r="B33" s="30">
        <f t="shared" ref="B33:B43" si="4">B11*0.83</f>
        <v>200.85999999999999</v>
      </c>
      <c r="C33" s="30">
        <f>1079*0.67</f>
        <v>722.93000000000006</v>
      </c>
      <c r="D33" s="30">
        <f>236*1.88</f>
        <v>443.67999999999995</v>
      </c>
      <c r="E33" s="30">
        <f>231*0.83</f>
        <v>191.73</v>
      </c>
      <c r="F33" s="30">
        <f>77*1.33</f>
        <v>102.41000000000001</v>
      </c>
      <c r="G33" s="30">
        <f>1*1.17</f>
        <v>1.17</v>
      </c>
      <c r="H33" s="30">
        <v>14</v>
      </c>
      <c r="I33" s="57">
        <f>SUM(B33:H33)</f>
        <v>1676.7800000000002</v>
      </c>
      <c r="J33" s="30">
        <f>326*0.83</f>
        <v>270.58</v>
      </c>
      <c r="K33" s="30">
        <v>0</v>
      </c>
      <c r="L33" s="30">
        <f>22*16</f>
        <v>352</v>
      </c>
      <c r="M33" s="30">
        <f>3*0.83</f>
        <v>2.4899999999999998</v>
      </c>
      <c r="N33" s="30">
        <f>1574*0.83</f>
        <v>1306.4199999999998</v>
      </c>
      <c r="O33" s="30">
        <f>499*1.5</f>
        <v>748.5</v>
      </c>
      <c r="P33" s="30">
        <v>40</v>
      </c>
      <c r="Q33" s="30">
        <f>6*3.083</f>
        <v>18.498000000000001</v>
      </c>
      <c r="R33" s="30">
        <f>22*0.5</f>
        <v>11</v>
      </c>
      <c r="S33" s="30">
        <v>0</v>
      </c>
      <c r="T33" s="30">
        <f>9*0.83</f>
        <v>7.47</v>
      </c>
      <c r="U33" s="30">
        <f>88*0.83</f>
        <v>73.039999999999992</v>
      </c>
      <c r="V33" s="30">
        <f>247*0.5</f>
        <v>123.5</v>
      </c>
      <c r="W33" s="58">
        <f t="shared" ref="W33:W50" si="5">SUM(J33:V33)</f>
        <v>2953.4979999999996</v>
      </c>
      <c r="X33" s="42">
        <f>W33+I33</f>
        <v>4630.2780000000002</v>
      </c>
    </row>
    <row r="34" spans="1:24" ht="15.75" x14ac:dyDescent="0.25">
      <c r="A34" s="56" t="s">
        <v>34</v>
      </c>
      <c r="B34" s="30">
        <f t="shared" si="4"/>
        <v>213.31</v>
      </c>
      <c r="C34" s="30">
        <f>803*0.67</f>
        <v>538.01</v>
      </c>
      <c r="D34" s="30">
        <f>357*1.88</f>
        <v>671.16</v>
      </c>
      <c r="E34" s="30">
        <f>240*0.83</f>
        <v>199.2</v>
      </c>
      <c r="F34" s="30">
        <f>96*1.33</f>
        <v>127.68</v>
      </c>
      <c r="G34" s="30">
        <f>4*1.17</f>
        <v>4.68</v>
      </c>
      <c r="H34" s="30">
        <v>34</v>
      </c>
      <c r="I34" s="57">
        <f t="shared" ref="I34:I50" si="6">SUM(B34:H34)</f>
        <v>1788.0400000000002</v>
      </c>
      <c r="J34" s="30">
        <f>339*0.83</f>
        <v>281.37</v>
      </c>
      <c r="K34" s="30">
        <v>0</v>
      </c>
      <c r="L34" s="30">
        <f>80*16</f>
        <v>1280</v>
      </c>
      <c r="M34" s="30">
        <f>8*0.83</f>
        <v>6.64</v>
      </c>
      <c r="N34" s="30">
        <f>1481*0.83</f>
        <v>1229.23</v>
      </c>
      <c r="O34" s="30">
        <f>634*1.5</f>
        <v>951</v>
      </c>
      <c r="P34" s="30">
        <v>83</v>
      </c>
      <c r="Q34" s="30">
        <f>7*3.083</f>
        <v>21.581000000000003</v>
      </c>
      <c r="R34" s="30">
        <f>80*0.5</f>
        <v>40</v>
      </c>
      <c r="S34" s="30">
        <f>2*0.62</f>
        <v>1.24</v>
      </c>
      <c r="T34" s="30">
        <f>40*0.83</f>
        <v>33.199999999999996</v>
      </c>
      <c r="U34" s="30">
        <f>95*0.83</f>
        <v>78.849999999999994</v>
      </c>
      <c r="V34" s="30">
        <f>376*0.5</f>
        <v>188</v>
      </c>
      <c r="W34" s="58">
        <f t="shared" si="5"/>
        <v>4194.110999999999</v>
      </c>
      <c r="X34" s="42">
        <f t="shared" ref="X34:X50" si="7">W34+I34</f>
        <v>5982.1509999999989</v>
      </c>
    </row>
    <row r="35" spans="1:24" ht="15.75" x14ac:dyDescent="0.25">
      <c r="A35" s="56" t="s">
        <v>35</v>
      </c>
      <c r="B35" s="30">
        <f t="shared" si="4"/>
        <v>320.38</v>
      </c>
      <c r="C35" s="30">
        <f>1779*0.67</f>
        <v>1191.93</v>
      </c>
      <c r="D35" s="30">
        <f>611*1.88</f>
        <v>1148.6799999999998</v>
      </c>
      <c r="E35" s="30">
        <f>369*0.83</f>
        <v>306.27</v>
      </c>
      <c r="F35" s="30">
        <f>126*1.33</f>
        <v>167.58</v>
      </c>
      <c r="G35" s="30">
        <f>6*1.17</f>
        <v>7.02</v>
      </c>
      <c r="H35" s="30">
        <v>50</v>
      </c>
      <c r="I35" s="57">
        <f t="shared" si="6"/>
        <v>3191.8599999999997</v>
      </c>
      <c r="J35" s="30">
        <f>720*0.83</f>
        <v>597.6</v>
      </c>
      <c r="K35" s="30">
        <v>0</v>
      </c>
      <c r="L35" s="30">
        <f>55*16</f>
        <v>880</v>
      </c>
      <c r="M35" s="30">
        <f>45*0.83</f>
        <v>37.35</v>
      </c>
      <c r="N35" s="30">
        <f>3153*0.83</f>
        <v>2616.9899999999998</v>
      </c>
      <c r="O35" s="30">
        <f>1046*1.5</f>
        <v>1569</v>
      </c>
      <c r="P35" s="30">
        <v>115</v>
      </c>
      <c r="Q35" s="30">
        <f>45*3.083</f>
        <v>138.73500000000001</v>
      </c>
      <c r="R35" s="30">
        <f>55*0.5</f>
        <v>27.5</v>
      </c>
      <c r="S35" s="30">
        <f>1*0.62</f>
        <v>0.62</v>
      </c>
      <c r="T35" s="30">
        <f>33*0.83</f>
        <v>27.389999999999997</v>
      </c>
      <c r="U35" s="30">
        <f>129*0.83</f>
        <v>107.07</v>
      </c>
      <c r="V35" s="30">
        <f>510*0.5</f>
        <v>255</v>
      </c>
      <c r="W35" s="58">
        <f t="shared" si="5"/>
        <v>6372.2549999999992</v>
      </c>
      <c r="X35" s="42">
        <f t="shared" si="7"/>
        <v>9564.114999999998</v>
      </c>
    </row>
    <row r="36" spans="1:24" ht="15.75" x14ac:dyDescent="0.25">
      <c r="A36" s="56" t="s">
        <v>36</v>
      </c>
      <c r="B36" s="30">
        <f t="shared" si="4"/>
        <v>1512.26</v>
      </c>
      <c r="C36" s="30">
        <f>5547*0.67</f>
        <v>3716.4900000000002</v>
      </c>
      <c r="D36" s="30">
        <f>890*1.88</f>
        <v>1673.1999999999998</v>
      </c>
      <c r="E36" s="30">
        <f>1207*0.83</f>
        <v>1001.81</v>
      </c>
      <c r="F36" s="30">
        <f>471*1.33</f>
        <v>626.43000000000006</v>
      </c>
      <c r="G36" s="30">
        <f>43*1.17</f>
        <v>50.309999999999995</v>
      </c>
      <c r="H36" s="30">
        <v>359</v>
      </c>
      <c r="I36" s="57">
        <f t="shared" si="6"/>
        <v>8939.5</v>
      </c>
      <c r="J36" s="30">
        <f>384*0.83</f>
        <v>318.71999999999997</v>
      </c>
      <c r="K36" s="30">
        <v>0</v>
      </c>
      <c r="L36" s="30">
        <f>344*16</f>
        <v>5504</v>
      </c>
      <c r="M36" s="30">
        <f>172*0.83</f>
        <v>142.76</v>
      </c>
      <c r="N36" s="30">
        <f>13323*0.83</f>
        <v>11058.09</v>
      </c>
      <c r="O36" s="30">
        <f>3478*1.5</f>
        <v>5217</v>
      </c>
      <c r="P36" s="30">
        <v>308</v>
      </c>
      <c r="Q36" s="30">
        <f>167*3.083</f>
        <v>514.86099999999999</v>
      </c>
      <c r="R36" s="30">
        <f>344*0.5</f>
        <v>172</v>
      </c>
      <c r="S36" s="30">
        <v>0</v>
      </c>
      <c r="T36" s="30">
        <f>343*0.83</f>
        <v>284.69</v>
      </c>
      <c r="U36" s="30">
        <f>345*0.83</f>
        <v>286.34999999999997</v>
      </c>
      <c r="V36" s="30">
        <f>755*0.5</f>
        <v>377.5</v>
      </c>
      <c r="W36" s="58">
        <f t="shared" si="5"/>
        <v>24183.970999999998</v>
      </c>
      <c r="X36" s="42">
        <f t="shared" si="7"/>
        <v>33123.470999999998</v>
      </c>
    </row>
    <row r="37" spans="1:24" ht="15.75" x14ac:dyDescent="0.25">
      <c r="A37" s="56" t="s">
        <v>37</v>
      </c>
      <c r="B37" s="30">
        <f t="shared" si="4"/>
        <v>587.64</v>
      </c>
      <c r="C37" s="30">
        <f>3134*0.67</f>
        <v>2099.7800000000002</v>
      </c>
      <c r="D37" s="30">
        <f>883*1.88</f>
        <v>1660.04</v>
      </c>
      <c r="E37" s="30">
        <f>729*0.83</f>
        <v>605.06999999999994</v>
      </c>
      <c r="F37" s="30">
        <f>227*1.33</f>
        <v>301.91000000000003</v>
      </c>
      <c r="G37" s="30">
        <f>9*1.17</f>
        <v>10.53</v>
      </c>
      <c r="H37" s="30">
        <v>128</v>
      </c>
      <c r="I37" s="57">
        <f t="shared" si="6"/>
        <v>5392.9699999999993</v>
      </c>
      <c r="J37" s="30">
        <f>3150*0.83</f>
        <v>2614.5</v>
      </c>
      <c r="K37" s="30">
        <v>0</v>
      </c>
      <c r="L37" s="30">
        <f>173*16</f>
        <v>2768</v>
      </c>
      <c r="M37" s="30">
        <f>99*0.83</f>
        <v>82.17</v>
      </c>
      <c r="N37" s="30">
        <f>5555*0.83</f>
        <v>4610.6499999999996</v>
      </c>
      <c r="O37" s="30">
        <f>2026*1.5</f>
        <v>3039</v>
      </c>
      <c r="P37" s="30">
        <v>223</v>
      </c>
      <c r="Q37" s="30">
        <f>65*3.083</f>
        <v>200.39500000000001</v>
      </c>
      <c r="R37" s="30">
        <f>173*0.5</f>
        <v>86.5</v>
      </c>
      <c r="S37" s="30">
        <v>0</v>
      </c>
      <c r="T37" s="30">
        <f>122*0.83</f>
        <v>101.25999999999999</v>
      </c>
      <c r="U37" s="30">
        <f>148*0.83</f>
        <v>122.83999999999999</v>
      </c>
      <c r="V37" s="30">
        <f>703*0.5</f>
        <v>351.5</v>
      </c>
      <c r="W37" s="58">
        <f t="shared" si="5"/>
        <v>14199.815000000001</v>
      </c>
      <c r="X37" s="42">
        <f t="shared" si="7"/>
        <v>19592.785</v>
      </c>
    </row>
    <row r="38" spans="1:24" ht="15.75" x14ac:dyDescent="0.25">
      <c r="A38" s="56" t="s">
        <v>38</v>
      </c>
      <c r="B38" s="30">
        <f t="shared" si="4"/>
        <v>610.88</v>
      </c>
      <c r="C38" s="30">
        <f>4538*0.67</f>
        <v>3040.46</v>
      </c>
      <c r="D38" s="30">
        <f>1109*1.88</f>
        <v>2084.92</v>
      </c>
      <c r="E38" s="30">
        <f>962*0.83</f>
        <v>798.45999999999992</v>
      </c>
      <c r="F38" s="30">
        <f>268*1.33</f>
        <v>356.44</v>
      </c>
      <c r="G38" s="30">
        <f>19*1.17</f>
        <v>22.229999999999997</v>
      </c>
      <c r="H38" s="30">
        <v>176</v>
      </c>
      <c r="I38" s="57">
        <f t="shared" si="6"/>
        <v>7089.3899999999994</v>
      </c>
      <c r="J38" s="30">
        <f>1744*0.83</f>
        <v>1447.52</v>
      </c>
      <c r="K38" s="30">
        <f>1*0.83</f>
        <v>0.83</v>
      </c>
      <c r="L38" s="30">
        <f>337*16</f>
        <v>5392</v>
      </c>
      <c r="M38" s="30">
        <f>104*0.83</f>
        <v>86.32</v>
      </c>
      <c r="N38" s="30">
        <f>7088*0.83</f>
        <v>5883.04</v>
      </c>
      <c r="O38" s="30">
        <f>2661*1.5</f>
        <v>3991.5</v>
      </c>
      <c r="P38" s="30">
        <v>324</v>
      </c>
      <c r="Q38" s="30">
        <f>114*3.083</f>
        <v>351.46200000000005</v>
      </c>
      <c r="R38" s="30">
        <f>337*0.5</f>
        <v>168.5</v>
      </c>
      <c r="S38" s="30">
        <v>0</v>
      </c>
      <c r="T38" s="30">
        <f>85*0.83</f>
        <v>70.55</v>
      </c>
      <c r="U38" s="30">
        <f>477*0.83</f>
        <v>395.90999999999997</v>
      </c>
      <c r="V38" s="30">
        <f>1245*0.5</f>
        <v>622.5</v>
      </c>
      <c r="W38" s="58">
        <f t="shared" si="5"/>
        <v>18734.131999999998</v>
      </c>
      <c r="X38" s="42">
        <f t="shared" si="7"/>
        <v>25823.521999999997</v>
      </c>
    </row>
    <row r="39" spans="1:24" ht="15.75" x14ac:dyDescent="0.25">
      <c r="A39" s="56" t="s">
        <v>39</v>
      </c>
      <c r="B39" s="30">
        <f t="shared" si="4"/>
        <v>319.55</v>
      </c>
      <c r="C39" s="30">
        <f>1459*0.67</f>
        <v>977.53000000000009</v>
      </c>
      <c r="D39" s="30">
        <f>414*1.88</f>
        <v>778.31999999999994</v>
      </c>
      <c r="E39" s="30">
        <f>319*0.83</f>
        <v>264.77</v>
      </c>
      <c r="F39" s="30">
        <f>85*1.33</f>
        <v>113.05000000000001</v>
      </c>
      <c r="G39" s="30">
        <f>8*1.17</f>
        <v>9.36</v>
      </c>
      <c r="H39" s="30">
        <v>60</v>
      </c>
      <c r="I39" s="57">
        <f t="shared" si="6"/>
        <v>2522.5800000000004</v>
      </c>
      <c r="J39" s="30">
        <f>479*0.83</f>
        <v>397.57</v>
      </c>
      <c r="K39" s="30">
        <f>2*0.83</f>
        <v>1.66</v>
      </c>
      <c r="L39" s="30">
        <f>68*16</f>
        <v>1088</v>
      </c>
      <c r="M39" s="30">
        <f>57*0.83</f>
        <v>47.309999999999995</v>
      </c>
      <c r="N39" s="30">
        <f>2674*0.83</f>
        <v>2219.42</v>
      </c>
      <c r="O39" s="30">
        <f>956*1.5</f>
        <v>1434</v>
      </c>
      <c r="P39" s="30">
        <v>76</v>
      </c>
      <c r="Q39" s="30">
        <f>52*3.083</f>
        <v>160.316</v>
      </c>
      <c r="R39" s="30">
        <f>68*0.5</f>
        <v>34</v>
      </c>
      <c r="S39" s="30">
        <f>1*0.62</f>
        <v>0.62</v>
      </c>
      <c r="T39" s="30">
        <f>57*0.83</f>
        <v>47.309999999999995</v>
      </c>
      <c r="U39" s="30">
        <f>197*0.83</f>
        <v>163.51</v>
      </c>
      <c r="V39" s="30">
        <f>566*0.5</f>
        <v>283</v>
      </c>
      <c r="W39" s="58">
        <f t="shared" si="5"/>
        <v>5952.7160000000003</v>
      </c>
      <c r="X39" s="42">
        <f t="shared" si="7"/>
        <v>8475.2960000000003</v>
      </c>
    </row>
    <row r="40" spans="1:24" ht="15.75" x14ac:dyDescent="0.25">
      <c r="A40" s="59" t="s">
        <v>40</v>
      </c>
      <c r="B40" s="30">
        <f t="shared" si="4"/>
        <v>127.82</v>
      </c>
      <c r="C40" s="30">
        <f>1237*0.67</f>
        <v>828.79000000000008</v>
      </c>
      <c r="D40" s="30">
        <f>398*1.88</f>
        <v>748.24</v>
      </c>
      <c r="E40" s="30">
        <f>272*0.83</f>
        <v>225.76</v>
      </c>
      <c r="F40" s="30">
        <f>76*1.33</f>
        <v>101.08000000000001</v>
      </c>
      <c r="G40" s="30">
        <f>12*1.17</f>
        <v>14.04</v>
      </c>
      <c r="H40" s="30">
        <v>57</v>
      </c>
      <c r="I40" s="57">
        <f t="shared" si="6"/>
        <v>2102.73</v>
      </c>
      <c r="J40" s="30">
        <f>619*0.83</f>
        <v>513.77</v>
      </c>
      <c r="K40" s="30">
        <v>0</v>
      </c>
      <c r="L40" s="30">
        <f>95*16</f>
        <v>1520</v>
      </c>
      <c r="M40" s="30">
        <f>46*0.83</f>
        <v>38.18</v>
      </c>
      <c r="N40" s="30">
        <f>2353*0.83</f>
        <v>1952.99</v>
      </c>
      <c r="O40" s="30">
        <f>708*1.5</f>
        <v>1062</v>
      </c>
      <c r="P40" s="30">
        <v>85</v>
      </c>
      <c r="Q40" s="30">
        <f>42*3.083</f>
        <v>129.48600000000002</v>
      </c>
      <c r="R40" s="30">
        <f>95*0.5</f>
        <v>47.5</v>
      </c>
      <c r="S40" s="30">
        <f>1*0.62</f>
        <v>0.62</v>
      </c>
      <c r="T40" s="30">
        <f>27*0.83</f>
        <v>22.41</v>
      </c>
      <c r="U40" s="30">
        <f>172*0.83</f>
        <v>142.76</v>
      </c>
      <c r="V40" s="30">
        <f>375*0.5</f>
        <v>187.5</v>
      </c>
      <c r="W40" s="58">
        <f t="shared" si="5"/>
        <v>5702.2159999999994</v>
      </c>
      <c r="X40" s="42">
        <f t="shared" si="7"/>
        <v>7804.9459999999999</v>
      </c>
    </row>
    <row r="41" spans="1:24" ht="15.75" x14ac:dyDescent="0.25">
      <c r="A41" s="56" t="s">
        <v>41</v>
      </c>
      <c r="B41" s="30">
        <f t="shared" si="4"/>
        <v>432.43</v>
      </c>
      <c r="C41" s="30">
        <f>1764*0.67</f>
        <v>1181.8800000000001</v>
      </c>
      <c r="D41" s="30">
        <f>580*1.88</f>
        <v>1090.3999999999999</v>
      </c>
      <c r="E41" s="30">
        <f>476*0.83</f>
        <v>395.08</v>
      </c>
      <c r="F41" s="30">
        <f>148*1.33</f>
        <v>196.84</v>
      </c>
      <c r="G41" s="30">
        <f>5*1.17</f>
        <v>5.85</v>
      </c>
      <c r="H41" s="30">
        <v>65</v>
      </c>
      <c r="I41" s="57">
        <f t="shared" si="6"/>
        <v>3367.48</v>
      </c>
      <c r="J41" s="30">
        <f>527*0.83</f>
        <v>437.40999999999997</v>
      </c>
      <c r="K41" s="30">
        <v>0</v>
      </c>
      <c r="L41" s="30">
        <f>118*16</f>
        <v>1888</v>
      </c>
      <c r="M41" s="30">
        <f>33*0.83</f>
        <v>27.389999999999997</v>
      </c>
      <c r="N41" s="30">
        <f>3439*0.83</f>
        <v>2854.37</v>
      </c>
      <c r="O41" s="30">
        <f>1112*1.5</f>
        <v>1668</v>
      </c>
      <c r="P41" s="30">
        <v>107</v>
      </c>
      <c r="Q41" s="30">
        <f>33*3.083</f>
        <v>101.739</v>
      </c>
      <c r="R41" s="30">
        <f>118*0.5</f>
        <v>59</v>
      </c>
      <c r="S41" s="30">
        <v>0</v>
      </c>
      <c r="T41" s="30">
        <f>85*0.83</f>
        <v>70.55</v>
      </c>
      <c r="U41" s="30">
        <f>206*0.83</f>
        <v>170.98</v>
      </c>
      <c r="V41" s="30">
        <f>425*0.5</f>
        <v>212.5</v>
      </c>
      <c r="W41" s="58">
        <f t="shared" si="5"/>
        <v>7596.9389999999994</v>
      </c>
      <c r="X41" s="42">
        <f t="shared" si="7"/>
        <v>10964.419</v>
      </c>
    </row>
    <row r="42" spans="1:24" ht="15.75" x14ac:dyDescent="0.25">
      <c r="A42" s="56" t="s">
        <v>42</v>
      </c>
      <c r="B42" s="30">
        <f t="shared" si="4"/>
        <v>104.58</v>
      </c>
      <c r="C42" s="30">
        <f>627*0.67</f>
        <v>420.09000000000003</v>
      </c>
      <c r="D42" s="30">
        <f>123*1.88</f>
        <v>231.23999999999998</v>
      </c>
      <c r="E42" s="30">
        <f>101*0.83</f>
        <v>83.83</v>
      </c>
      <c r="F42" s="30">
        <f>48*1.33</f>
        <v>63.84</v>
      </c>
      <c r="G42" s="30">
        <f>1*1.17</f>
        <v>1.17</v>
      </c>
      <c r="H42" s="30">
        <v>13</v>
      </c>
      <c r="I42" s="57">
        <f t="shared" si="6"/>
        <v>917.75000000000011</v>
      </c>
      <c r="J42" s="30">
        <f>451*0.83</f>
        <v>374.33</v>
      </c>
      <c r="K42" s="30">
        <v>0</v>
      </c>
      <c r="L42" s="30">
        <f>53*16</f>
        <v>848</v>
      </c>
      <c r="M42" s="30">
        <f>12*0.83</f>
        <v>9.9599999999999991</v>
      </c>
      <c r="N42" s="30">
        <f>1085*0.83</f>
        <v>900.55</v>
      </c>
      <c r="O42" s="30">
        <f>319*1.5</f>
        <v>478.5</v>
      </c>
      <c r="P42" s="30">
        <v>37</v>
      </c>
      <c r="Q42" s="30">
        <f>12*3.083</f>
        <v>36.996000000000002</v>
      </c>
      <c r="R42" s="30">
        <f>53*0.5</f>
        <v>26.5</v>
      </c>
      <c r="S42" s="30">
        <v>0</v>
      </c>
      <c r="T42" s="30">
        <f>10*0.83</f>
        <v>8.2999999999999989</v>
      </c>
      <c r="U42" s="30">
        <f>57*0.83</f>
        <v>47.309999999999995</v>
      </c>
      <c r="V42" s="30">
        <f>149*0.5</f>
        <v>74.5</v>
      </c>
      <c r="W42" s="58">
        <f t="shared" si="5"/>
        <v>2841.9460000000004</v>
      </c>
      <c r="X42" s="42">
        <f t="shared" si="7"/>
        <v>3759.6960000000004</v>
      </c>
    </row>
    <row r="43" spans="1:24" ht="15.75" x14ac:dyDescent="0.25">
      <c r="A43" s="56" t="s">
        <v>43</v>
      </c>
      <c r="B43" s="30">
        <f t="shared" si="4"/>
        <v>269.75</v>
      </c>
      <c r="C43" s="30">
        <f>972*0.67</f>
        <v>651.24</v>
      </c>
      <c r="D43" s="30">
        <f>201*1.88</f>
        <v>377.88</v>
      </c>
      <c r="E43" s="30">
        <f>336*0.83</f>
        <v>278.88</v>
      </c>
      <c r="F43" s="30">
        <f>71*1.33</f>
        <v>94.43</v>
      </c>
      <c r="G43" s="30">
        <f>3*1.17</f>
        <v>3.51</v>
      </c>
      <c r="H43" s="30">
        <v>68</v>
      </c>
      <c r="I43" s="57">
        <f t="shared" si="6"/>
        <v>1743.69</v>
      </c>
      <c r="J43" s="30">
        <f>117*0.83</f>
        <v>97.11</v>
      </c>
      <c r="K43" s="30">
        <f>1*0.83</f>
        <v>0.83</v>
      </c>
      <c r="L43" s="30">
        <f>15*16</f>
        <v>240</v>
      </c>
      <c r="M43" s="30">
        <f>7*0.83</f>
        <v>5.81</v>
      </c>
      <c r="N43" s="30">
        <f>1700*0.83</f>
        <v>1411</v>
      </c>
      <c r="O43" s="30">
        <f>664*1.5</f>
        <v>996</v>
      </c>
      <c r="P43" s="30">
        <v>25</v>
      </c>
      <c r="Q43" s="30">
        <f>17*3.083</f>
        <v>52.411000000000001</v>
      </c>
      <c r="R43" s="30">
        <f>15*0.5</f>
        <v>7.5</v>
      </c>
      <c r="S43" s="30">
        <f>1*0.62</f>
        <v>0.62</v>
      </c>
      <c r="T43" s="30">
        <f>41*0.83</f>
        <v>34.03</v>
      </c>
      <c r="U43" s="30">
        <f>101*0.83</f>
        <v>83.83</v>
      </c>
      <c r="V43" s="30">
        <f>244*0.5</f>
        <v>122</v>
      </c>
      <c r="W43" s="58">
        <f t="shared" si="5"/>
        <v>3076.1410000000001</v>
      </c>
      <c r="X43" s="42">
        <f t="shared" si="7"/>
        <v>4819.8310000000001</v>
      </c>
    </row>
    <row r="44" spans="1:24" ht="15.75" x14ac:dyDescent="0.25">
      <c r="A44" s="56" t="s">
        <v>44</v>
      </c>
      <c r="B44" s="30">
        <f>424*0.83</f>
        <v>351.91999999999996</v>
      </c>
      <c r="C44" s="30">
        <f>1784*0.67</f>
        <v>1195.28</v>
      </c>
      <c r="D44" s="30">
        <f>426*1.88</f>
        <v>800.88</v>
      </c>
      <c r="E44" s="30">
        <f>339*0.83</f>
        <v>281.37</v>
      </c>
      <c r="F44" s="30">
        <f>92*1.33</f>
        <v>122.36000000000001</v>
      </c>
      <c r="G44" s="30">
        <f>5*1.17</f>
        <v>5.85</v>
      </c>
      <c r="H44" s="30">
        <v>51</v>
      </c>
      <c r="I44" s="57">
        <f t="shared" si="6"/>
        <v>2808.66</v>
      </c>
      <c r="J44" s="30">
        <f>401*0.83</f>
        <v>332.83</v>
      </c>
      <c r="K44" s="30">
        <v>0</v>
      </c>
      <c r="L44" s="30">
        <f>97*16</f>
        <v>1552</v>
      </c>
      <c r="M44" s="30">
        <f>40*0.83</f>
        <v>33.199999999999996</v>
      </c>
      <c r="N44" s="30">
        <f>2818*0.83</f>
        <v>2338.94</v>
      </c>
      <c r="O44" s="30">
        <f>1173*1.5</f>
        <v>1759.5</v>
      </c>
      <c r="P44" s="30">
        <v>113</v>
      </c>
      <c r="Q44" s="30">
        <f>51*3.083</f>
        <v>157.233</v>
      </c>
      <c r="R44" s="30">
        <f>97*0.5</f>
        <v>48.5</v>
      </c>
      <c r="S44" s="30">
        <f>1*0.62</f>
        <v>0.62</v>
      </c>
      <c r="T44" s="30">
        <f>60*0.83</f>
        <v>49.8</v>
      </c>
      <c r="U44" s="30">
        <f>145*0.83</f>
        <v>120.35</v>
      </c>
      <c r="V44" s="30">
        <f>381*0.5</f>
        <v>190.5</v>
      </c>
      <c r="W44" s="58">
        <f t="shared" si="5"/>
        <v>6696.4730000000009</v>
      </c>
      <c r="X44" s="42">
        <f t="shared" si="7"/>
        <v>9505.1330000000016</v>
      </c>
    </row>
    <row r="45" spans="1:24" ht="15.75" x14ac:dyDescent="0.25">
      <c r="A45" s="56" t="s">
        <v>45</v>
      </c>
      <c r="B45" s="30">
        <f>106*0.83</f>
        <v>87.97999999999999</v>
      </c>
      <c r="C45" s="30">
        <f>592*0.67</f>
        <v>396.64000000000004</v>
      </c>
      <c r="D45" s="30">
        <f>135*1.88</f>
        <v>253.79999999999998</v>
      </c>
      <c r="E45" s="30">
        <f>111*0.83</f>
        <v>92.13</v>
      </c>
      <c r="F45" s="30">
        <f>48*1.33</f>
        <v>63.84</v>
      </c>
      <c r="G45" s="30">
        <f>1*1.17</f>
        <v>1.17</v>
      </c>
      <c r="H45" s="30">
        <v>16</v>
      </c>
      <c r="I45" s="57">
        <f t="shared" si="6"/>
        <v>911.56</v>
      </c>
      <c r="J45" s="30">
        <f>163*0.83</f>
        <v>135.29</v>
      </c>
      <c r="K45" s="30">
        <f>1*0.83</f>
        <v>0.83</v>
      </c>
      <c r="L45" s="30">
        <f>38*16</f>
        <v>608</v>
      </c>
      <c r="M45" s="30">
        <f>11*0.83</f>
        <v>9.129999999999999</v>
      </c>
      <c r="N45" s="30">
        <f>1052*0.83</f>
        <v>873.16</v>
      </c>
      <c r="O45" s="30">
        <f>376*1.5</f>
        <v>564</v>
      </c>
      <c r="P45" s="30">
        <v>38</v>
      </c>
      <c r="Q45" s="30">
        <f>6*3.083</f>
        <v>18.498000000000001</v>
      </c>
      <c r="R45" s="30">
        <f>38*0.5</f>
        <v>19</v>
      </c>
      <c r="S45" s="30">
        <v>0</v>
      </c>
      <c r="T45" s="30">
        <f>22*0.83</f>
        <v>18.259999999999998</v>
      </c>
      <c r="U45" s="30">
        <f>52*0.83</f>
        <v>43.16</v>
      </c>
      <c r="V45" s="30">
        <f>159*0.5</f>
        <v>79.5</v>
      </c>
      <c r="W45" s="58">
        <f t="shared" si="5"/>
        <v>2406.828</v>
      </c>
      <c r="X45" s="42">
        <f t="shared" si="7"/>
        <v>3318.3879999999999</v>
      </c>
    </row>
    <row r="46" spans="1:24" ht="15.75" x14ac:dyDescent="0.25">
      <c r="A46" s="56" t="s">
        <v>46</v>
      </c>
      <c r="B46" s="30">
        <f>220*0.83</f>
        <v>182.6</v>
      </c>
      <c r="C46" s="30">
        <f>1130*0.67</f>
        <v>757.1</v>
      </c>
      <c r="D46" s="30">
        <f>279*1.88</f>
        <v>524.52</v>
      </c>
      <c r="E46" s="30">
        <f>219*0.83</f>
        <v>181.76999999999998</v>
      </c>
      <c r="F46" s="30">
        <f>80*1.33</f>
        <v>106.4</v>
      </c>
      <c r="G46" s="30">
        <f>2*1.17</f>
        <v>2.34</v>
      </c>
      <c r="H46" s="30">
        <v>35</v>
      </c>
      <c r="I46" s="57">
        <f t="shared" si="6"/>
        <v>1789.73</v>
      </c>
      <c r="J46" s="30">
        <f>315*0.83</f>
        <v>261.45</v>
      </c>
      <c r="K46" s="30">
        <v>0</v>
      </c>
      <c r="L46" s="30">
        <f>65*16</f>
        <v>1040</v>
      </c>
      <c r="M46" s="30">
        <f>15*0.83</f>
        <v>12.45</v>
      </c>
      <c r="N46" s="30">
        <f>1795*0.83</f>
        <v>1489.85</v>
      </c>
      <c r="O46" s="30">
        <f>586*1.5</f>
        <v>879</v>
      </c>
      <c r="P46" s="30">
        <v>51</v>
      </c>
      <c r="Q46" s="30">
        <f>9*3.083</f>
        <v>27.747</v>
      </c>
      <c r="R46" s="30">
        <f>65*0.5</f>
        <v>32.5</v>
      </c>
      <c r="S46" s="30">
        <v>0</v>
      </c>
      <c r="T46" s="30">
        <f>36*0.83</f>
        <v>29.88</v>
      </c>
      <c r="U46" s="30">
        <f>70*0.83</f>
        <v>58.099999999999994</v>
      </c>
      <c r="V46" s="30">
        <f>240*0.5</f>
        <v>120</v>
      </c>
      <c r="W46" s="58">
        <f t="shared" si="5"/>
        <v>4001.9769999999999</v>
      </c>
      <c r="X46" s="42">
        <f t="shared" si="7"/>
        <v>5791.7070000000003</v>
      </c>
    </row>
    <row r="47" spans="1:24" ht="15.75" x14ac:dyDescent="0.25">
      <c r="A47" s="56" t="s">
        <v>47</v>
      </c>
      <c r="B47" s="30">
        <f>231*0.83</f>
        <v>191.73</v>
      </c>
      <c r="C47" s="30">
        <f>963*0.67</f>
        <v>645.21</v>
      </c>
      <c r="D47" s="30">
        <f>258*1.88</f>
        <v>485.03999999999996</v>
      </c>
      <c r="E47" s="30">
        <f>212*0.83</f>
        <v>175.95999999999998</v>
      </c>
      <c r="F47" s="30">
        <f>71*1.33</f>
        <v>94.43</v>
      </c>
      <c r="G47" s="30">
        <f>4*1.17</f>
        <v>4.68</v>
      </c>
      <c r="H47" s="30">
        <v>33</v>
      </c>
      <c r="I47" s="57">
        <f t="shared" si="6"/>
        <v>1630.0500000000002</v>
      </c>
      <c r="J47" s="30">
        <f>580*0.83</f>
        <v>481.4</v>
      </c>
      <c r="K47" s="30">
        <v>0</v>
      </c>
      <c r="L47" s="30">
        <f>48*16</f>
        <v>768</v>
      </c>
      <c r="M47" s="30">
        <f>30*0.83</f>
        <v>24.9</v>
      </c>
      <c r="N47" s="30">
        <f>1593*0.83</f>
        <v>1322.1899999999998</v>
      </c>
      <c r="O47" s="30">
        <f>653*1.5</f>
        <v>979.5</v>
      </c>
      <c r="P47" s="30">
        <v>73</v>
      </c>
      <c r="Q47" s="30">
        <f>38*3.083</f>
        <v>117.15400000000001</v>
      </c>
      <c r="R47" s="30">
        <f>48*0.5</f>
        <v>24</v>
      </c>
      <c r="S47" s="30">
        <f>1*0.62</f>
        <v>0.62</v>
      </c>
      <c r="T47" s="30">
        <f>22*0.83</f>
        <v>18.259999999999998</v>
      </c>
      <c r="U47" s="30">
        <f>92*0.83</f>
        <v>76.36</v>
      </c>
      <c r="V47" s="30">
        <f>242*0.5</f>
        <v>121</v>
      </c>
      <c r="W47" s="58">
        <f t="shared" si="5"/>
        <v>4006.384</v>
      </c>
      <c r="X47" s="42">
        <f t="shared" si="7"/>
        <v>5636.4340000000002</v>
      </c>
    </row>
    <row r="48" spans="1:24" ht="15.75" x14ac:dyDescent="0.25">
      <c r="A48" s="60" t="s">
        <v>48</v>
      </c>
      <c r="B48" s="30">
        <f>427*0.83</f>
        <v>354.40999999999997</v>
      </c>
      <c r="C48" s="30">
        <f>1439*0.67</f>
        <v>964.13000000000011</v>
      </c>
      <c r="D48" s="30">
        <f>376*1.88</f>
        <v>706.88</v>
      </c>
      <c r="E48" s="30">
        <f>345*0.83</f>
        <v>286.34999999999997</v>
      </c>
      <c r="F48" s="30">
        <f>90*1.33</f>
        <v>119.7</v>
      </c>
      <c r="G48" s="30">
        <f>12*1.17</f>
        <v>14.04</v>
      </c>
      <c r="H48" s="30">
        <v>49</v>
      </c>
      <c r="I48" s="57">
        <f t="shared" si="6"/>
        <v>2494.5099999999998</v>
      </c>
      <c r="J48" s="30">
        <f>666*0.83</f>
        <v>552.78</v>
      </c>
      <c r="K48" s="30">
        <v>0</v>
      </c>
      <c r="L48" s="30">
        <f>60*16</f>
        <v>960</v>
      </c>
      <c r="M48" s="30">
        <f>29*0.83</f>
        <v>24.07</v>
      </c>
      <c r="N48" s="30">
        <f>2680*0.83</f>
        <v>2224.4</v>
      </c>
      <c r="O48" s="30">
        <f>992*1.5</f>
        <v>1488</v>
      </c>
      <c r="P48" s="30">
        <v>76</v>
      </c>
      <c r="Q48" s="30">
        <f>28*3.083</f>
        <v>86.324000000000012</v>
      </c>
      <c r="R48" s="30">
        <f>60*0.5</f>
        <v>30</v>
      </c>
      <c r="S48" s="30">
        <v>0</v>
      </c>
      <c r="T48" s="30">
        <f>29*0.83</f>
        <v>24.07</v>
      </c>
      <c r="U48" s="30">
        <f>246*0.83</f>
        <v>204.17999999999998</v>
      </c>
      <c r="V48" s="30">
        <f>325*0.5</f>
        <v>162.5</v>
      </c>
      <c r="W48" s="58">
        <f t="shared" si="5"/>
        <v>5832.3239999999996</v>
      </c>
      <c r="X48" s="42">
        <f t="shared" si="7"/>
        <v>8326.8339999999989</v>
      </c>
    </row>
    <row r="49" spans="1:24" ht="15.75" x14ac:dyDescent="0.25">
      <c r="A49" s="60" t="s">
        <v>49</v>
      </c>
      <c r="B49" s="30">
        <f>435*0.83</f>
        <v>361.04999999999995</v>
      </c>
      <c r="C49" s="30">
        <f>2391*0.67</f>
        <v>1601.97</v>
      </c>
      <c r="D49" s="30">
        <f>584*1.88</f>
        <v>1097.9199999999998</v>
      </c>
      <c r="E49" s="30">
        <f>479*0.83</f>
        <v>397.57</v>
      </c>
      <c r="F49" s="30">
        <f>146*1.33</f>
        <v>194.18</v>
      </c>
      <c r="G49" s="30">
        <f>4*1.17</f>
        <v>4.68</v>
      </c>
      <c r="H49" s="30">
        <v>86</v>
      </c>
      <c r="I49" s="57">
        <f t="shared" si="6"/>
        <v>3743.3699999999994</v>
      </c>
      <c r="J49" s="30">
        <f>594*0.83</f>
        <v>493.02</v>
      </c>
      <c r="K49" s="30">
        <v>0</v>
      </c>
      <c r="L49" s="30">
        <f>31*16</f>
        <v>496</v>
      </c>
      <c r="M49" s="30">
        <f>23*0.83</f>
        <v>19.09</v>
      </c>
      <c r="N49" s="30">
        <f>1365*0.83</f>
        <v>1132.95</v>
      </c>
      <c r="O49" s="30">
        <f>1357*1.5</f>
        <v>2035.5</v>
      </c>
      <c r="P49" s="30">
        <v>38</v>
      </c>
      <c r="Q49" s="30">
        <f>51*3.083</f>
        <v>157.233</v>
      </c>
      <c r="R49" s="30">
        <f>31*0.5</f>
        <v>15.5</v>
      </c>
      <c r="S49" s="30">
        <v>0</v>
      </c>
      <c r="T49" s="30">
        <f>61*0.83</f>
        <v>50.629999999999995</v>
      </c>
      <c r="U49" s="30">
        <f>206*0.83</f>
        <v>170.98</v>
      </c>
      <c r="V49" s="30">
        <f>687*0.5</f>
        <v>343.5</v>
      </c>
      <c r="W49" s="58">
        <f t="shared" si="5"/>
        <v>4952.4029999999993</v>
      </c>
      <c r="X49" s="42">
        <f t="shared" si="7"/>
        <v>8695.7729999999992</v>
      </c>
    </row>
    <row r="50" spans="1:24" ht="15.75" x14ac:dyDescent="0.25">
      <c r="A50" s="60" t="s">
        <v>50</v>
      </c>
      <c r="B50" s="30">
        <f>359*0.83</f>
        <v>297.96999999999997</v>
      </c>
      <c r="C50" s="30">
        <f>996*0.67</f>
        <v>667.32</v>
      </c>
      <c r="D50" s="30">
        <f>396*1.88</f>
        <v>744.4799999999999</v>
      </c>
      <c r="E50" s="30">
        <f>320*0.83</f>
        <v>265.59999999999997</v>
      </c>
      <c r="F50" s="30">
        <f>58*1.33</f>
        <v>77.14</v>
      </c>
      <c r="G50" s="30">
        <f>7*1.17</f>
        <v>8.19</v>
      </c>
      <c r="H50" s="30">
        <v>65</v>
      </c>
      <c r="I50" s="57">
        <f t="shared" si="6"/>
        <v>2125.6999999999998</v>
      </c>
      <c r="J50" s="30">
        <f>241*0.83</f>
        <v>200.03</v>
      </c>
      <c r="K50" s="30">
        <v>0</v>
      </c>
      <c r="L50" s="30">
        <f>95*16</f>
        <v>1520</v>
      </c>
      <c r="M50" s="30">
        <f>15*0.83</f>
        <v>12.45</v>
      </c>
      <c r="N50" s="30">
        <f>1802*0.83</f>
        <v>1495.6599999999999</v>
      </c>
      <c r="O50" s="30">
        <f>743*1.5</f>
        <v>1114.5</v>
      </c>
      <c r="P50" s="30">
        <v>141</v>
      </c>
      <c r="Q50" s="30">
        <f>28*3.083</f>
        <v>86.324000000000012</v>
      </c>
      <c r="R50" s="30">
        <f>95*0.5</f>
        <v>47.5</v>
      </c>
      <c r="S50" s="30">
        <v>0</v>
      </c>
      <c r="T50" s="30">
        <f>39*0.83</f>
        <v>32.369999999999997</v>
      </c>
      <c r="U50" s="30">
        <f>139*0.83</f>
        <v>115.36999999999999</v>
      </c>
      <c r="V50" s="30">
        <f>425*0.5</f>
        <v>212.5</v>
      </c>
      <c r="W50" s="58">
        <f t="shared" si="5"/>
        <v>4977.7039999999988</v>
      </c>
      <c r="X50" s="42">
        <f t="shared" si="7"/>
        <v>7103.4039999999986</v>
      </c>
    </row>
    <row r="51" spans="1:24" ht="15.75" x14ac:dyDescent="0.25">
      <c r="A51" s="52" t="s">
        <v>102</v>
      </c>
      <c r="B51" s="30">
        <f t="shared" ref="B51:X51" si="8">SUM(B33:B50)</f>
        <v>6527.12</v>
      </c>
      <c r="C51" s="30">
        <f t="shared" si="8"/>
        <v>21596.780000000002</v>
      </c>
      <c r="D51" s="30">
        <f t="shared" si="8"/>
        <v>15521.279999999995</v>
      </c>
      <c r="E51" s="30">
        <f t="shared" si="8"/>
        <v>6031.61</v>
      </c>
      <c r="F51" s="30">
        <f>SUM(F33:F50)</f>
        <v>3029.74</v>
      </c>
      <c r="G51" s="30">
        <f>SUM(G33:G50)</f>
        <v>170.82</v>
      </c>
      <c r="H51" s="30">
        <f t="shared" si="8"/>
        <v>1359</v>
      </c>
      <c r="I51" s="61">
        <f t="shared" si="8"/>
        <v>54236.350000000013</v>
      </c>
      <c r="J51" s="62">
        <f t="shared" si="8"/>
        <v>9807.2800000000025</v>
      </c>
      <c r="K51" s="63">
        <f t="shared" si="8"/>
        <v>4.1499999999999995</v>
      </c>
      <c r="L51" s="63">
        <f t="shared" si="8"/>
        <v>28704</v>
      </c>
      <c r="M51" s="30">
        <f t="shared" si="8"/>
        <v>621.67000000000019</v>
      </c>
      <c r="N51" s="30">
        <f t="shared" si="8"/>
        <v>46919.900000000009</v>
      </c>
      <c r="O51" s="30">
        <f t="shared" si="8"/>
        <v>29974.5</v>
      </c>
      <c r="P51" s="54">
        <f t="shared" si="8"/>
        <v>1953</v>
      </c>
      <c r="Q51" s="30">
        <f t="shared" si="8"/>
        <v>2376.9930000000004</v>
      </c>
      <c r="R51" s="30">
        <f t="shared" si="8"/>
        <v>897</v>
      </c>
      <c r="S51" s="30">
        <f t="shared" si="8"/>
        <v>4.96</v>
      </c>
      <c r="T51" s="30">
        <f t="shared" si="8"/>
        <v>930.42999999999972</v>
      </c>
      <c r="U51" s="30">
        <f t="shared" si="8"/>
        <v>2460.9499999999994</v>
      </c>
      <c r="V51" s="30">
        <f t="shared" si="8"/>
        <v>4027</v>
      </c>
      <c r="W51" s="54">
        <f t="shared" si="8"/>
        <v>128681.83299999998</v>
      </c>
      <c r="X51" s="55">
        <f t="shared" si="8"/>
        <v>182918.18299999999</v>
      </c>
    </row>
    <row r="52" spans="1:24" ht="110.25" x14ac:dyDescent="0.25">
      <c r="A52" s="64" t="s">
        <v>103</v>
      </c>
      <c r="B52" s="65">
        <f>50/60</f>
        <v>0.83333333333333337</v>
      </c>
      <c r="C52" s="65">
        <f>40/60</f>
        <v>0.66666666666666663</v>
      </c>
      <c r="D52" s="65">
        <f>113/60</f>
        <v>1.8833333333333333</v>
      </c>
      <c r="E52" s="65">
        <f>50/60</f>
        <v>0.83333333333333337</v>
      </c>
      <c r="F52" s="65">
        <f>80/60</f>
        <v>1.3333333333333333</v>
      </c>
      <c r="G52" s="65">
        <f>70/60</f>
        <v>1.1666666666666667</v>
      </c>
      <c r="H52" s="65">
        <f>60/60</f>
        <v>1</v>
      </c>
      <c r="I52" s="65"/>
      <c r="J52" s="65">
        <f>50/60</f>
        <v>0.83333333333333337</v>
      </c>
      <c r="K52" s="65">
        <f>50/60</f>
        <v>0.83333333333333337</v>
      </c>
      <c r="L52" s="65">
        <f>960/60</f>
        <v>16</v>
      </c>
      <c r="M52" s="65">
        <f>50/60</f>
        <v>0.83333333333333337</v>
      </c>
      <c r="N52" s="65">
        <f>50/60</f>
        <v>0.83333333333333337</v>
      </c>
      <c r="O52" s="65">
        <f>90/60</f>
        <v>1.5</v>
      </c>
      <c r="P52" s="65">
        <f>60/60</f>
        <v>1</v>
      </c>
      <c r="Q52" s="65">
        <f>185/60</f>
        <v>3.0833333333333335</v>
      </c>
      <c r="R52" s="65">
        <f>30/60</f>
        <v>0.5</v>
      </c>
      <c r="S52" s="65">
        <f>37/60</f>
        <v>0.6166666666666667</v>
      </c>
      <c r="T52" s="65">
        <f>50/60</f>
        <v>0.83333333333333337</v>
      </c>
      <c r="U52" s="65">
        <f>50/60</f>
        <v>0.83333333333333337</v>
      </c>
      <c r="V52" s="65">
        <f>30/60</f>
        <v>0.5</v>
      </c>
      <c r="W52" s="52"/>
      <c r="X52" s="66"/>
    </row>
    <row r="56" spans="1:24" ht="31.5" x14ac:dyDescent="0.25">
      <c r="A56" s="64" t="s">
        <v>55</v>
      </c>
      <c r="B56" s="30" t="s">
        <v>9</v>
      </c>
      <c r="C56" s="30" t="s">
        <v>114</v>
      </c>
      <c r="D56" s="30" t="s">
        <v>115</v>
      </c>
    </row>
    <row r="57" spans="1:24" ht="15.75" x14ac:dyDescent="0.25">
      <c r="A57" s="30" t="s">
        <v>33</v>
      </c>
      <c r="B57" s="30">
        <v>2.3385242420000001</v>
      </c>
      <c r="C57" s="30">
        <v>4630.2780000000002</v>
      </c>
      <c r="D57" s="30">
        <v>2.5</v>
      </c>
    </row>
    <row r="58" spans="1:24" ht="15.75" x14ac:dyDescent="0.25">
      <c r="A58" s="30" t="s">
        <v>34</v>
      </c>
      <c r="B58" s="30">
        <v>3.021288384</v>
      </c>
      <c r="C58" s="30">
        <v>5982.1509999999998</v>
      </c>
      <c r="D58" s="30">
        <v>3.25</v>
      </c>
    </row>
    <row r="59" spans="1:24" ht="15.75" x14ac:dyDescent="0.25">
      <c r="A59" s="30" t="s">
        <v>35</v>
      </c>
      <c r="B59" s="30">
        <v>4.8303611110000002</v>
      </c>
      <c r="C59" s="30">
        <v>9564.1149999999998</v>
      </c>
      <c r="D59" s="30">
        <v>5</v>
      </c>
    </row>
    <row r="60" spans="1:24" ht="15.75" x14ac:dyDescent="0.25">
      <c r="A60" s="30" t="s">
        <v>36</v>
      </c>
      <c r="B60" s="30">
        <v>16.729025759999999</v>
      </c>
      <c r="C60" s="30">
        <v>33123.470999999998</v>
      </c>
      <c r="D60" s="30">
        <v>16.75</v>
      </c>
    </row>
    <row r="61" spans="1:24" ht="15.75" x14ac:dyDescent="0.25">
      <c r="A61" s="30" t="s">
        <v>37</v>
      </c>
      <c r="B61" s="30">
        <v>9.8953459600000002</v>
      </c>
      <c r="C61" s="30">
        <v>19592.785</v>
      </c>
      <c r="D61" s="30">
        <v>10</v>
      </c>
    </row>
    <row r="62" spans="1:24" ht="15.75" x14ac:dyDescent="0.25">
      <c r="A62" s="30" t="s">
        <v>38</v>
      </c>
      <c r="B62" s="30">
        <v>13.04218283</v>
      </c>
      <c r="C62" s="30">
        <v>25823.522000000001</v>
      </c>
      <c r="D62" s="30">
        <v>13.25</v>
      </c>
    </row>
    <row r="63" spans="1:24" ht="15.75" x14ac:dyDescent="0.25">
      <c r="A63" s="30" t="s">
        <v>39</v>
      </c>
      <c r="B63" s="30">
        <v>4.2804525250000003</v>
      </c>
      <c r="C63" s="30">
        <v>8475.2960000000003</v>
      </c>
      <c r="D63" s="30">
        <v>4.5</v>
      </c>
    </row>
    <row r="64" spans="1:24" ht="15.75" x14ac:dyDescent="0.25">
      <c r="A64" s="30" t="s">
        <v>40</v>
      </c>
      <c r="B64" s="30">
        <v>3.9418919190000001</v>
      </c>
      <c r="C64" s="30">
        <v>7804.9459999999999</v>
      </c>
      <c r="D64" s="30">
        <v>4</v>
      </c>
    </row>
    <row r="65" spans="1:4" ht="15.75" x14ac:dyDescent="0.25">
      <c r="A65" s="30" t="s">
        <v>41</v>
      </c>
      <c r="B65" s="30">
        <v>5.537585354</v>
      </c>
      <c r="C65" s="30">
        <v>10964.419</v>
      </c>
      <c r="D65" s="30">
        <v>6</v>
      </c>
    </row>
    <row r="66" spans="1:4" ht="15.75" x14ac:dyDescent="0.25">
      <c r="A66" s="30" t="s">
        <v>42</v>
      </c>
      <c r="B66" s="30">
        <v>1.8988363640000001</v>
      </c>
      <c r="C66" s="30">
        <v>3759.6959999999999</v>
      </c>
      <c r="D66" s="30">
        <v>2</v>
      </c>
    </row>
    <row r="67" spans="1:4" ht="15.75" x14ac:dyDescent="0.25">
      <c r="A67" s="30" t="s">
        <v>43</v>
      </c>
      <c r="B67" s="30">
        <v>2.4342580809999999</v>
      </c>
      <c r="C67" s="30">
        <v>4819.8310000000001</v>
      </c>
      <c r="D67" s="30">
        <v>2.5</v>
      </c>
    </row>
    <row r="68" spans="1:4" ht="15.75" x14ac:dyDescent="0.25">
      <c r="A68" s="30" t="s">
        <v>44</v>
      </c>
      <c r="B68" s="30">
        <v>4.8005722219999996</v>
      </c>
      <c r="C68" s="30">
        <v>9505.1329999999998</v>
      </c>
      <c r="D68" s="30">
        <v>5</v>
      </c>
    </row>
    <row r="69" spans="1:4" ht="15.75" x14ac:dyDescent="0.25">
      <c r="A69" s="30" t="s">
        <v>45</v>
      </c>
      <c r="B69" s="30">
        <v>1.6759535350000001</v>
      </c>
      <c r="C69" s="30">
        <v>3318.3879999999999</v>
      </c>
      <c r="D69" s="30">
        <v>2</v>
      </c>
    </row>
    <row r="70" spans="1:4" ht="15.75" x14ac:dyDescent="0.25">
      <c r="A70" s="30" t="s">
        <v>46</v>
      </c>
      <c r="B70" s="30">
        <v>2.9251045449999999</v>
      </c>
      <c r="C70" s="30">
        <v>5791.7070000000003</v>
      </c>
      <c r="D70" s="30">
        <v>3</v>
      </c>
    </row>
    <row r="71" spans="1:4" ht="15.75" x14ac:dyDescent="0.25">
      <c r="A71" s="30" t="s">
        <v>47</v>
      </c>
      <c r="B71" s="30">
        <v>2.8466838380000001</v>
      </c>
      <c r="C71" s="30">
        <v>5636.4340000000002</v>
      </c>
      <c r="D71" s="30">
        <v>3</v>
      </c>
    </row>
    <row r="72" spans="1:4" ht="15.75" x14ac:dyDescent="0.25">
      <c r="A72" s="30" t="s">
        <v>48</v>
      </c>
      <c r="B72" s="30">
        <v>4.205471717</v>
      </c>
      <c r="C72" s="30">
        <v>8326.8340000000007</v>
      </c>
      <c r="D72" s="30">
        <v>4.25</v>
      </c>
    </row>
    <row r="73" spans="1:4" ht="15.75" x14ac:dyDescent="0.25">
      <c r="A73" s="30" t="s">
        <v>49</v>
      </c>
      <c r="B73" s="30">
        <v>4.3918045450000003</v>
      </c>
      <c r="C73" s="30">
        <v>8695.7729999999992</v>
      </c>
      <c r="D73" s="30">
        <v>4.5</v>
      </c>
    </row>
    <row r="74" spans="1:4" ht="15.75" x14ac:dyDescent="0.25">
      <c r="A74" s="30" t="s">
        <v>50</v>
      </c>
      <c r="B74" s="30">
        <v>3.587577778</v>
      </c>
      <c r="C74" s="30">
        <v>7103.4040000000005</v>
      </c>
      <c r="D74" s="30">
        <v>3.75</v>
      </c>
    </row>
    <row r="75" spans="1:4" ht="15.75" x14ac:dyDescent="0.25">
      <c r="A75" s="30" t="s">
        <v>51</v>
      </c>
      <c r="B75" s="30">
        <v>92.382920709999993</v>
      </c>
      <c r="C75" s="30">
        <v>182918.18299999999</v>
      </c>
      <c r="D75" s="30">
        <f>SUM(D57:D74)</f>
        <v>95.25</v>
      </c>
    </row>
  </sheetData>
  <mergeCells count="2">
    <mergeCell ref="A2:F2"/>
    <mergeCell ref="A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B1" workbookViewId="0">
      <selection activeCell="N3" sqref="N3:O3"/>
    </sheetView>
  </sheetViews>
  <sheetFormatPr defaultRowHeight="15" x14ac:dyDescent="0.25"/>
  <cols>
    <col min="1" max="1" width="23.5703125" style="29" customWidth="1"/>
    <col min="2" max="2" width="13.140625" customWidth="1"/>
    <col min="3" max="3" width="14.5703125" customWidth="1"/>
    <col min="4" max="4" width="14.42578125" customWidth="1"/>
    <col min="5" max="5" width="17.85546875" customWidth="1"/>
    <col min="6" max="8" width="14.42578125" customWidth="1"/>
    <col min="9" max="9" width="25.5703125" customWidth="1"/>
    <col min="10" max="10" width="24.7109375" customWidth="1"/>
    <col min="11" max="11" width="22.140625" customWidth="1"/>
    <col min="12" max="13" width="15.7109375" customWidth="1"/>
    <col min="14" max="14" width="20.5703125" customWidth="1"/>
    <col min="15" max="15" width="20.85546875" customWidth="1"/>
  </cols>
  <sheetData>
    <row r="2" spans="1:15" ht="16.5" x14ac:dyDescent="0.25">
      <c r="B2" s="92" t="s">
        <v>118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ht="78.75" x14ac:dyDescent="0.3">
      <c r="A3" s="1" t="s">
        <v>31</v>
      </c>
      <c r="B3" s="64" t="s">
        <v>119</v>
      </c>
      <c r="C3" s="64" t="s">
        <v>131</v>
      </c>
      <c r="D3" s="64" t="s">
        <v>120</v>
      </c>
      <c r="E3" s="64" t="s">
        <v>121</v>
      </c>
      <c r="F3" s="64" t="s">
        <v>122</v>
      </c>
      <c r="G3" s="64" t="s">
        <v>132</v>
      </c>
      <c r="H3" s="64" t="s">
        <v>123</v>
      </c>
      <c r="I3" s="69" t="s">
        <v>124</v>
      </c>
      <c r="J3" s="85" t="s">
        <v>125</v>
      </c>
      <c r="K3" s="7" t="s">
        <v>126</v>
      </c>
      <c r="L3" s="30" t="s">
        <v>127</v>
      </c>
      <c r="M3" s="64" t="s">
        <v>128</v>
      </c>
      <c r="N3" s="86" t="s">
        <v>129</v>
      </c>
      <c r="O3" s="86" t="s">
        <v>130</v>
      </c>
    </row>
    <row r="4" spans="1:15" ht="18.75" x14ac:dyDescent="0.3">
      <c r="A4" s="3"/>
      <c r="B4" s="30"/>
      <c r="C4" s="30"/>
      <c r="D4" s="30"/>
      <c r="E4" s="30"/>
      <c r="F4" s="30"/>
      <c r="G4" s="30"/>
      <c r="H4" s="30"/>
      <c r="I4" s="65"/>
      <c r="J4" s="28"/>
      <c r="K4" s="30"/>
      <c r="L4" s="30"/>
      <c r="M4" s="30"/>
      <c r="N4" s="28"/>
      <c r="O4" s="28"/>
    </row>
    <row r="5" spans="1:15" ht="15.75" x14ac:dyDescent="0.25">
      <c r="A5" s="70" t="s">
        <v>33</v>
      </c>
      <c r="B5" s="75">
        <v>3</v>
      </c>
      <c r="C5" s="75">
        <v>0</v>
      </c>
      <c r="D5" s="75">
        <v>3</v>
      </c>
      <c r="E5" s="75">
        <f>1899274.98/D5/12</f>
        <v>52757.638333333336</v>
      </c>
      <c r="F5" s="75">
        <v>3</v>
      </c>
      <c r="G5" s="75">
        <v>0</v>
      </c>
      <c r="H5" s="75">
        <f>F5+G5</f>
        <v>3</v>
      </c>
      <c r="I5" s="75">
        <f>1879881.92/H5/12</f>
        <v>52218.94222222222</v>
      </c>
      <c r="J5" s="87">
        <f>(K5-L5)/H5/12</f>
        <v>42466.673848665159</v>
      </c>
      <c r="K5" s="87">
        <v>1834560.31</v>
      </c>
      <c r="L5" s="87">
        <v>305760.05144805432</v>
      </c>
      <c r="M5" s="87">
        <v>2.5</v>
      </c>
      <c r="N5" s="87">
        <f>O5/1.302/12/M5</f>
        <v>48681.581732283463</v>
      </c>
      <c r="O5" s="87">
        <v>1901502.5824629921</v>
      </c>
    </row>
    <row r="6" spans="1:15" ht="15.75" x14ac:dyDescent="0.25">
      <c r="A6" s="88" t="s">
        <v>34</v>
      </c>
      <c r="B6" s="75">
        <v>3</v>
      </c>
      <c r="C6" s="75">
        <v>0</v>
      </c>
      <c r="D6" s="75">
        <v>3</v>
      </c>
      <c r="E6" s="75">
        <f>1684207.41/D6/12</f>
        <v>46783.539166666662</v>
      </c>
      <c r="F6" s="75">
        <v>3</v>
      </c>
      <c r="G6" s="75">
        <v>0</v>
      </c>
      <c r="H6" s="75">
        <f t="shared" ref="H6:H23" si="0">F6+G6</f>
        <v>3</v>
      </c>
      <c r="I6" s="75">
        <f>1747402.96/H6/12</f>
        <v>48538.97111111111</v>
      </c>
      <c r="J6" s="87">
        <f t="shared" ref="J6:J22" si="1">(K6-L6)/H6/12</f>
        <v>46042.939588820263</v>
      </c>
      <c r="K6" s="87">
        <v>1989054.99</v>
      </c>
      <c r="L6" s="87">
        <v>331509.16480247065</v>
      </c>
      <c r="M6" s="87">
        <v>3.25</v>
      </c>
      <c r="N6" s="87">
        <f t="shared" ref="N6:N22" si="2">O6/1.302/12/M6</f>
        <v>56477.741732283452</v>
      </c>
      <c r="O6" s="87">
        <v>2867826.7696818891</v>
      </c>
    </row>
    <row r="7" spans="1:15" ht="15.75" x14ac:dyDescent="0.25">
      <c r="A7" s="76" t="s">
        <v>35</v>
      </c>
      <c r="B7" s="75">
        <v>5</v>
      </c>
      <c r="C7" s="75">
        <v>0</v>
      </c>
      <c r="D7" s="75">
        <v>5</v>
      </c>
      <c r="E7" s="75">
        <f>3346836.99/D7/12</f>
        <v>55780.616500000004</v>
      </c>
      <c r="F7" s="75">
        <v>4</v>
      </c>
      <c r="G7" s="75">
        <v>0</v>
      </c>
      <c r="H7" s="75">
        <f t="shared" si="0"/>
        <v>4</v>
      </c>
      <c r="I7" s="75">
        <f>3108011.55/H7/12</f>
        <v>64750.240624999999</v>
      </c>
      <c r="J7" s="87">
        <f t="shared" si="1"/>
        <v>53126.468756331073</v>
      </c>
      <c r="K7" s="87">
        <v>3060084.6</v>
      </c>
      <c r="L7" s="87">
        <v>510014.09969610861</v>
      </c>
      <c r="M7" s="87">
        <v>5</v>
      </c>
      <c r="N7" s="87">
        <f t="shared" si="2"/>
        <v>56477.741732283459</v>
      </c>
      <c r="O7" s="87">
        <v>4412041.1841259841</v>
      </c>
    </row>
    <row r="8" spans="1:15" ht="15.75" x14ac:dyDescent="0.25">
      <c r="A8" s="88" t="s">
        <v>36</v>
      </c>
      <c r="B8" s="75">
        <v>11</v>
      </c>
      <c r="C8" s="75">
        <v>1</v>
      </c>
      <c r="D8" s="75">
        <v>12</v>
      </c>
      <c r="E8" s="75">
        <f>9432037.56/D8/12</f>
        <v>65500.260833333334</v>
      </c>
      <c r="F8" s="75">
        <v>11</v>
      </c>
      <c r="G8" s="75">
        <v>1</v>
      </c>
      <c r="H8" s="75">
        <f t="shared" si="0"/>
        <v>12</v>
      </c>
      <c r="I8" s="75">
        <f>9580149.42/H8/12</f>
        <v>66528.815416666665</v>
      </c>
      <c r="J8" s="87">
        <f t="shared" si="1"/>
        <v>61086.813711236355</v>
      </c>
      <c r="K8" s="87">
        <v>10555801.41</v>
      </c>
      <c r="L8" s="87">
        <v>1759300.235581964</v>
      </c>
      <c r="M8" s="87">
        <v>16.75</v>
      </c>
      <c r="N8" s="87">
        <f t="shared" si="2"/>
        <v>55314.135762134196</v>
      </c>
      <c r="O8" s="87">
        <v>14475819.957222044</v>
      </c>
    </row>
    <row r="9" spans="1:15" ht="15.75" x14ac:dyDescent="0.25">
      <c r="A9" s="88" t="s">
        <v>37</v>
      </c>
      <c r="B9" s="75">
        <v>10</v>
      </c>
      <c r="C9" s="75">
        <v>0</v>
      </c>
      <c r="D9" s="75">
        <v>10</v>
      </c>
      <c r="E9" s="75">
        <f>6357117.74/D9/12</f>
        <v>52975.981166666665</v>
      </c>
      <c r="F9" s="75">
        <v>9</v>
      </c>
      <c r="G9" s="75">
        <v>0</v>
      </c>
      <c r="H9" s="75">
        <f t="shared" si="0"/>
        <v>9</v>
      </c>
      <c r="I9" s="75">
        <f>5965385.52/H9/12</f>
        <v>55235.051111111105</v>
      </c>
      <c r="J9" s="87">
        <f t="shared" si="1"/>
        <v>47223.527690812807</v>
      </c>
      <c r="K9" s="87">
        <v>6120169.1900000004</v>
      </c>
      <c r="L9" s="87">
        <v>1020028.1993922172</v>
      </c>
      <c r="M9" s="87">
        <v>10</v>
      </c>
      <c r="N9" s="87">
        <f t="shared" si="2"/>
        <v>56477.741732283459</v>
      </c>
      <c r="O9" s="87">
        <v>8824082.3682519682</v>
      </c>
    </row>
    <row r="10" spans="1:15" ht="15.75" x14ac:dyDescent="0.25">
      <c r="A10" s="88" t="s">
        <v>38</v>
      </c>
      <c r="B10" s="75">
        <v>12</v>
      </c>
      <c r="C10" s="75">
        <v>3</v>
      </c>
      <c r="D10" s="75">
        <v>15</v>
      </c>
      <c r="E10" s="75">
        <f>7955023.3/D10/12</f>
        <v>44194.573888888881</v>
      </c>
      <c r="F10" s="75">
        <v>12</v>
      </c>
      <c r="G10" s="75">
        <v>3</v>
      </c>
      <c r="H10" s="75">
        <f t="shared" si="0"/>
        <v>15</v>
      </c>
      <c r="I10" s="75">
        <f>6954191.43/H10/12</f>
        <v>38634.396833333332</v>
      </c>
      <c r="J10" s="87">
        <f t="shared" si="1"/>
        <v>41772.121338918405</v>
      </c>
      <c r="K10" s="87">
        <v>9022778.2100000009</v>
      </c>
      <c r="L10" s="87">
        <v>1503796.3689946879</v>
      </c>
      <c r="M10" s="87">
        <v>13.25</v>
      </c>
      <c r="N10" s="87">
        <f t="shared" si="2"/>
        <v>52064.820977566465</v>
      </c>
      <c r="O10" s="87">
        <v>10778355.109133855</v>
      </c>
    </row>
    <row r="11" spans="1:15" ht="15.75" x14ac:dyDescent="0.25">
      <c r="A11" s="88" t="s">
        <v>39</v>
      </c>
      <c r="B11" s="75">
        <v>4</v>
      </c>
      <c r="C11" s="75">
        <v>0</v>
      </c>
      <c r="D11" s="75">
        <v>4</v>
      </c>
      <c r="E11" s="75">
        <f>2621177.74/D11/12</f>
        <v>54607.86958333334</v>
      </c>
      <c r="F11" s="75">
        <v>4</v>
      </c>
      <c r="G11" s="75">
        <v>0</v>
      </c>
      <c r="H11" s="75">
        <f t="shared" si="0"/>
        <v>4</v>
      </c>
      <c r="I11" s="75">
        <f>2572722.26/H11/12</f>
        <v>53598.38041666666</v>
      </c>
      <c r="J11" s="87">
        <f t="shared" si="1"/>
        <v>47813.821880697964</v>
      </c>
      <c r="K11" s="87">
        <v>2754076.14</v>
      </c>
      <c r="L11" s="87">
        <v>459012.6897264978</v>
      </c>
      <c r="M11" s="87">
        <v>4.5</v>
      </c>
      <c r="N11" s="87">
        <f t="shared" si="2"/>
        <v>56477.741732283452</v>
      </c>
      <c r="O11" s="87">
        <v>3970837.0657133851</v>
      </c>
    </row>
    <row r="12" spans="1:15" ht="15.75" x14ac:dyDescent="0.25">
      <c r="A12" s="80" t="s">
        <v>40</v>
      </c>
      <c r="B12" s="75">
        <v>4</v>
      </c>
      <c r="C12" s="75">
        <v>0</v>
      </c>
      <c r="D12" s="75">
        <v>4</v>
      </c>
      <c r="E12" s="75">
        <f>1969413.6/D12/12</f>
        <v>41029.450000000004</v>
      </c>
      <c r="F12" s="75">
        <v>4</v>
      </c>
      <c r="G12" s="75">
        <v>0</v>
      </c>
      <c r="H12" s="75">
        <f t="shared" si="0"/>
        <v>4</v>
      </c>
      <c r="I12" s="75">
        <f>1927510.06/H12/12</f>
        <v>40156.459583333337</v>
      </c>
      <c r="J12" s="87">
        <f t="shared" si="1"/>
        <v>42501.175005064862</v>
      </c>
      <c r="K12" s="87">
        <v>2448067.6800000002</v>
      </c>
      <c r="L12" s="87">
        <v>408011.27975688688</v>
      </c>
      <c r="M12" s="87">
        <v>4</v>
      </c>
      <c r="N12" s="87">
        <f t="shared" si="2"/>
        <v>56477.741732283444</v>
      </c>
      <c r="O12" s="87">
        <v>3529632.9473007866</v>
      </c>
    </row>
    <row r="13" spans="1:15" ht="15.75" x14ac:dyDescent="0.25">
      <c r="A13" s="88" t="s">
        <v>41</v>
      </c>
      <c r="B13" s="75">
        <v>5</v>
      </c>
      <c r="C13" s="75">
        <v>0</v>
      </c>
      <c r="D13" s="75">
        <v>5</v>
      </c>
      <c r="E13" s="75">
        <f>2873349.23/D13/12</f>
        <v>47889.153833333337</v>
      </c>
      <c r="F13" s="75">
        <v>5</v>
      </c>
      <c r="G13" s="75">
        <v>0</v>
      </c>
      <c r="H13" s="75">
        <f t="shared" si="0"/>
        <v>5</v>
      </c>
      <c r="I13" s="75">
        <f>3087789.95/H13/12</f>
        <v>51463.165833333333</v>
      </c>
      <c r="J13" s="87">
        <f t="shared" si="1"/>
        <v>51001.410006077822</v>
      </c>
      <c r="K13" s="87">
        <v>3672101.52</v>
      </c>
      <c r="L13" s="87">
        <v>612016.91963533033</v>
      </c>
      <c r="M13" s="87">
        <v>6</v>
      </c>
      <c r="N13" s="87">
        <f t="shared" si="2"/>
        <v>56477.741732283444</v>
      </c>
      <c r="O13" s="87">
        <v>5294449.4209511802</v>
      </c>
    </row>
    <row r="14" spans="1:15" ht="31.5" x14ac:dyDescent="0.25">
      <c r="A14" s="88" t="s">
        <v>42</v>
      </c>
      <c r="B14" s="75">
        <v>2</v>
      </c>
      <c r="C14" s="75">
        <v>0</v>
      </c>
      <c r="D14" s="75">
        <v>2</v>
      </c>
      <c r="E14" s="75">
        <f>1164725.99/D14/12</f>
        <v>48530.249583333331</v>
      </c>
      <c r="F14" s="75">
        <v>2</v>
      </c>
      <c r="G14" s="75">
        <v>0</v>
      </c>
      <c r="H14" s="75">
        <f t="shared" si="0"/>
        <v>2</v>
      </c>
      <c r="I14" s="75">
        <f>1097516.14/H14/12</f>
        <v>45729.839166666665</v>
      </c>
      <c r="J14" s="87">
        <f t="shared" si="1"/>
        <v>42501.175005064862</v>
      </c>
      <c r="K14" s="87">
        <v>1224033.8400000001</v>
      </c>
      <c r="L14" s="87">
        <v>204005.63987844344</v>
      </c>
      <c r="M14" s="87">
        <v>2</v>
      </c>
      <c r="N14" s="87">
        <f t="shared" si="2"/>
        <v>56477.741732283444</v>
      </c>
      <c r="O14" s="87">
        <v>1764816.4736503933</v>
      </c>
    </row>
    <row r="15" spans="1:15" ht="15.75" x14ac:dyDescent="0.25">
      <c r="A15" s="88" t="s">
        <v>43</v>
      </c>
      <c r="B15" s="75">
        <v>4</v>
      </c>
      <c r="C15" s="75">
        <v>0</v>
      </c>
      <c r="D15" s="75">
        <v>4</v>
      </c>
      <c r="E15" s="75">
        <f>1777043.78/D15/12</f>
        <v>37021.745416666665</v>
      </c>
      <c r="F15" s="75">
        <v>4</v>
      </c>
      <c r="G15" s="75">
        <v>0</v>
      </c>
      <c r="H15" s="75">
        <f t="shared" si="0"/>
        <v>4</v>
      </c>
      <c r="I15" s="75">
        <f>1865884.07/H15/12</f>
        <v>38872.584791666668</v>
      </c>
      <c r="J15" s="87">
        <f t="shared" si="1"/>
        <v>26563.234378165536</v>
      </c>
      <c r="K15" s="87">
        <v>1530042.3</v>
      </c>
      <c r="L15" s="87">
        <v>255007.0498480543</v>
      </c>
      <c r="M15" s="87">
        <v>2.5</v>
      </c>
      <c r="N15" s="87">
        <f t="shared" si="2"/>
        <v>56477.741732283459</v>
      </c>
      <c r="O15" s="87">
        <v>2206020.592062992</v>
      </c>
    </row>
    <row r="16" spans="1:15" ht="15.75" x14ac:dyDescent="0.25">
      <c r="A16" s="88" t="s">
        <v>44</v>
      </c>
      <c r="B16" s="75">
        <v>4</v>
      </c>
      <c r="C16" s="75">
        <v>0</v>
      </c>
      <c r="D16" s="75">
        <v>4</v>
      </c>
      <c r="E16" s="75">
        <f>2888594.61/D16/12</f>
        <v>60179.054375</v>
      </c>
      <c r="F16" s="75">
        <v>4</v>
      </c>
      <c r="G16" s="75">
        <v>0</v>
      </c>
      <c r="H16" s="75">
        <f t="shared" si="0"/>
        <v>4</v>
      </c>
      <c r="I16" s="75">
        <f>2945774.24/H16/12</f>
        <v>61370.296666666669</v>
      </c>
      <c r="J16" s="87">
        <f t="shared" si="1"/>
        <v>53126.468756331073</v>
      </c>
      <c r="K16" s="87">
        <v>3060084.6</v>
      </c>
      <c r="L16" s="87">
        <v>510014.09969610861</v>
      </c>
      <c r="M16" s="87">
        <v>5</v>
      </c>
      <c r="N16" s="87">
        <f t="shared" si="2"/>
        <v>56477.741732283459</v>
      </c>
      <c r="O16" s="87">
        <v>4412041.1841259841</v>
      </c>
    </row>
    <row r="17" spans="1:15" ht="15.75" x14ac:dyDescent="0.25">
      <c r="A17" s="88" t="s">
        <v>45</v>
      </c>
      <c r="B17" s="75">
        <v>2</v>
      </c>
      <c r="C17" s="75">
        <v>0</v>
      </c>
      <c r="D17" s="75">
        <v>2</v>
      </c>
      <c r="E17" s="75">
        <f>1113537.79/D17/12</f>
        <v>46397.407916666671</v>
      </c>
      <c r="F17" s="75">
        <v>2</v>
      </c>
      <c r="G17" s="75">
        <v>0</v>
      </c>
      <c r="H17" s="75">
        <f t="shared" si="0"/>
        <v>2</v>
      </c>
      <c r="I17" s="75">
        <f>1008926.05/H17/12</f>
        <v>42038.585416666669</v>
      </c>
      <c r="J17" s="87">
        <f t="shared" si="1"/>
        <v>42501.175005064862</v>
      </c>
      <c r="K17" s="87">
        <v>1224033.8400000001</v>
      </c>
      <c r="L17" s="87">
        <v>204005.63987844344</v>
      </c>
      <c r="M17" s="87">
        <v>2</v>
      </c>
      <c r="N17" s="87">
        <f t="shared" si="2"/>
        <v>56477.741732283444</v>
      </c>
      <c r="O17" s="87">
        <v>1764816.4736503933</v>
      </c>
    </row>
    <row r="18" spans="1:15" ht="15.75" x14ac:dyDescent="0.25">
      <c r="A18" s="88" t="s">
        <v>46</v>
      </c>
      <c r="B18" s="75">
        <v>4</v>
      </c>
      <c r="C18" s="75">
        <v>0</v>
      </c>
      <c r="D18" s="75">
        <v>4</v>
      </c>
      <c r="E18" s="75">
        <f>1739775.07/D18/12</f>
        <v>36245.313958333332</v>
      </c>
      <c r="F18" s="75">
        <v>4</v>
      </c>
      <c r="G18" s="75">
        <v>0</v>
      </c>
      <c r="H18" s="75">
        <f t="shared" si="0"/>
        <v>4</v>
      </c>
      <c r="I18" s="75">
        <f>1604435.58/H18/12</f>
        <v>33425.741249999999</v>
      </c>
      <c r="J18" s="87">
        <f t="shared" si="1"/>
        <v>37162.652262131975</v>
      </c>
      <c r="K18" s="87">
        <v>2140568.77</v>
      </c>
      <c r="L18" s="87">
        <v>356761.46141766518</v>
      </c>
      <c r="M18" s="87">
        <v>3</v>
      </c>
      <c r="N18" s="87">
        <f t="shared" si="2"/>
        <v>49980.941732283456</v>
      </c>
      <c r="O18" s="87">
        <v>2342706.7008755901</v>
      </c>
    </row>
    <row r="19" spans="1:15" ht="15.75" x14ac:dyDescent="0.25">
      <c r="A19" s="88" t="s">
        <v>47</v>
      </c>
      <c r="B19" s="75">
        <v>3</v>
      </c>
      <c r="C19" s="75">
        <v>0</v>
      </c>
      <c r="D19" s="75">
        <v>3</v>
      </c>
      <c r="E19" s="75">
        <f>1747876.22/D19/12</f>
        <v>48552.117222222216</v>
      </c>
      <c r="F19" s="75">
        <v>3</v>
      </c>
      <c r="G19" s="75">
        <v>0</v>
      </c>
      <c r="H19" s="75">
        <f t="shared" si="0"/>
        <v>3</v>
      </c>
      <c r="I19" s="75">
        <f>1620641.41/H19/12</f>
        <v>45017.816944444443</v>
      </c>
      <c r="J19" s="87">
        <f t="shared" si="1"/>
        <v>42501.175005064855</v>
      </c>
      <c r="K19" s="87">
        <v>1836050.76</v>
      </c>
      <c r="L19" s="87">
        <v>306008.45981766516</v>
      </c>
      <c r="M19" s="87">
        <v>3</v>
      </c>
      <c r="N19" s="87">
        <f t="shared" si="2"/>
        <v>56477.741732283444</v>
      </c>
      <c r="O19" s="87">
        <v>2647224.7104755901</v>
      </c>
    </row>
    <row r="20" spans="1:15" ht="15.75" x14ac:dyDescent="0.25">
      <c r="A20" s="89" t="s">
        <v>48</v>
      </c>
      <c r="B20" s="75">
        <v>4</v>
      </c>
      <c r="C20" s="75">
        <v>0</v>
      </c>
      <c r="D20" s="75">
        <v>4</v>
      </c>
      <c r="E20" s="75">
        <f>2453642.83/D20/12</f>
        <v>51117.558958333335</v>
      </c>
      <c r="F20" s="75">
        <v>4</v>
      </c>
      <c r="G20" s="75">
        <v>0</v>
      </c>
      <c r="H20" s="75">
        <f t="shared" si="0"/>
        <v>4</v>
      </c>
      <c r="I20" s="75">
        <f>2440289.31/H20/12</f>
        <v>50839.360625000001</v>
      </c>
      <c r="J20" s="87">
        <f t="shared" si="1"/>
        <v>45157.498234548075</v>
      </c>
      <c r="K20" s="87">
        <v>2601071.9</v>
      </c>
      <c r="L20" s="87">
        <v>433511.98474169237</v>
      </c>
      <c r="M20" s="87">
        <v>4.25</v>
      </c>
      <c r="N20" s="87">
        <f t="shared" si="2"/>
        <v>56477.741732283444</v>
      </c>
      <c r="O20" s="87">
        <v>3750235.0065070856</v>
      </c>
    </row>
    <row r="21" spans="1:15" ht="15.75" x14ac:dyDescent="0.25">
      <c r="A21" s="89" t="s">
        <v>49</v>
      </c>
      <c r="B21" s="75">
        <v>6</v>
      </c>
      <c r="C21" s="75">
        <v>0</v>
      </c>
      <c r="D21" s="75">
        <v>6</v>
      </c>
      <c r="E21" s="75">
        <f>3498471.38/D21/12</f>
        <v>48589.880277777782</v>
      </c>
      <c r="F21" s="75">
        <v>6</v>
      </c>
      <c r="G21" s="75">
        <v>0</v>
      </c>
      <c r="H21" s="75">
        <f t="shared" si="0"/>
        <v>6</v>
      </c>
      <c r="I21" s="75">
        <f>3082972.03/H21/12</f>
        <v>42819.055972222217</v>
      </c>
      <c r="J21" s="87">
        <f t="shared" si="1"/>
        <v>31875.881253798641</v>
      </c>
      <c r="K21" s="87">
        <v>2754076.14</v>
      </c>
      <c r="L21" s="87">
        <v>459012.6897264978</v>
      </c>
      <c r="M21" s="87">
        <v>4.5</v>
      </c>
      <c r="N21" s="87">
        <f t="shared" si="2"/>
        <v>56477.741732283452</v>
      </c>
      <c r="O21" s="87">
        <v>3970837.0657133851</v>
      </c>
    </row>
    <row r="22" spans="1:15" ht="31.5" x14ac:dyDescent="0.25">
      <c r="A22" s="89" t="s">
        <v>50</v>
      </c>
      <c r="B22" s="75">
        <v>3</v>
      </c>
      <c r="C22" s="75">
        <v>0</v>
      </c>
      <c r="D22" s="75">
        <v>3</v>
      </c>
      <c r="E22" s="75">
        <f>2018057.84/D22/12</f>
        <v>56057.162222222221</v>
      </c>
      <c r="F22" s="75">
        <v>2</v>
      </c>
      <c r="G22" s="75">
        <v>0</v>
      </c>
      <c r="H22" s="75">
        <f t="shared" si="0"/>
        <v>2</v>
      </c>
      <c r="I22" s="75">
        <f>1883550.79/H22/12</f>
        <v>78481.282916666663</v>
      </c>
      <c r="J22" s="87">
        <f t="shared" si="1"/>
        <v>79689.703134496624</v>
      </c>
      <c r="K22" s="87">
        <v>2295063.4500000002</v>
      </c>
      <c r="L22" s="87">
        <v>382510.57477208145</v>
      </c>
      <c r="M22" s="87">
        <v>3.75</v>
      </c>
      <c r="N22" s="87">
        <f t="shared" si="2"/>
        <v>56477.741732283459</v>
      </c>
      <c r="O22" s="87">
        <v>3309030.8880944876</v>
      </c>
    </row>
    <row r="23" spans="1:15" ht="15.75" x14ac:dyDescent="0.25">
      <c r="A23" s="50" t="s">
        <v>51</v>
      </c>
      <c r="B23" s="75">
        <v>89</v>
      </c>
      <c r="C23" s="75">
        <v>4</v>
      </c>
      <c r="D23" s="75">
        <v>93</v>
      </c>
      <c r="E23" s="75">
        <f>56540164.06/D23/12</f>
        <v>50663.229444444449</v>
      </c>
      <c r="F23" s="75">
        <f>SUM(F5:F22)</f>
        <v>86</v>
      </c>
      <c r="G23" s="75">
        <v>4</v>
      </c>
      <c r="H23" s="75">
        <f t="shared" si="0"/>
        <v>90</v>
      </c>
      <c r="I23" s="75">
        <f>54373034.69/H23/12</f>
        <v>50345.402490740737</v>
      </c>
      <c r="J23" s="87"/>
      <c r="K23" s="87">
        <v>60121719.650000013</v>
      </c>
      <c r="L23" s="87"/>
      <c r="M23" s="87">
        <v>95.25</v>
      </c>
      <c r="N23" s="87">
        <f>SUM(N5:N22)/18</f>
        <v>55373.881358679784</v>
      </c>
      <c r="O23" s="87">
        <v>86503611.852000013</v>
      </c>
    </row>
  </sheetData>
  <mergeCells count="1">
    <mergeCell ref="B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Расчет всей субв.</vt:lpstr>
      <vt:lpstr>Расчет по МО</vt:lpstr>
      <vt:lpstr>Нормативная численность</vt:lpstr>
      <vt:lpstr>Сравнит.табл. ЗП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Тамара Яковлевна ПАВЛЕНКО</cp:lastModifiedBy>
  <cp:lastPrinted>2023-04-11T10:25:06Z</cp:lastPrinted>
  <dcterms:created xsi:type="dcterms:W3CDTF">2023-04-04T11:38:31Z</dcterms:created>
  <dcterms:modified xsi:type="dcterms:W3CDTF">2023-04-19T12:48:07Z</dcterms:modified>
</cp:coreProperties>
</file>