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5" yWindow="315" windowWidth="29040" windowHeight="13620" tabRatio="904" firstSheet="1" activeTab="6"/>
  </bookViews>
  <sheets>
    <sheet name="Приложение(9)_4_исход" sheetId="17" state="hidden" r:id="rId1"/>
    <sheet name="расчет точ" sheetId="27" r:id="rId2"/>
    <sheet name="расчет спорт в бюджет" sheetId="33" state="hidden" r:id="rId3"/>
    <sheet name="расчет спорт в бюджет_" sheetId="36" r:id="rId4"/>
    <sheet name="расчет квант" sheetId="30" r:id="rId5"/>
    <sheet name="расчетЦОС" sheetId="32" r:id="rId6"/>
    <sheet name="расчет куб" sheetId="34" r:id="rId7"/>
  </sheets>
  <definedNames>
    <definedName name="_xlnm.Print_Titles" localSheetId="0">'Приложение(9)_4_исход'!$A:$B</definedName>
    <definedName name="_xlnm.Print_Titles" localSheetId="4">'расчет квант'!$B:$B</definedName>
    <definedName name="_xlnm.Print_Titles" localSheetId="2">'расчет спорт в бюджет'!$B:$B</definedName>
    <definedName name="_xlnm.Print_Titles" localSheetId="3">'расчет спорт в бюджет_'!$B:$B</definedName>
    <definedName name="_xlnm.Print_Titles" localSheetId="1">'расчет точ'!$B:$B</definedName>
    <definedName name="_xlnm.Print_Titles" localSheetId="5">расчетЦОС!$B:$B</definedName>
    <definedName name="_xlnm.Print_Area" localSheetId="0">'Приложение(9)_4_исход'!$A$1:$BE$24</definedName>
    <definedName name="_xlnm.Print_Area" localSheetId="4">'расчет квант'!$A$1:$AO$25</definedName>
    <definedName name="_xlnm.Print_Area" localSheetId="6">'расчет куб'!$A$1:$AQ$25</definedName>
    <definedName name="_xlnm.Print_Area" localSheetId="2">'расчет спорт в бюджет'!$A$1:$AO$34</definedName>
    <definedName name="_xlnm.Print_Area" localSheetId="3">'расчет спорт в бюджет_'!$A$1:$AO$25</definedName>
    <definedName name="_xlnm.Print_Area" localSheetId="1">'расчет точ'!$A$1:$AO$25</definedName>
    <definedName name="_xlnm.Print_Area" localSheetId="5">расчетЦОС!$A$1:$AO$24</definedName>
  </definedNames>
  <calcPr calcId="145621"/>
</workbook>
</file>

<file path=xl/calcChain.xml><?xml version="1.0" encoding="utf-8"?>
<calcChain xmlns="http://schemas.openxmlformats.org/spreadsheetml/2006/main">
  <c r="R8" i="36" l="1"/>
  <c r="S8" i="36" s="1"/>
  <c r="R9" i="36"/>
  <c r="S9" i="36" s="1"/>
  <c r="R10" i="36"/>
  <c r="S10" i="36" s="1"/>
  <c r="R11" i="36"/>
  <c r="S11" i="36" s="1"/>
  <c r="R12" i="36"/>
  <c r="S12" i="36" s="1"/>
  <c r="R13" i="36"/>
  <c r="S13" i="36" s="1"/>
  <c r="R14" i="36"/>
  <c r="S14" i="36" s="1"/>
  <c r="R15" i="36"/>
  <c r="S15" i="36" s="1"/>
  <c r="R16" i="36"/>
  <c r="S16" i="36" s="1"/>
  <c r="R17" i="36"/>
  <c r="S17" i="36" s="1"/>
  <c r="R18" i="36"/>
  <c r="S18" i="36" s="1"/>
  <c r="R19" i="36"/>
  <c r="S19" i="36" s="1"/>
  <c r="R20" i="36"/>
  <c r="S20" i="36" s="1"/>
  <c r="R21" i="36"/>
  <c r="S21" i="36" s="1"/>
  <c r="R22" i="36"/>
  <c r="S22" i="36" s="1"/>
  <c r="R23" i="36"/>
  <c r="S23" i="36" s="1"/>
  <c r="R24" i="36"/>
  <c r="S24" i="36" s="1"/>
  <c r="R26" i="36"/>
  <c r="S26" i="36" s="1"/>
  <c r="R27" i="36"/>
  <c r="S27" i="36" s="1"/>
  <c r="R28" i="36"/>
  <c r="S28" i="36" s="1"/>
  <c r="R7" i="36"/>
  <c r="S7" i="36" s="1"/>
  <c r="H8" i="36"/>
  <c r="I8" i="36" s="1"/>
  <c r="H9" i="36"/>
  <c r="I9" i="36" s="1"/>
  <c r="H10" i="36"/>
  <c r="I10" i="36" s="1"/>
  <c r="H11" i="36"/>
  <c r="H12" i="36"/>
  <c r="H13" i="36"/>
  <c r="H14" i="36"/>
  <c r="H15" i="36"/>
  <c r="I15" i="36" s="1"/>
  <c r="H16" i="36"/>
  <c r="I16" i="36" s="1"/>
  <c r="H17" i="36"/>
  <c r="I17" i="36" s="1"/>
  <c r="H18" i="36"/>
  <c r="I18" i="36" s="1"/>
  <c r="H19" i="36"/>
  <c r="H20" i="36"/>
  <c r="H21" i="36"/>
  <c r="H22" i="36"/>
  <c r="H23" i="36"/>
  <c r="I23" i="36" s="1"/>
  <c r="H24" i="36"/>
  <c r="I24" i="36" s="1"/>
  <c r="H7" i="36"/>
  <c r="I7" i="36" s="1"/>
  <c r="I22" i="36" l="1"/>
  <c r="I14" i="36"/>
  <c r="I13" i="36"/>
  <c r="I20" i="36"/>
  <c r="I12" i="36"/>
  <c r="I11" i="36"/>
  <c r="I21" i="36"/>
  <c r="I19" i="36"/>
  <c r="AC32" i="36"/>
  <c r="AC33" i="36" s="1"/>
  <c r="AO30" i="36"/>
  <c r="AN30" i="36"/>
  <c r="AM30" i="36"/>
  <c r="AL28" i="36"/>
  <c r="AO28" i="36" s="1"/>
  <c r="AI28" i="36"/>
  <c r="AD28" i="36"/>
  <c r="AB28" i="36"/>
  <c r="Q28" i="36"/>
  <c r="G28" i="36"/>
  <c r="AL27" i="36"/>
  <c r="AO27" i="36" s="1"/>
  <c r="AI27" i="36"/>
  <c r="AD27" i="36"/>
  <c r="AB27" i="36"/>
  <c r="Q27" i="36"/>
  <c r="G27" i="36"/>
  <c r="AL26" i="36"/>
  <c r="AO26" i="36" s="1"/>
  <c r="AI26" i="36"/>
  <c r="AD26" i="36"/>
  <c r="AB26" i="36"/>
  <c r="Q26" i="36"/>
  <c r="G26" i="36"/>
  <c r="AG25" i="36"/>
  <c r="AG29" i="36" s="1"/>
  <c r="AF25" i="36"/>
  <c r="AF29" i="36" s="1"/>
  <c r="AE25" i="36"/>
  <c r="AE29" i="36" s="1"/>
  <c r="AD31" i="36" s="1"/>
  <c r="Z25" i="36"/>
  <c r="Z29" i="36" s="1"/>
  <c r="AI29" i="36" s="1"/>
  <c r="P25" i="36"/>
  <c r="R25" i="36" s="1"/>
  <c r="F25" i="36"/>
  <c r="F29" i="36" s="1"/>
  <c r="AL24" i="36"/>
  <c r="AO24" i="36" s="1"/>
  <c r="AI24" i="36"/>
  <c r="AD24" i="36"/>
  <c r="AB24" i="36"/>
  <c r="E24" i="36"/>
  <c r="AA24" i="36" s="1"/>
  <c r="D24" i="36"/>
  <c r="Q24" i="36" s="1"/>
  <c r="C24" i="36"/>
  <c r="G24" i="36" s="1"/>
  <c r="AL23" i="36"/>
  <c r="AO23" i="36" s="1"/>
  <c r="AI23" i="36"/>
  <c r="AD23" i="36"/>
  <c r="AB23" i="36"/>
  <c r="E23" i="36"/>
  <c r="AA23" i="36" s="1"/>
  <c r="D23" i="36"/>
  <c r="Q23" i="36" s="1"/>
  <c r="C23" i="36"/>
  <c r="G23" i="36" s="1"/>
  <c r="AL22" i="36"/>
  <c r="AO22" i="36" s="1"/>
  <c r="AI22" i="36"/>
  <c r="AD22" i="36"/>
  <c r="AB22" i="36"/>
  <c r="E22" i="36"/>
  <c r="AA22" i="36" s="1"/>
  <c r="D22" i="36"/>
  <c r="Q22" i="36" s="1"/>
  <c r="C22" i="36"/>
  <c r="G22" i="36" s="1"/>
  <c r="AL21" i="36"/>
  <c r="AO21" i="36" s="1"/>
  <c r="AI21" i="36"/>
  <c r="AD21" i="36"/>
  <c r="AB21" i="36"/>
  <c r="E21" i="36"/>
  <c r="AA21" i="36" s="1"/>
  <c r="D21" i="36"/>
  <c r="Q21" i="36" s="1"/>
  <c r="C21" i="36"/>
  <c r="G21" i="36" s="1"/>
  <c r="AL20" i="36"/>
  <c r="AO20" i="36" s="1"/>
  <c r="AI20" i="36"/>
  <c r="AD20" i="36"/>
  <c r="AB20" i="36"/>
  <c r="E20" i="36"/>
  <c r="AA20" i="36" s="1"/>
  <c r="D20" i="36"/>
  <c r="Q20" i="36" s="1"/>
  <c r="C20" i="36"/>
  <c r="G20" i="36" s="1"/>
  <c r="AL19" i="36"/>
  <c r="AO19" i="36" s="1"/>
  <c r="AI19" i="36"/>
  <c r="AD19" i="36"/>
  <c r="AB19" i="36"/>
  <c r="E19" i="36"/>
  <c r="AA19" i="36" s="1"/>
  <c r="D19" i="36"/>
  <c r="Q19" i="36" s="1"/>
  <c r="C19" i="36"/>
  <c r="G19" i="36" s="1"/>
  <c r="AL18" i="36"/>
  <c r="AO18" i="36" s="1"/>
  <c r="AI18" i="36"/>
  <c r="AD18" i="36"/>
  <c r="AB18" i="36"/>
  <c r="E18" i="36"/>
  <c r="AA18" i="36" s="1"/>
  <c r="D18" i="36"/>
  <c r="Q18" i="36" s="1"/>
  <c r="C18" i="36"/>
  <c r="G18" i="36" s="1"/>
  <c r="AL17" i="36"/>
  <c r="AO17" i="36" s="1"/>
  <c r="AI17" i="36"/>
  <c r="AD17" i="36"/>
  <c r="AB17" i="36"/>
  <c r="E17" i="36"/>
  <c r="AA17" i="36" s="1"/>
  <c r="D17" i="36"/>
  <c r="Q17" i="36" s="1"/>
  <c r="C17" i="36"/>
  <c r="G17" i="36" s="1"/>
  <c r="AL16" i="36"/>
  <c r="AO16" i="36" s="1"/>
  <c r="AI16" i="36"/>
  <c r="AD16" i="36"/>
  <c r="AB16" i="36"/>
  <c r="E16" i="36"/>
  <c r="AA16" i="36" s="1"/>
  <c r="D16" i="36"/>
  <c r="Q16" i="36" s="1"/>
  <c r="C16" i="36"/>
  <c r="G16" i="36" s="1"/>
  <c r="AL15" i="36"/>
  <c r="AO15" i="36" s="1"/>
  <c r="AI15" i="36"/>
  <c r="AD15" i="36"/>
  <c r="AB15" i="36"/>
  <c r="E15" i="36"/>
  <c r="AA15" i="36" s="1"/>
  <c r="D15" i="36"/>
  <c r="Q15" i="36" s="1"/>
  <c r="C15" i="36"/>
  <c r="G15" i="36" s="1"/>
  <c r="AL14" i="36"/>
  <c r="AO14" i="36" s="1"/>
  <c r="AI14" i="36"/>
  <c r="AD14" i="36"/>
  <c r="AB14" i="36"/>
  <c r="E14" i="36"/>
  <c r="AA14" i="36" s="1"/>
  <c r="D14" i="36"/>
  <c r="Q14" i="36" s="1"/>
  <c r="C14" i="36"/>
  <c r="G14" i="36" s="1"/>
  <c r="AL13" i="36"/>
  <c r="AO13" i="36" s="1"/>
  <c r="AI13" i="36"/>
  <c r="AD13" i="36"/>
  <c r="AB13" i="36"/>
  <c r="E13" i="36"/>
  <c r="AA13" i="36" s="1"/>
  <c r="D13" i="36"/>
  <c r="Q13" i="36" s="1"/>
  <c r="C13" i="36"/>
  <c r="G13" i="36" s="1"/>
  <c r="AL12" i="36"/>
  <c r="AO12" i="36" s="1"/>
  <c r="AI12" i="36"/>
  <c r="AD12" i="36"/>
  <c r="AB12" i="36"/>
  <c r="E12" i="36"/>
  <c r="AA12" i="36" s="1"/>
  <c r="D12" i="36"/>
  <c r="Q12" i="36" s="1"/>
  <c r="C12" i="36"/>
  <c r="G12" i="36" s="1"/>
  <c r="AL11" i="36"/>
  <c r="AO11" i="36" s="1"/>
  <c r="AI11" i="36"/>
  <c r="AD11" i="36"/>
  <c r="AB11" i="36"/>
  <c r="E11" i="36"/>
  <c r="AA11" i="36" s="1"/>
  <c r="D11" i="36"/>
  <c r="Q11" i="36" s="1"/>
  <c r="C11" i="36"/>
  <c r="G11" i="36" s="1"/>
  <c r="AL10" i="36"/>
  <c r="AO10" i="36" s="1"/>
  <c r="AI10" i="36"/>
  <c r="AD10" i="36"/>
  <c r="AB10" i="36"/>
  <c r="E10" i="36"/>
  <c r="AA10" i="36" s="1"/>
  <c r="D10" i="36"/>
  <c r="Q10" i="36" s="1"/>
  <c r="C10" i="36"/>
  <c r="G10" i="36" s="1"/>
  <c r="AL9" i="36"/>
  <c r="AO9" i="36" s="1"/>
  <c r="AI9" i="36"/>
  <c r="AD9" i="36"/>
  <c r="AB9" i="36"/>
  <c r="E9" i="36"/>
  <c r="AA9" i="36" s="1"/>
  <c r="D9" i="36"/>
  <c r="Q9" i="36" s="1"/>
  <c r="C9" i="36"/>
  <c r="G9" i="36" s="1"/>
  <c r="AL8" i="36"/>
  <c r="AO8" i="36" s="1"/>
  <c r="AI8" i="36"/>
  <c r="AD8" i="36"/>
  <c r="AB8" i="36"/>
  <c r="E8" i="36"/>
  <c r="AA8" i="36" s="1"/>
  <c r="D8" i="36"/>
  <c r="Q8" i="36" s="1"/>
  <c r="C8" i="36"/>
  <c r="G8" i="36" s="1"/>
  <c r="AL7" i="36"/>
  <c r="AO7" i="36" s="1"/>
  <c r="AI7" i="36"/>
  <c r="AD7" i="36"/>
  <c r="AB7" i="36"/>
  <c r="E7" i="36"/>
  <c r="AA7" i="36" s="1"/>
  <c r="D7" i="36"/>
  <c r="Q7" i="36" s="1"/>
  <c r="C7" i="36"/>
  <c r="G7" i="36" s="1"/>
  <c r="E6" i="36"/>
  <c r="D6" i="36"/>
  <c r="C6" i="36"/>
  <c r="AI25" i="36" l="1"/>
  <c r="AA25" i="36"/>
  <c r="AA29" i="36" s="1"/>
  <c r="AC18" i="36" s="1"/>
  <c r="AH18" i="36" s="1"/>
  <c r="S25" i="36"/>
  <c r="P29" i="36"/>
  <c r="AD25" i="36"/>
  <c r="AD29" i="36" s="1"/>
  <c r="G25" i="36"/>
  <c r="G29" i="36" s="1"/>
  <c r="AB25" i="36"/>
  <c r="AB29" i="36" s="1"/>
  <c r="AL25" i="36"/>
  <c r="AL29" i="36" s="1"/>
  <c r="Q25" i="36"/>
  <c r="Q29" i="36" s="1"/>
  <c r="AO25" i="36"/>
  <c r="AO29" i="36" s="1"/>
  <c r="AC35" i="36"/>
  <c r="AD32" i="36"/>
  <c r="V29" i="32"/>
  <c r="AC10" i="36" l="1"/>
  <c r="AH10" i="36" s="1"/>
  <c r="AC14" i="36"/>
  <c r="AH14" i="36" s="1"/>
  <c r="AC17" i="36"/>
  <c r="AH17" i="36" s="1"/>
  <c r="AC21" i="36"/>
  <c r="AH21" i="36" s="1"/>
  <c r="AC20" i="36"/>
  <c r="AH20" i="36" s="1"/>
  <c r="AC8" i="36"/>
  <c r="AH8" i="36" s="1"/>
  <c r="AC22" i="36"/>
  <c r="AH22" i="36" s="1"/>
  <c r="AC26" i="36"/>
  <c r="AH26" i="36" s="1"/>
  <c r="AC24" i="36"/>
  <c r="AH24" i="36" s="1"/>
  <c r="AC19" i="36"/>
  <c r="AH19" i="36" s="1"/>
  <c r="AC28" i="36"/>
  <c r="AH28" i="36" s="1"/>
  <c r="AC13" i="36"/>
  <c r="AH13" i="36" s="1"/>
  <c r="AC16" i="36"/>
  <c r="AH16" i="36" s="1"/>
  <c r="AC7" i="36"/>
  <c r="AH7" i="36" s="1"/>
  <c r="AC9" i="36"/>
  <c r="AH9" i="36" s="1"/>
  <c r="AC11" i="36"/>
  <c r="AH11" i="36" s="1"/>
  <c r="AC27" i="36"/>
  <c r="AH27" i="36" s="1"/>
  <c r="AC23" i="36"/>
  <c r="AH23" i="36" s="1"/>
  <c r="AC15" i="36"/>
  <c r="AH15" i="36" s="1"/>
  <c r="AC12" i="36"/>
  <c r="AH12" i="36" s="1"/>
  <c r="S33" i="27"/>
  <c r="P25" i="27"/>
  <c r="P29" i="27" s="1"/>
  <c r="AC25" i="36" l="1"/>
  <c r="AH25" i="36" s="1"/>
  <c r="X24" i="36"/>
  <c r="W24" i="36"/>
  <c r="V24" i="36" s="1"/>
  <c r="W13" i="36"/>
  <c r="V13" i="36" s="1"/>
  <c r="N19" i="36"/>
  <c r="M19" i="36"/>
  <c r="L19" i="36" s="1"/>
  <c r="M13" i="36"/>
  <c r="W27" i="36"/>
  <c r="V27" i="36" s="1"/>
  <c r="X27" i="36"/>
  <c r="X26" i="36"/>
  <c r="W26" i="36"/>
  <c r="V26" i="36" s="1"/>
  <c r="W21" i="36"/>
  <c r="V21" i="36" s="1"/>
  <c r="X21" i="36"/>
  <c r="M9" i="36"/>
  <c r="M21" i="36"/>
  <c r="L21" i="36" s="1"/>
  <c r="N8" i="36"/>
  <c r="M8" i="36"/>
  <c r="L8" i="36" s="1"/>
  <c r="W19" i="36"/>
  <c r="V19" i="36" s="1"/>
  <c r="X14" i="36"/>
  <c r="W14" i="36"/>
  <c r="V14" i="36" s="1"/>
  <c r="N18" i="36"/>
  <c r="M18" i="36"/>
  <c r="L18" i="36" s="1"/>
  <c r="N16" i="36"/>
  <c r="M16" i="36"/>
  <c r="L16" i="36" s="1"/>
  <c r="X28" i="36"/>
  <c r="W28" i="36"/>
  <c r="V28" i="36" s="1"/>
  <c r="W9" i="36"/>
  <c r="X22" i="36"/>
  <c r="W22" i="36"/>
  <c r="V22" i="36" s="1"/>
  <c r="M12" i="36"/>
  <c r="L12" i="36" s="1"/>
  <c r="M14" i="36"/>
  <c r="L14" i="36" s="1"/>
  <c r="N14" i="36"/>
  <c r="N24" i="36"/>
  <c r="M24" i="36"/>
  <c r="L24" i="36" s="1"/>
  <c r="W16" i="36"/>
  <c r="X17" i="36"/>
  <c r="W17" i="36"/>
  <c r="V17" i="36" s="1"/>
  <c r="W18" i="36"/>
  <c r="X8" i="36"/>
  <c r="W8" i="36"/>
  <c r="V8" i="36" s="1"/>
  <c r="W7" i="36"/>
  <c r="M11" i="36"/>
  <c r="M22" i="36"/>
  <c r="L22" i="36" s="1"/>
  <c r="N22" i="36"/>
  <c r="M10" i="36"/>
  <c r="L10" i="36" s="1"/>
  <c r="X12" i="36"/>
  <c r="W12" i="36"/>
  <c r="V12" i="36" s="1"/>
  <c r="X15" i="36"/>
  <c r="W15" i="36"/>
  <c r="V15" i="36" s="1"/>
  <c r="M17" i="36"/>
  <c r="I25" i="36"/>
  <c r="M7" i="36"/>
  <c r="L7" i="36" s="1"/>
  <c r="N23" i="36"/>
  <c r="M23" i="36"/>
  <c r="L23" i="36" s="1"/>
  <c r="X10" i="36"/>
  <c r="W10" i="36"/>
  <c r="V10" i="36" s="1"/>
  <c r="W11" i="36"/>
  <c r="V11" i="36" s="1"/>
  <c r="W20" i="36"/>
  <c r="W23" i="36"/>
  <c r="V23" i="36" s="1"/>
  <c r="M20" i="36"/>
  <c r="L20" i="36" s="1"/>
  <c r="N20" i="36"/>
  <c r="N15" i="36"/>
  <c r="M15" i="36"/>
  <c r="L15" i="36" s="1"/>
  <c r="P24" i="32"/>
  <c r="P28" i="32" s="1"/>
  <c r="H32" i="32"/>
  <c r="F24" i="32"/>
  <c r="F28" i="32" s="1"/>
  <c r="P25" i="30"/>
  <c r="P29" i="30" s="1"/>
  <c r="S33" i="30"/>
  <c r="S31" i="33"/>
  <c r="S32" i="33" s="1"/>
  <c r="H32" i="33"/>
  <c r="F24" i="33"/>
  <c r="AC29" i="36" l="1"/>
  <c r="AH29" i="36" s="1"/>
  <c r="N13" i="36"/>
  <c r="L13" i="36"/>
  <c r="J13" i="36" s="1"/>
  <c r="X18" i="36"/>
  <c r="V18" i="36"/>
  <c r="N9" i="36"/>
  <c r="L9" i="36"/>
  <c r="X20" i="36"/>
  <c r="V20" i="36"/>
  <c r="T20" i="36" s="1"/>
  <c r="N10" i="36"/>
  <c r="X7" i="36"/>
  <c r="V7" i="36"/>
  <c r="T7" i="36" s="1"/>
  <c r="N17" i="36"/>
  <c r="L17" i="36"/>
  <c r="AJ17" i="36" s="1"/>
  <c r="AM17" i="36" s="1"/>
  <c r="X16" i="36"/>
  <c r="V16" i="36"/>
  <c r="X9" i="36"/>
  <c r="V9" i="36"/>
  <c r="AK9" i="36" s="1"/>
  <c r="AN9" i="36" s="1"/>
  <c r="N11" i="36"/>
  <c r="L11" i="36"/>
  <c r="AJ11" i="36" s="1"/>
  <c r="AM11" i="36" s="1"/>
  <c r="X19" i="36"/>
  <c r="N21" i="36"/>
  <c r="N12" i="36"/>
  <c r="N7" i="36"/>
  <c r="AJ16" i="36"/>
  <c r="AM16" i="36" s="1"/>
  <c r="J16" i="36"/>
  <c r="AK23" i="36"/>
  <c r="AN23" i="36" s="1"/>
  <c r="T23" i="36"/>
  <c r="J20" i="36"/>
  <c r="T8" i="36"/>
  <c r="J14" i="36"/>
  <c r="AJ14" i="36"/>
  <c r="AM14" i="36" s="1"/>
  <c r="AK28" i="36"/>
  <c r="AN28" i="36" s="1"/>
  <c r="T28" i="36"/>
  <c r="T14" i="36"/>
  <c r="AK7" i="36"/>
  <c r="AN7" i="36" s="1"/>
  <c r="X13" i="36"/>
  <c r="J22" i="36"/>
  <c r="AJ22" i="36"/>
  <c r="AM22" i="36" s="1"/>
  <c r="AK26" i="36"/>
  <c r="AN26" i="36" s="1"/>
  <c r="T26" i="36"/>
  <c r="J12" i="36"/>
  <c r="AJ12" i="36"/>
  <c r="AM12" i="36" s="1"/>
  <c r="AJ18" i="36"/>
  <c r="AM18" i="36" s="1"/>
  <c r="J18" i="36"/>
  <c r="AJ19" i="36"/>
  <c r="AM19" i="36" s="1"/>
  <c r="J19" i="36"/>
  <c r="X23" i="36"/>
  <c r="W25" i="36"/>
  <c r="J15" i="36"/>
  <c r="AJ15" i="36"/>
  <c r="AM15" i="36" s="1"/>
  <c r="X11" i="36"/>
  <c r="M25" i="36"/>
  <c r="J11" i="36"/>
  <c r="T10" i="36"/>
  <c r="AK10" i="36"/>
  <c r="AN10" i="36" s="1"/>
  <c r="J23" i="36"/>
  <c r="AJ23" i="36"/>
  <c r="AM23" i="36" s="1"/>
  <c r="T22" i="36"/>
  <c r="AK22" i="36"/>
  <c r="AN22" i="36" s="1"/>
  <c r="H33" i="27"/>
  <c r="T9" i="36" l="1"/>
  <c r="AJ13" i="36"/>
  <c r="AM13" i="36" s="1"/>
  <c r="AK20" i="36"/>
  <c r="AN20" i="36" s="1"/>
  <c r="W29" i="36"/>
  <c r="V25" i="36"/>
  <c r="J17" i="36"/>
  <c r="AK8" i="36"/>
  <c r="AN8" i="36" s="1"/>
  <c r="X25" i="36"/>
  <c r="AJ20" i="36"/>
  <c r="AM20" i="36" s="1"/>
  <c r="L25" i="36"/>
  <c r="H32" i="36" s="1"/>
  <c r="H33" i="36" s="1"/>
  <c r="AJ10" i="36"/>
  <c r="AM10" i="36" s="1"/>
  <c r="J24" i="36"/>
  <c r="AK27" i="36"/>
  <c r="AN27" i="36" s="1"/>
  <c r="T27" i="36"/>
  <c r="N25" i="36"/>
  <c r="AK11" i="36"/>
  <c r="AN11" i="36" s="1"/>
  <c r="AJ24" i="36"/>
  <c r="AM24" i="36" s="1"/>
  <c r="J7" i="36"/>
  <c r="AJ7" i="36"/>
  <c r="K25" i="36"/>
  <c r="T24" i="36"/>
  <c r="AK24" i="36"/>
  <c r="AN24" i="36" s="1"/>
  <c r="AJ9" i="36"/>
  <c r="AM9" i="36" s="1"/>
  <c r="J9" i="36"/>
  <c r="AK19" i="36"/>
  <c r="AN19" i="36" s="1"/>
  <c r="T19" i="36"/>
  <c r="T21" i="36"/>
  <c r="AK21" i="36"/>
  <c r="AN21" i="36" s="1"/>
  <c r="AK14" i="36"/>
  <c r="AN14" i="36" s="1"/>
  <c r="T11" i="36"/>
  <c r="T15" i="36"/>
  <c r="J10" i="36"/>
  <c r="T12" i="36"/>
  <c r="AK12" i="36"/>
  <c r="AN12" i="36" s="1"/>
  <c r="AK16" i="36"/>
  <c r="AN16" i="36" s="1"/>
  <c r="T16" i="36"/>
  <c r="AJ8" i="36"/>
  <c r="AM8" i="36" s="1"/>
  <c r="J8" i="36"/>
  <c r="AK15" i="36"/>
  <c r="AN15" i="36" s="1"/>
  <c r="J21" i="36"/>
  <c r="AJ21" i="36"/>
  <c r="AM21" i="36" s="1"/>
  <c r="U29" i="36"/>
  <c r="T31" i="36" s="1"/>
  <c r="AK17" i="36"/>
  <c r="AN17" i="36" s="1"/>
  <c r="T17" i="36"/>
  <c r="T13" i="36"/>
  <c r="AK13" i="36"/>
  <c r="AN13" i="36" s="1"/>
  <c r="T18" i="36"/>
  <c r="AK18" i="36"/>
  <c r="AN18" i="36" s="1"/>
  <c r="AP6" i="34"/>
  <c r="AO6" i="34"/>
  <c r="AN6" i="34"/>
  <c r="C7" i="32"/>
  <c r="D7" i="32"/>
  <c r="E7" i="32"/>
  <c r="C8" i="32"/>
  <c r="D8" i="32"/>
  <c r="E8" i="32"/>
  <c r="C9" i="32"/>
  <c r="D9" i="32"/>
  <c r="E9" i="32"/>
  <c r="C10" i="32"/>
  <c r="D10" i="32"/>
  <c r="E10" i="32"/>
  <c r="C11" i="32"/>
  <c r="D11" i="32"/>
  <c r="E11" i="32"/>
  <c r="C12" i="32"/>
  <c r="D12" i="32"/>
  <c r="E12" i="32"/>
  <c r="C13" i="32"/>
  <c r="D13" i="32"/>
  <c r="E13" i="32"/>
  <c r="C14" i="32"/>
  <c r="D14" i="32"/>
  <c r="E14" i="32"/>
  <c r="C15" i="32"/>
  <c r="D15" i="32"/>
  <c r="E15" i="32"/>
  <c r="C16" i="32"/>
  <c r="D16" i="32"/>
  <c r="E16" i="32"/>
  <c r="C17" i="32"/>
  <c r="D17" i="32"/>
  <c r="E17" i="32"/>
  <c r="C18" i="32"/>
  <c r="D18" i="32"/>
  <c r="E18" i="32"/>
  <c r="C19" i="32"/>
  <c r="D19" i="32"/>
  <c r="E19" i="32"/>
  <c r="C20" i="32"/>
  <c r="D20" i="32"/>
  <c r="E20" i="32"/>
  <c r="C21" i="32"/>
  <c r="D21" i="32"/>
  <c r="E21" i="32"/>
  <c r="C22" i="32"/>
  <c r="D22" i="32"/>
  <c r="E22" i="32"/>
  <c r="C23" i="32"/>
  <c r="D23" i="32"/>
  <c r="E23" i="32"/>
  <c r="E6" i="32"/>
  <c r="D6" i="32"/>
  <c r="C6" i="32"/>
  <c r="C8" i="34"/>
  <c r="D8" i="34"/>
  <c r="E8" i="34"/>
  <c r="C9" i="34"/>
  <c r="D9" i="34"/>
  <c r="E9" i="34"/>
  <c r="C10" i="34"/>
  <c r="D10" i="34"/>
  <c r="E10" i="34"/>
  <c r="C11" i="34"/>
  <c r="D11" i="34"/>
  <c r="E11" i="34"/>
  <c r="C12" i="34"/>
  <c r="D12" i="34"/>
  <c r="E12" i="34"/>
  <c r="C13" i="34"/>
  <c r="D13" i="34"/>
  <c r="E13" i="34"/>
  <c r="C14" i="34"/>
  <c r="D14" i="34"/>
  <c r="E14" i="34"/>
  <c r="C15" i="34"/>
  <c r="D15" i="34"/>
  <c r="E15" i="34"/>
  <c r="C16" i="34"/>
  <c r="D16" i="34"/>
  <c r="E16" i="34"/>
  <c r="C17" i="34"/>
  <c r="D17" i="34"/>
  <c r="E17" i="34"/>
  <c r="C18" i="34"/>
  <c r="D18" i="34"/>
  <c r="E18" i="34"/>
  <c r="C19" i="34"/>
  <c r="D19" i="34"/>
  <c r="E19" i="34"/>
  <c r="C20" i="34"/>
  <c r="D20" i="34"/>
  <c r="E20" i="34"/>
  <c r="C21" i="34"/>
  <c r="D21" i="34"/>
  <c r="E21" i="34"/>
  <c r="C22" i="34"/>
  <c r="D22" i="34"/>
  <c r="E22" i="34"/>
  <c r="C23" i="34"/>
  <c r="D23" i="34"/>
  <c r="E23" i="34"/>
  <c r="C24" i="34"/>
  <c r="D24" i="34"/>
  <c r="E24" i="34"/>
  <c r="E7" i="34"/>
  <c r="D7" i="34"/>
  <c r="C7" i="34"/>
  <c r="D5" i="32"/>
  <c r="E5" i="32"/>
  <c r="C5" i="32"/>
  <c r="C8" i="30"/>
  <c r="D8" i="30"/>
  <c r="E8" i="30"/>
  <c r="C9" i="30"/>
  <c r="D9" i="30"/>
  <c r="E9" i="30"/>
  <c r="C10" i="30"/>
  <c r="D10" i="30"/>
  <c r="E10" i="30"/>
  <c r="C11" i="30"/>
  <c r="D11" i="30"/>
  <c r="E11" i="30"/>
  <c r="C12" i="30"/>
  <c r="D12" i="30"/>
  <c r="E12" i="30"/>
  <c r="C13" i="30"/>
  <c r="D13" i="30"/>
  <c r="E13" i="30"/>
  <c r="C14" i="30"/>
  <c r="D14" i="30"/>
  <c r="E14" i="30"/>
  <c r="C15" i="30"/>
  <c r="D15" i="30"/>
  <c r="E15" i="30"/>
  <c r="C16" i="30"/>
  <c r="D16" i="30"/>
  <c r="E16" i="30"/>
  <c r="C17" i="30"/>
  <c r="D17" i="30"/>
  <c r="E17" i="30"/>
  <c r="C18" i="30"/>
  <c r="D18" i="30"/>
  <c r="E18" i="30"/>
  <c r="C19" i="30"/>
  <c r="D19" i="30"/>
  <c r="E19" i="30"/>
  <c r="C20" i="30"/>
  <c r="D20" i="30"/>
  <c r="E20" i="30"/>
  <c r="C21" i="30"/>
  <c r="D21" i="30"/>
  <c r="E21" i="30"/>
  <c r="C22" i="30"/>
  <c r="D22" i="30"/>
  <c r="E22" i="30"/>
  <c r="C23" i="30"/>
  <c r="D23" i="30"/>
  <c r="E23" i="30"/>
  <c r="C24" i="30"/>
  <c r="D24" i="30"/>
  <c r="E24" i="30"/>
  <c r="E7" i="30"/>
  <c r="D7" i="30"/>
  <c r="C7" i="30"/>
  <c r="E6" i="30"/>
  <c r="D6" i="30"/>
  <c r="C6" i="30"/>
  <c r="C7" i="33"/>
  <c r="D7" i="33"/>
  <c r="E7" i="33"/>
  <c r="C8" i="33"/>
  <c r="D8" i="33"/>
  <c r="E8" i="33"/>
  <c r="C9" i="33"/>
  <c r="D9" i="33"/>
  <c r="E9" i="33"/>
  <c r="C10" i="33"/>
  <c r="D10" i="33"/>
  <c r="E10" i="33"/>
  <c r="C11" i="33"/>
  <c r="D11" i="33"/>
  <c r="E11" i="33"/>
  <c r="C12" i="33"/>
  <c r="D12" i="33"/>
  <c r="E12" i="33"/>
  <c r="C13" i="33"/>
  <c r="D13" i="33"/>
  <c r="E13" i="33"/>
  <c r="C14" i="33"/>
  <c r="D14" i="33"/>
  <c r="E14" i="33"/>
  <c r="C15" i="33"/>
  <c r="D15" i="33"/>
  <c r="E15" i="33"/>
  <c r="C16" i="33"/>
  <c r="D16" i="33"/>
  <c r="E16" i="33"/>
  <c r="C17" i="33"/>
  <c r="D17" i="33"/>
  <c r="E17" i="33"/>
  <c r="C18" i="33"/>
  <c r="D18" i="33"/>
  <c r="E18" i="33"/>
  <c r="C19" i="33"/>
  <c r="D19" i="33"/>
  <c r="E19" i="33"/>
  <c r="C20" i="33"/>
  <c r="D20" i="33"/>
  <c r="E20" i="33"/>
  <c r="C21" i="33"/>
  <c r="D21" i="33"/>
  <c r="E21" i="33"/>
  <c r="C22" i="33"/>
  <c r="D22" i="33"/>
  <c r="E22" i="33"/>
  <c r="C23" i="33"/>
  <c r="D23" i="33"/>
  <c r="E23" i="33"/>
  <c r="E6" i="33"/>
  <c r="D6" i="33"/>
  <c r="C6" i="33"/>
  <c r="E5" i="33"/>
  <c r="D5" i="33"/>
  <c r="C5" i="33"/>
  <c r="S32" i="36" l="1"/>
  <c r="S33" i="36" s="1"/>
  <c r="S35" i="36" s="1"/>
  <c r="V29" i="36"/>
  <c r="T25" i="36"/>
  <c r="T29" i="36" s="1"/>
  <c r="R29" i="36"/>
  <c r="S29" i="36" s="1"/>
  <c r="X29" i="36" s="1"/>
  <c r="AK25" i="36"/>
  <c r="AK29" i="36" s="1"/>
  <c r="AN25" i="36"/>
  <c r="AN29" i="36" s="1"/>
  <c r="AJ25" i="36"/>
  <c r="AM7" i="36"/>
  <c r="AM25" i="36" s="1"/>
  <c r="H25" i="36"/>
  <c r="J25" i="36"/>
  <c r="AC33" i="34"/>
  <c r="AC35" i="34" s="1"/>
  <c r="S33" i="34"/>
  <c r="S35" i="34" s="1"/>
  <c r="H33" i="34"/>
  <c r="H35" i="34" s="1"/>
  <c r="AP30" i="34"/>
  <c r="AO30" i="34"/>
  <c r="AN30" i="34"/>
  <c r="AI28" i="34"/>
  <c r="Y28" i="34"/>
  <c r="Q28" i="34"/>
  <c r="O28" i="34"/>
  <c r="G28" i="34"/>
  <c r="AI27" i="34"/>
  <c r="Y27" i="34"/>
  <c r="Q27" i="34"/>
  <c r="O27" i="34"/>
  <c r="G27" i="34"/>
  <c r="AI26" i="34"/>
  <c r="Y26" i="34"/>
  <c r="Q26" i="34"/>
  <c r="O26" i="34"/>
  <c r="G26" i="34"/>
  <c r="Z25" i="34"/>
  <c r="Z29" i="34" s="1"/>
  <c r="P25" i="34"/>
  <c r="F25" i="34"/>
  <c r="AA24" i="34"/>
  <c r="Y24" i="34"/>
  <c r="Q24" i="34"/>
  <c r="O24" i="34"/>
  <c r="G24" i="34"/>
  <c r="AI23" i="34"/>
  <c r="AA23" i="34"/>
  <c r="Y23" i="34"/>
  <c r="Q23" i="34"/>
  <c r="O23" i="34"/>
  <c r="G23" i="34"/>
  <c r="AI22" i="34"/>
  <c r="AA22" i="34"/>
  <c r="Y22" i="34"/>
  <c r="Q22" i="34"/>
  <c r="O22" i="34"/>
  <c r="G22" i="34"/>
  <c r="AI21" i="34"/>
  <c r="AA21" i="34"/>
  <c r="Y21" i="34"/>
  <c r="Q21" i="34"/>
  <c r="O21" i="34"/>
  <c r="G21" i="34"/>
  <c r="AI20" i="34"/>
  <c r="AA20" i="34"/>
  <c r="Y20" i="34"/>
  <c r="Q20" i="34"/>
  <c r="O20" i="34"/>
  <c r="G20" i="34"/>
  <c r="AI19" i="34"/>
  <c r="AA19" i="34"/>
  <c r="Y19" i="34"/>
  <c r="Q19" i="34"/>
  <c r="O19" i="34"/>
  <c r="G19" i="34"/>
  <c r="AI18" i="34"/>
  <c r="AA18" i="34"/>
  <c r="Y18" i="34"/>
  <c r="Q18" i="34"/>
  <c r="O18" i="34"/>
  <c r="G18" i="34"/>
  <c r="AI17" i="34"/>
  <c r="AA17" i="34"/>
  <c r="Q17" i="34"/>
  <c r="O17" i="34"/>
  <c r="G17" i="34"/>
  <c r="AI16" i="34"/>
  <c r="AA16" i="34"/>
  <c r="Y16" i="34"/>
  <c r="Q16" i="34"/>
  <c r="O16" i="34"/>
  <c r="G16" i="34"/>
  <c r="AI15" i="34"/>
  <c r="AA15" i="34"/>
  <c r="Y15" i="34"/>
  <c r="Q15" i="34"/>
  <c r="O15" i="34"/>
  <c r="G15" i="34"/>
  <c r="AI14" i="34"/>
  <c r="AA14" i="34"/>
  <c r="Y14" i="34"/>
  <c r="Q14" i="34"/>
  <c r="O14" i="34"/>
  <c r="G14" i="34"/>
  <c r="AI13" i="34"/>
  <c r="AA13" i="34"/>
  <c r="Y13" i="34"/>
  <c r="Q13" i="34"/>
  <c r="O13" i="34"/>
  <c r="G13" i="34"/>
  <c r="AI12" i="34"/>
  <c r="AA12" i="34"/>
  <c r="Y12" i="34"/>
  <c r="Q12" i="34"/>
  <c r="G12" i="34"/>
  <c r="AI11" i="34"/>
  <c r="AA11" i="34"/>
  <c r="Y11" i="34"/>
  <c r="Q11" i="34"/>
  <c r="O11" i="34"/>
  <c r="G11" i="34"/>
  <c r="AI10" i="34"/>
  <c r="AA10" i="34"/>
  <c r="Y10" i="34"/>
  <c r="Q10" i="34"/>
  <c r="O10" i="34"/>
  <c r="G10" i="34"/>
  <c r="AA9" i="34"/>
  <c r="Y9" i="34"/>
  <c r="Q9" i="34"/>
  <c r="O9" i="34"/>
  <c r="G9" i="34"/>
  <c r="AI8" i="34"/>
  <c r="AA8" i="34"/>
  <c r="Y8" i="34"/>
  <c r="Q8" i="34"/>
  <c r="O8" i="34"/>
  <c r="G8" i="34"/>
  <c r="AI7" i="34"/>
  <c r="AA7" i="34"/>
  <c r="Y7" i="34"/>
  <c r="Q7" i="34"/>
  <c r="O7" i="34"/>
  <c r="G7" i="34"/>
  <c r="T32" i="36" l="1"/>
  <c r="V31" i="36"/>
  <c r="G25" i="34"/>
  <c r="G29" i="34" s="1"/>
  <c r="I14" i="34" s="1"/>
  <c r="AA25" i="34"/>
  <c r="AA29" i="34" s="1"/>
  <c r="AC24" i="34" s="1"/>
  <c r="F29" i="34"/>
  <c r="P29" i="34"/>
  <c r="Q25" i="34"/>
  <c r="Q29" i="34" s="1"/>
  <c r="AC32" i="32"/>
  <c r="AC34" i="32" s="1"/>
  <c r="H34" i="32"/>
  <c r="AN29" i="32"/>
  <c r="AM29" i="32"/>
  <c r="AA27" i="32"/>
  <c r="Q27" i="32"/>
  <c r="O27" i="32"/>
  <c r="G27" i="32"/>
  <c r="AI26" i="32"/>
  <c r="AA26" i="32"/>
  <c r="Y26" i="32"/>
  <c r="Q26" i="32"/>
  <c r="O26" i="32"/>
  <c r="G26" i="32"/>
  <c r="AI25" i="32"/>
  <c r="AA25" i="32"/>
  <c r="Y25" i="32"/>
  <c r="Q25" i="32"/>
  <c r="O25" i="32"/>
  <c r="G25" i="32"/>
  <c r="Z24" i="32"/>
  <c r="AA23" i="32"/>
  <c r="Q23" i="32"/>
  <c r="O23" i="32"/>
  <c r="G23" i="32"/>
  <c r="AA22" i="32"/>
  <c r="Q22" i="32"/>
  <c r="G22" i="32"/>
  <c r="AA21" i="32"/>
  <c r="Q21" i="32"/>
  <c r="G21" i="32"/>
  <c r="AA20" i="32"/>
  <c r="Q20" i="32"/>
  <c r="G20" i="32"/>
  <c r="AA19" i="32"/>
  <c r="Q19" i="32"/>
  <c r="G19" i="32"/>
  <c r="AA18" i="32"/>
  <c r="Q18" i="32"/>
  <c r="G18" i="32"/>
  <c r="AA17" i="32"/>
  <c r="Q17" i="32"/>
  <c r="G17" i="32"/>
  <c r="AA16" i="32"/>
  <c r="Q16" i="32"/>
  <c r="G16" i="32"/>
  <c r="AA15" i="32"/>
  <c r="Q15" i="32"/>
  <c r="O15" i="32"/>
  <c r="G15" i="32"/>
  <c r="AA14" i="32"/>
  <c r="Q14" i="32"/>
  <c r="G14" i="32"/>
  <c r="AA13" i="32"/>
  <c r="Q13" i="32"/>
  <c r="G13" i="32"/>
  <c r="AA12" i="32"/>
  <c r="Q12" i="32"/>
  <c r="O12" i="32"/>
  <c r="G12" i="32"/>
  <c r="AA11" i="32"/>
  <c r="Q11" i="32"/>
  <c r="G11" i="32"/>
  <c r="AA10" i="32"/>
  <c r="Q10" i="32"/>
  <c r="G10" i="32"/>
  <c r="AA9" i="32"/>
  <c r="Q9" i="32"/>
  <c r="O9" i="32"/>
  <c r="G9" i="32"/>
  <c r="AA8" i="32"/>
  <c r="Q8" i="32"/>
  <c r="G8" i="32"/>
  <c r="AA7" i="32"/>
  <c r="Q7" i="32"/>
  <c r="G7" i="32"/>
  <c r="AA6" i="32"/>
  <c r="Q6" i="32"/>
  <c r="G6" i="32"/>
  <c r="I26" i="34" l="1"/>
  <c r="N26" i="34" s="1"/>
  <c r="I9" i="34"/>
  <c r="M9" i="34" s="1"/>
  <c r="K9" i="34" s="1"/>
  <c r="I11" i="34"/>
  <c r="N11" i="34" s="1"/>
  <c r="I23" i="34"/>
  <c r="N23" i="34" s="1"/>
  <c r="I13" i="34"/>
  <c r="N13" i="34" s="1"/>
  <c r="I20" i="34"/>
  <c r="M20" i="34" s="1"/>
  <c r="L20" i="34" s="1"/>
  <c r="I22" i="34"/>
  <c r="M22" i="34" s="1"/>
  <c r="K22" i="34" s="1"/>
  <c r="AA24" i="32"/>
  <c r="AA28" i="32" s="1"/>
  <c r="AC6" i="32" s="1"/>
  <c r="AG6" i="32" s="1"/>
  <c r="Q24" i="32"/>
  <c r="Q28" i="32" s="1"/>
  <c r="I8" i="34"/>
  <c r="N8" i="34" s="1"/>
  <c r="I10" i="34"/>
  <c r="N10" i="34" s="1"/>
  <c r="I17" i="34"/>
  <c r="N17" i="34" s="1"/>
  <c r="I18" i="34"/>
  <c r="M18" i="34" s="1"/>
  <c r="L18" i="34" s="1"/>
  <c r="I16" i="34"/>
  <c r="M16" i="34" s="1"/>
  <c r="K16" i="34" s="1"/>
  <c r="AC13" i="34"/>
  <c r="AG13" i="34" s="1"/>
  <c r="AF13" i="34" s="1"/>
  <c r="I7" i="34"/>
  <c r="AC7" i="34"/>
  <c r="AH7" i="34" s="1"/>
  <c r="AC21" i="34"/>
  <c r="AH21" i="34" s="1"/>
  <c r="AC18" i="34"/>
  <c r="AH18" i="34" s="1"/>
  <c r="I21" i="34"/>
  <c r="N21" i="34" s="1"/>
  <c r="I19" i="34"/>
  <c r="N19" i="34" s="1"/>
  <c r="I15" i="34"/>
  <c r="N15" i="34" s="1"/>
  <c r="I24" i="34"/>
  <c r="M24" i="34" s="1"/>
  <c r="K24" i="34" s="1"/>
  <c r="I27" i="34"/>
  <c r="M27" i="34" s="1"/>
  <c r="K27" i="34" s="1"/>
  <c r="I12" i="34"/>
  <c r="O12" i="34" s="1"/>
  <c r="I28" i="34"/>
  <c r="N28" i="34" s="1"/>
  <c r="AC9" i="34"/>
  <c r="AG9" i="34" s="1"/>
  <c r="AF9" i="34" s="1"/>
  <c r="AC19" i="34"/>
  <c r="AH19" i="34" s="1"/>
  <c r="AC27" i="34"/>
  <c r="AG27" i="34" s="1"/>
  <c r="AF27" i="34" s="1"/>
  <c r="AC22" i="34"/>
  <c r="AG22" i="34" s="1"/>
  <c r="AF22" i="34" s="1"/>
  <c r="AC12" i="34"/>
  <c r="AH12" i="34" s="1"/>
  <c r="AC26" i="34"/>
  <c r="AG26" i="34" s="1"/>
  <c r="AE26" i="34" s="1"/>
  <c r="AC23" i="34"/>
  <c r="AG23" i="34" s="1"/>
  <c r="AF23" i="34" s="1"/>
  <c r="AC20" i="34"/>
  <c r="AG20" i="34" s="1"/>
  <c r="AF20" i="34" s="1"/>
  <c r="AC28" i="34"/>
  <c r="AH28" i="34" s="1"/>
  <c r="AC14" i="34"/>
  <c r="AG14" i="34" s="1"/>
  <c r="AE14" i="34" s="1"/>
  <c r="AC8" i="34"/>
  <c r="AG8" i="34" s="1"/>
  <c r="AF8" i="34" s="1"/>
  <c r="AC10" i="34"/>
  <c r="AG10" i="34" s="1"/>
  <c r="AE10" i="34" s="1"/>
  <c r="AC15" i="34"/>
  <c r="AH15" i="34" s="1"/>
  <c r="AC16" i="34"/>
  <c r="AG16" i="34" s="1"/>
  <c r="AE16" i="34" s="1"/>
  <c r="AC11" i="34"/>
  <c r="AG11" i="34" s="1"/>
  <c r="AC17" i="34"/>
  <c r="AH17" i="34" s="1"/>
  <c r="M21" i="34"/>
  <c r="L21" i="34" s="1"/>
  <c r="S17" i="34"/>
  <c r="S9" i="34"/>
  <c r="S28" i="34"/>
  <c r="S27" i="34"/>
  <c r="S26" i="34"/>
  <c r="S21" i="34"/>
  <c r="S13" i="34"/>
  <c r="S19" i="34"/>
  <c r="S20" i="34"/>
  <c r="S18" i="34"/>
  <c r="S22" i="34"/>
  <c r="S15" i="34"/>
  <c r="S14" i="34"/>
  <c r="S16" i="34"/>
  <c r="S8" i="34"/>
  <c r="S7" i="34"/>
  <c r="S11" i="34"/>
  <c r="S10" i="34"/>
  <c r="S24" i="34"/>
  <c r="S23" i="34"/>
  <c r="S12" i="34"/>
  <c r="AG24" i="34"/>
  <c r="AH24" i="34" s="1"/>
  <c r="AI24" i="34"/>
  <c r="M14" i="34"/>
  <c r="L14" i="34" s="1"/>
  <c r="N14" i="34"/>
  <c r="M23" i="34"/>
  <c r="K23" i="34" s="1"/>
  <c r="G24" i="32"/>
  <c r="G28" i="32" s="1"/>
  <c r="I16" i="32" s="1"/>
  <c r="Z28" i="32"/>
  <c r="S34" i="32"/>
  <c r="M17" i="34" l="1"/>
  <c r="L17" i="34" s="1"/>
  <c r="AG19" i="34"/>
  <c r="AF19" i="34" s="1"/>
  <c r="AH14" i="34"/>
  <c r="N18" i="34"/>
  <c r="S20" i="32"/>
  <c r="S27" i="32"/>
  <c r="N24" i="34"/>
  <c r="AG12" i="34"/>
  <c r="AF12" i="34" s="1"/>
  <c r="N22" i="34"/>
  <c r="M15" i="34"/>
  <c r="K15" i="34" s="1"/>
  <c r="M10" i="34"/>
  <c r="L10" i="34" s="1"/>
  <c r="N9" i="34"/>
  <c r="AH13" i="34"/>
  <c r="AI9" i="34"/>
  <c r="AH8" i="34"/>
  <c r="AG18" i="34"/>
  <c r="AF18" i="34" s="1"/>
  <c r="N20" i="34"/>
  <c r="N16" i="34"/>
  <c r="AC26" i="32"/>
  <c r="AG26" i="32" s="1"/>
  <c r="AF26" i="32" s="1"/>
  <c r="AC17" i="32"/>
  <c r="AG17" i="32" s="1"/>
  <c r="AH17" i="32" s="1"/>
  <c r="M26" i="34"/>
  <c r="K26" i="34" s="1"/>
  <c r="AG28" i="34"/>
  <c r="AF28" i="34" s="1"/>
  <c r="AH27" i="34"/>
  <c r="M13" i="34"/>
  <c r="L13" i="34" s="1"/>
  <c r="M19" i="34"/>
  <c r="K19" i="34" s="1"/>
  <c r="AH22" i="34"/>
  <c r="S8" i="32"/>
  <c r="Y8" i="32" s="1"/>
  <c r="AH10" i="34"/>
  <c r="M8" i="34"/>
  <c r="K8" i="34" s="1"/>
  <c r="AH20" i="34"/>
  <c r="AG17" i="34"/>
  <c r="AF17" i="34" s="1"/>
  <c r="AH23" i="34"/>
  <c r="AC25" i="32"/>
  <c r="AH25" i="32" s="1"/>
  <c r="L9" i="34"/>
  <c r="H9" i="34" s="1"/>
  <c r="AC13" i="32"/>
  <c r="AG13" i="32" s="1"/>
  <c r="AF13" i="32" s="1"/>
  <c r="M11" i="34"/>
  <c r="L11" i="34" s="1"/>
  <c r="N27" i="34"/>
  <c r="AC16" i="32"/>
  <c r="AG16" i="32" s="1"/>
  <c r="AH16" i="32" s="1"/>
  <c r="M28" i="34"/>
  <c r="K28" i="34" s="1"/>
  <c r="S23" i="32"/>
  <c r="S25" i="32"/>
  <c r="X25" i="32" s="1"/>
  <c r="S10" i="32"/>
  <c r="AC10" i="32"/>
  <c r="AG10" i="32" s="1"/>
  <c r="AH10" i="32" s="1"/>
  <c r="AC21" i="32"/>
  <c r="AG21" i="32" s="1"/>
  <c r="AF21" i="32" s="1"/>
  <c r="S17" i="32"/>
  <c r="Y17" i="32" s="1"/>
  <c r="S21" i="32"/>
  <c r="W21" i="32" s="1"/>
  <c r="S6" i="32"/>
  <c r="AC18" i="32"/>
  <c r="AG18" i="32" s="1"/>
  <c r="AF18" i="32" s="1"/>
  <c r="AC7" i="32"/>
  <c r="AG7" i="32" s="1"/>
  <c r="AH7" i="32" s="1"/>
  <c r="S18" i="32"/>
  <c r="S26" i="32"/>
  <c r="W26" i="32" s="1"/>
  <c r="V26" i="32" s="1"/>
  <c r="S9" i="32"/>
  <c r="S16" i="32"/>
  <c r="AC14" i="32"/>
  <c r="AG14" i="32" s="1"/>
  <c r="AH14" i="32" s="1"/>
  <c r="S14" i="32"/>
  <c r="Y14" i="32" s="1"/>
  <c r="AC27" i="32"/>
  <c r="AG27" i="32" s="1"/>
  <c r="AH27" i="32" s="1"/>
  <c r="AC12" i="32"/>
  <c r="AI12" i="32" s="1"/>
  <c r="S7" i="32"/>
  <c r="W7" i="32" s="1"/>
  <c r="X7" i="32" s="1"/>
  <c r="S12" i="32"/>
  <c r="AI6" i="32"/>
  <c r="S13" i="32"/>
  <c r="AC11" i="32"/>
  <c r="AG11" i="32" s="1"/>
  <c r="AE11" i="32" s="1"/>
  <c r="S11" i="32"/>
  <c r="AC15" i="32"/>
  <c r="AI15" i="32" s="1"/>
  <c r="AC22" i="32"/>
  <c r="AG22" i="32" s="1"/>
  <c r="AH22" i="32" s="1"/>
  <c r="AC19" i="32"/>
  <c r="AG19" i="32" s="1"/>
  <c r="AE19" i="32" s="1"/>
  <c r="AC9" i="32"/>
  <c r="AI9" i="32" s="1"/>
  <c r="S19" i="32"/>
  <c r="S22" i="32"/>
  <c r="W22" i="32" s="1"/>
  <c r="AC8" i="32"/>
  <c r="AG8" i="32" s="1"/>
  <c r="AH8" i="32" s="1"/>
  <c r="AC23" i="32"/>
  <c r="AI23" i="32" s="1"/>
  <c r="AC20" i="32"/>
  <c r="AG20" i="32" s="1"/>
  <c r="AF20" i="32" s="1"/>
  <c r="S15" i="32"/>
  <c r="Y15" i="32" s="1"/>
  <c r="AH11" i="34"/>
  <c r="N12" i="34"/>
  <c r="M7" i="34"/>
  <c r="L7" i="34" s="1"/>
  <c r="AG7" i="34"/>
  <c r="AE7" i="34" s="1"/>
  <c r="AG21" i="34"/>
  <c r="AE21" i="34" s="1"/>
  <c r="N7" i="34"/>
  <c r="L16" i="34"/>
  <c r="AJ16" i="34" s="1"/>
  <c r="AN16" i="34" s="1"/>
  <c r="AH26" i="34"/>
  <c r="AH16" i="34"/>
  <c r="AE24" i="34"/>
  <c r="M12" i="34"/>
  <c r="L12" i="34" s="1"/>
  <c r="L24" i="34"/>
  <c r="AJ24" i="34" s="1"/>
  <c r="AN24" i="34" s="1"/>
  <c r="I25" i="34"/>
  <c r="I29" i="34" s="1"/>
  <c r="L23" i="34"/>
  <c r="H23" i="34" s="1"/>
  <c r="K21" i="34"/>
  <c r="J21" i="34" s="1"/>
  <c r="K14" i="34"/>
  <c r="H14" i="34" s="1"/>
  <c r="AF11" i="34"/>
  <c r="AE11" i="34"/>
  <c r="AC25" i="34"/>
  <c r="AC29" i="34" s="1"/>
  <c r="AF26" i="34"/>
  <c r="AL26" i="34" s="1"/>
  <c r="AP26" i="34" s="1"/>
  <c r="AE20" i="34"/>
  <c r="AD20" i="34" s="1"/>
  <c r="AG15" i="34"/>
  <c r="AE15" i="34" s="1"/>
  <c r="AE22" i="34"/>
  <c r="AD22" i="34" s="1"/>
  <c r="AF10" i="34"/>
  <c r="AD10" i="34" s="1"/>
  <c r="AE13" i="34"/>
  <c r="AB13" i="34" s="1"/>
  <c r="AE9" i="34"/>
  <c r="AL9" i="34" s="1"/>
  <c r="AP9" i="34" s="1"/>
  <c r="AH9" i="34"/>
  <c r="AF16" i="34"/>
  <c r="AL16" i="34" s="1"/>
  <c r="AP16" i="34" s="1"/>
  <c r="W23" i="34"/>
  <c r="U23" i="34" s="1"/>
  <c r="X23" i="34"/>
  <c r="X15" i="34"/>
  <c r="W15" i="34"/>
  <c r="U15" i="34" s="1"/>
  <c r="X27" i="34"/>
  <c r="W27" i="34"/>
  <c r="V27" i="34" s="1"/>
  <c r="AE27" i="34"/>
  <c r="AF14" i="34"/>
  <c r="AD14" i="34" s="1"/>
  <c r="X24" i="34"/>
  <c r="W24" i="34"/>
  <c r="V24" i="34" s="1"/>
  <c r="W22" i="34"/>
  <c r="V22" i="34" s="1"/>
  <c r="X22" i="34"/>
  <c r="X28" i="34"/>
  <c r="W28" i="34"/>
  <c r="V28" i="34" s="1"/>
  <c r="K20" i="34"/>
  <c r="X14" i="34"/>
  <c r="W14" i="34"/>
  <c r="V14" i="34" s="1"/>
  <c r="X10" i="34"/>
  <c r="W10" i="34"/>
  <c r="V10" i="34" s="1"/>
  <c r="X18" i="34"/>
  <c r="W18" i="34"/>
  <c r="U18" i="34" s="1"/>
  <c r="W9" i="34"/>
  <c r="U9" i="34" s="1"/>
  <c r="X9" i="34"/>
  <c r="AE8" i="34"/>
  <c r="K18" i="34"/>
  <c r="AF24" i="34"/>
  <c r="L22" i="34"/>
  <c r="J22" i="34" s="1"/>
  <c r="X11" i="34"/>
  <c r="W11" i="34"/>
  <c r="U11" i="34" s="1"/>
  <c r="X20" i="34"/>
  <c r="W20" i="34"/>
  <c r="U20" i="34" s="1"/>
  <c r="W17" i="34"/>
  <c r="V17" i="34" s="1"/>
  <c r="Y17" i="34"/>
  <c r="AE23" i="34"/>
  <c r="S25" i="34"/>
  <c r="X7" i="34"/>
  <c r="W7" i="34"/>
  <c r="U7" i="34" s="1"/>
  <c r="X19" i="34"/>
  <c r="W19" i="34"/>
  <c r="U19" i="34" s="1"/>
  <c r="AE19" i="34"/>
  <c r="X8" i="34"/>
  <c r="W8" i="34"/>
  <c r="V8" i="34" s="1"/>
  <c r="W13" i="34"/>
  <c r="V13" i="34" s="1"/>
  <c r="X13" i="34"/>
  <c r="L27" i="34"/>
  <c r="J27" i="34" s="1"/>
  <c r="X12" i="34"/>
  <c r="W12" i="34"/>
  <c r="V12" i="34" s="1"/>
  <c r="X26" i="34"/>
  <c r="W26" i="34"/>
  <c r="V26" i="34" s="1"/>
  <c r="X16" i="34"/>
  <c r="W16" i="34"/>
  <c r="U16" i="34" s="1"/>
  <c r="W21" i="34"/>
  <c r="V21" i="34" s="1"/>
  <c r="X21" i="34"/>
  <c r="I23" i="32"/>
  <c r="I15" i="32"/>
  <c r="I27" i="32"/>
  <c r="I22" i="32"/>
  <c r="I14" i="32"/>
  <c r="I26" i="32"/>
  <c r="I21" i="32"/>
  <c r="I13" i="32"/>
  <c r="I25" i="32"/>
  <c r="I20" i="32"/>
  <c r="I12" i="32"/>
  <c r="I19" i="32"/>
  <c r="I18" i="32"/>
  <c r="I17" i="32"/>
  <c r="I8" i="32"/>
  <c r="I7" i="32"/>
  <c r="I6" i="32"/>
  <c r="I10" i="32"/>
  <c r="I9" i="32"/>
  <c r="I11" i="32"/>
  <c r="AI14" i="32"/>
  <c r="AI11" i="32"/>
  <c r="AI7" i="32"/>
  <c r="AI8" i="32"/>
  <c r="AI22" i="32"/>
  <c r="AI19" i="32"/>
  <c r="AI18" i="32"/>
  <c r="AI10" i="32"/>
  <c r="AI21" i="32"/>
  <c r="AI27" i="32"/>
  <c r="AI20" i="32"/>
  <c r="AE6" i="32"/>
  <c r="AI16" i="32"/>
  <c r="Y20" i="32"/>
  <c r="W20" i="32"/>
  <c r="V20" i="32" s="1"/>
  <c r="AH6" i="32"/>
  <c r="AI17" i="32"/>
  <c r="AI13" i="32"/>
  <c r="AF6" i="32"/>
  <c r="K17" i="34" l="1"/>
  <c r="AJ17" i="34" s="1"/>
  <c r="AN17" i="34" s="1"/>
  <c r="AE12" i="34"/>
  <c r="AB12" i="34" s="1"/>
  <c r="AE18" i="34"/>
  <c r="AB18" i="34" s="1"/>
  <c r="J9" i="34"/>
  <c r="AH26" i="32"/>
  <c r="Y7" i="32"/>
  <c r="U7" i="32"/>
  <c r="K10" i="34"/>
  <c r="H10" i="34" s="1"/>
  <c r="L15" i="34"/>
  <c r="AJ15" i="34" s="1"/>
  <c r="AN15" i="34" s="1"/>
  <c r="X26" i="32"/>
  <c r="L26" i="34"/>
  <c r="AJ26" i="34" s="1"/>
  <c r="AN26" i="34" s="1"/>
  <c r="K11" i="34"/>
  <c r="H11" i="34" s="1"/>
  <c r="L8" i="34"/>
  <c r="AJ8" i="34" s="1"/>
  <c r="AN8" i="34" s="1"/>
  <c r="AG9" i="32"/>
  <c r="AF9" i="32" s="1"/>
  <c r="AE28" i="34"/>
  <c r="AD28" i="34" s="1"/>
  <c r="L19" i="34"/>
  <c r="H19" i="34" s="1"/>
  <c r="K13" i="34"/>
  <c r="H13" i="34" s="1"/>
  <c r="W25" i="32"/>
  <c r="U25" i="32" s="1"/>
  <c r="L28" i="34"/>
  <c r="AJ28" i="34" s="1"/>
  <c r="AN28" i="34" s="1"/>
  <c r="AJ9" i="34"/>
  <c r="AN9" i="34" s="1"/>
  <c r="W8" i="32"/>
  <c r="U8" i="32" s="1"/>
  <c r="AE17" i="34"/>
  <c r="AL11" i="34"/>
  <c r="AP11" i="34" s="1"/>
  <c r="W14" i="32"/>
  <c r="V14" i="32" s="1"/>
  <c r="AI25" i="34"/>
  <c r="AG23" i="32"/>
  <c r="AH23" i="32" s="1"/>
  <c r="AG25" i="32"/>
  <c r="AE25" i="32" s="1"/>
  <c r="N25" i="34"/>
  <c r="J16" i="34"/>
  <c r="AB9" i="34"/>
  <c r="H24" i="34"/>
  <c r="AL20" i="34"/>
  <c r="AP20" i="34" s="1"/>
  <c r="AG12" i="32"/>
  <c r="AF12" i="32" s="1"/>
  <c r="W15" i="32"/>
  <c r="V15" i="32" s="1"/>
  <c r="H16" i="34"/>
  <c r="AB16" i="34"/>
  <c r="V18" i="34"/>
  <c r="R18" i="34" s="1"/>
  <c r="AD24" i="34"/>
  <c r="AD11" i="34"/>
  <c r="W17" i="32"/>
  <c r="X17" i="32" s="1"/>
  <c r="U27" i="34"/>
  <c r="AK27" i="34" s="1"/>
  <c r="AO27" i="34" s="1"/>
  <c r="O25" i="34"/>
  <c r="AD16" i="34"/>
  <c r="U21" i="34"/>
  <c r="R21" i="34" s="1"/>
  <c r="U12" i="34"/>
  <c r="AK12" i="34" s="1"/>
  <c r="AO12" i="34" s="1"/>
  <c r="V19" i="34"/>
  <c r="R19" i="34" s="1"/>
  <c r="AB22" i="34"/>
  <c r="AL22" i="34"/>
  <c r="AP22" i="34" s="1"/>
  <c r="W12" i="32"/>
  <c r="V12" i="32" s="1"/>
  <c r="W10" i="32"/>
  <c r="V10" i="32" s="1"/>
  <c r="K12" i="34"/>
  <c r="V15" i="34"/>
  <c r="T15" i="34" s="1"/>
  <c r="Y6" i="32"/>
  <c r="U20" i="32"/>
  <c r="R20" i="32" s="1"/>
  <c r="Y11" i="32"/>
  <c r="W11" i="32"/>
  <c r="V11" i="32" s="1"/>
  <c r="Y27" i="32"/>
  <c r="W27" i="32"/>
  <c r="W19" i="32"/>
  <c r="V19" i="32" s="1"/>
  <c r="W16" i="32"/>
  <c r="U16" i="32" s="1"/>
  <c r="W6" i="32"/>
  <c r="X6" i="32" s="1"/>
  <c r="AE13" i="32"/>
  <c r="AB13" i="32" s="1"/>
  <c r="AE26" i="32"/>
  <c r="AB26" i="32" s="1"/>
  <c r="AE17" i="32"/>
  <c r="AC24" i="32"/>
  <c r="AC28" i="32" s="1"/>
  <c r="AE18" i="32"/>
  <c r="Y22" i="32"/>
  <c r="W13" i="32"/>
  <c r="U13" i="32" s="1"/>
  <c r="Y13" i="32"/>
  <c r="Y21" i="32"/>
  <c r="Y19" i="32"/>
  <c r="Y16" i="32"/>
  <c r="Y12" i="32"/>
  <c r="W9" i="32"/>
  <c r="U9" i="32" s="1"/>
  <c r="Y9" i="32"/>
  <c r="W18" i="32"/>
  <c r="U18" i="32" s="1"/>
  <c r="Y18" i="32"/>
  <c r="Y10" i="32"/>
  <c r="W23" i="32"/>
  <c r="U23" i="32" s="1"/>
  <c r="Y23" i="32"/>
  <c r="M11" i="32"/>
  <c r="K11" i="32" s="1"/>
  <c r="O6" i="32"/>
  <c r="M6" i="32"/>
  <c r="K6" i="32" s="1"/>
  <c r="AH19" i="32"/>
  <c r="V22" i="32"/>
  <c r="AG15" i="32"/>
  <c r="AH15" i="32" s="1"/>
  <c r="AH18" i="32"/>
  <c r="X21" i="32"/>
  <c r="S24" i="32"/>
  <c r="Y24" i="32" s="1"/>
  <c r="AF19" i="32"/>
  <c r="AB19" i="32" s="1"/>
  <c r="AF17" i="32"/>
  <c r="AH21" i="32"/>
  <c r="AH11" i="32"/>
  <c r="AH13" i="32"/>
  <c r="AF22" i="32"/>
  <c r="AF11" i="32"/>
  <c r="AD11" i="32" s="1"/>
  <c r="AE21" i="32"/>
  <c r="AF14" i="32"/>
  <c r="AE16" i="32"/>
  <c r="AF16" i="32"/>
  <c r="AF7" i="32"/>
  <c r="AE14" i="32"/>
  <c r="X20" i="32"/>
  <c r="U17" i="34"/>
  <c r="AK17" i="34" s="1"/>
  <c r="AO17" i="34" s="1"/>
  <c r="X17" i="34"/>
  <c r="AF21" i="34"/>
  <c r="AB21" i="34" s="1"/>
  <c r="K7" i="34"/>
  <c r="M25" i="34"/>
  <c r="M29" i="34" s="1"/>
  <c r="AF7" i="34"/>
  <c r="AL7" i="34" s="1"/>
  <c r="AP7" i="34" s="1"/>
  <c r="AB11" i="34"/>
  <c r="AD9" i="34"/>
  <c r="H21" i="34"/>
  <c r="AB20" i="34"/>
  <c r="J24" i="34"/>
  <c r="U13" i="34"/>
  <c r="R13" i="34" s="1"/>
  <c r="AJ21" i="34"/>
  <c r="AN21" i="34" s="1"/>
  <c r="AB26" i="34"/>
  <c r="AB10" i="34"/>
  <c r="AD26" i="34"/>
  <c r="AL10" i="34"/>
  <c r="AP10" i="34" s="1"/>
  <c r="U10" i="34"/>
  <c r="T10" i="34" s="1"/>
  <c r="U14" i="34"/>
  <c r="R14" i="34" s="1"/>
  <c r="V16" i="34"/>
  <c r="R16" i="34" s="1"/>
  <c r="V7" i="34"/>
  <c r="T7" i="34" s="1"/>
  <c r="V20" i="34"/>
  <c r="AK20" i="34" s="1"/>
  <c r="AO20" i="34" s="1"/>
  <c r="V23" i="34"/>
  <c r="R23" i="34" s="1"/>
  <c r="AJ22" i="34"/>
  <c r="AN22" i="34" s="1"/>
  <c r="AJ27" i="34"/>
  <c r="AN27" i="34" s="1"/>
  <c r="J14" i="34"/>
  <c r="AJ14" i="34"/>
  <c r="AN14" i="34" s="1"/>
  <c r="H27" i="34"/>
  <c r="AJ23" i="34"/>
  <c r="AN23" i="34" s="1"/>
  <c r="H22" i="34"/>
  <c r="J23" i="34"/>
  <c r="AF15" i="34"/>
  <c r="AD15" i="34" s="1"/>
  <c r="AG25" i="34"/>
  <c r="AD13" i="34"/>
  <c r="AL13" i="34"/>
  <c r="AP13" i="34" s="1"/>
  <c r="AB14" i="34"/>
  <c r="AB24" i="34"/>
  <c r="AL14" i="34"/>
  <c r="AP14" i="34" s="1"/>
  <c r="AL19" i="34"/>
  <c r="AP19" i="34" s="1"/>
  <c r="AD19" i="34"/>
  <c r="AB19" i="34"/>
  <c r="V9" i="34"/>
  <c r="T9" i="34" s="1"/>
  <c r="AJ18" i="34"/>
  <c r="AN18" i="34" s="1"/>
  <c r="H18" i="34"/>
  <c r="J18" i="34"/>
  <c r="U8" i="34"/>
  <c r="V11" i="34"/>
  <c r="T11" i="34" s="1"/>
  <c r="AB8" i="34"/>
  <c r="AD8" i="34"/>
  <c r="AL8" i="34"/>
  <c r="AP8" i="34" s="1"/>
  <c r="AL24" i="34"/>
  <c r="AP24" i="34" s="1"/>
  <c r="AJ20" i="34"/>
  <c r="AN20" i="34" s="1"/>
  <c r="H20" i="34"/>
  <c r="J20" i="34"/>
  <c r="U22" i="34"/>
  <c r="AL23" i="34"/>
  <c r="AP23" i="34" s="1"/>
  <c r="AD23" i="34"/>
  <c r="AB23" i="34"/>
  <c r="J17" i="34"/>
  <c r="H17" i="34"/>
  <c r="U26" i="34"/>
  <c r="W25" i="34"/>
  <c r="W29" i="34" s="1"/>
  <c r="U28" i="34"/>
  <c r="U24" i="34"/>
  <c r="AI29" i="34"/>
  <c r="AD27" i="34"/>
  <c r="AB27" i="34"/>
  <c r="AL27" i="34"/>
  <c r="AP27" i="34" s="1"/>
  <c r="N29" i="34"/>
  <c r="O29" i="34"/>
  <c r="S29" i="34"/>
  <c r="Y25" i="34"/>
  <c r="N15" i="32"/>
  <c r="M15" i="32"/>
  <c r="L15" i="32" s="1"/>
  <c r="V7" i="32"/>
  <c r="AH20" i="32"/>
  <c r="AH9" i="32"/>
  <c r="AE10" i="32"/>
  <c r="O7" i="32"/>
  <c r="M7" i="32"/>
  <c r="N7" i="32" s="1"/>
  <c r="N25" i="32"/>
  <c r="M25" i="32"/>
  <c r="L25" i="32" s="1"/>
  <c r="N23" i="32"/>
  <c r="M23" i="32"/>
  <c r="L23" i="32" s="1"/>
  <c r="AE27" i="32"/>
  <c r="AF10" i="32"/>
  <c r="AE8" i="32"/>
  <c r="M8" i="32"/>
  <c r="L8" i="32" s="1"/>
  <c r="O8" i="32"/>
  <c r="O13" i="32"/>
  <c r="M13" i="32"/>
  <c r="K13" i="32" s="1"/>
  <c r="AF27" i="32"/>
  <c r="AE22" i="32"/>
  <c r="AF8" i="32"/>
  <c r="O16" i="32"/>
  <c r="M16" i="32"/>
  <c r="L16" i="32" s="1"/>
  <c r="O21" i="32"/>
  <c r="M21" i="32"/>
  <c r="K21" i="32" s="1"/>
  <c r="N26" i="32"/>
  <c r="M26" i="32"/>
  <c r="K26" i="32" s="1"/>
  <c r="AB6" i="32"/>
  <c r="AD6" i="32"/>
  <c r="O17" i="32"/>
  <c r="M17" i="32"/>
  <c r="N17" i="32" s="1"/>
  <c r="AI24" i="32"/>
  <c r="O11" i="32"/>
  <c r="M18" i="32"/>
  <c r="N18" i="32" s="1"/>
  <c r="O18" i="32"/>
  <c r="O14" i="32"/>
  <c r="M14" i="32"/>
  <c r="N14" i="32" s="1"/>
  <c r="AE20" i="32"/>
  <c r="AH12" i="32"/>
  <c r="U26" i="32"/>
  <c r="AE7" i="32"/>
  <c r="N9" i="32"/>
  <c r="M9" i="32"/>
  <c r="K9" i="32" s="1"/>
  <c r="M19" i="32"/>
  <c r="K19" i="32" s="1"/>
  <c r="O19" i="32"/>
  <c r="O22" i="32"/>
  <c r="M22" i="32"/>
  <c r="L22" i="32" s="1"/>
  <c r="M10" i="32"/>
  <c r="K10" i="32" s="1"/>
  <c r="O10" i="32"/>
  <c r="M12" i="32"/>
  <c r="L12" i="32" s="1"/>
  <c r="N12" i="32"/>
  <c r="N27" i="32"/>
  <c r="M27" i="32"/>
  <c r="L27" i="32" s="1"/>
  <c r="I24" i="32"/>
  <c r="O20" i="32"/>
  <c r="M20" i="32"/>
  <c r="N20" i="32" s="1"/>
  <c r="J19" i="34" l="1"/>
  <c r="AJ19" i="34"/>
  <c r="AN19" i="34" s="1"/>
  <c r="AD12" i="34"/>
  <c r="T12" i="34"/>
  <c r="AL12" i="34"/>
  <c r="AP12" i="34" s="1"/>
  <c r="AE25" i="34"/>
  <c r="AE29" i="34" s="1"/>
  <c r="AD31" i="34" s="1"/>
  <c r="AL28" i="34"/>
  <c r="AP28" i="34" s="1"/>
  <c r="AE12" i="32"/>
  <c r="AD18" i="34"/>
  <c r="AJ11" i="34"/>
  <c r="AN11" i="34" s="1"/>
  <c r="J11" i="34"/>
  <c r="J10" i="34"/>
  <c r="AL18" i="34"/>
  <c r="AP18" i="34" s="1"/>
  <c r="J15" i="34"/>
  <c r="AJ10" i="34"/>
  <c r="AN10" i="34" s="1"/>
  <c r="J26" i="34"/>
  <c r="U6" i="32"/>
  <c r="V6" i="32"/>
  <c r="U12" i="32"/>
  <c r="U27" i="32"/>
  <c r="V27" i="32"/>
  <c r="H15" i="34"/>
  <c r="L25" i="34"/>
  <c r="L29" i="34" s="1"/>
  <c r="I32" i="34" s="1"/>
  <c r="H8" i="34"/>
  <c r="AE9" i="32"/>
  <c r="T19" i="34"/>
  <c r="J8" i="34"/>
  <c r="T21" i="34"/>
  <c r="AB28" i="34"/>
  <c r="H26" i="34"/>
  <c r="AJ13" i="34"/>
  <c r="AN13" i="34" s="1"/>
  <c r="AK21" i="34"/>
  <c r="AO21" i="34" s="1"/>
  <c r="AK18" i="34"/>
  <c r="AO18" i="34" s="1"/>
  <c r="T18" i="34"/>
  <c r="V25" i="32"/>
  <c r="T25" i="32" s="1"/>
  <c r="AD19" i="32"/>
  <c r="AK15" i="34"/>
  <c r="AO15" i="34" s="1"/>
  <c r="X15" i="32"/>
  <c r="J13" i="34"/>
  <c r="AE23" i="32"/>
  <c r="AD13" i="32"/>
  <c r="V13" i="32"/>
  <c r="R13" i="32" s="1"/>
  <c r="AF23" i="32"/>
  <c r="R15" i="34"/>
  <c r="X8" i="32"/>
  <c r="V8" i="32"/>
  <c r="AK8" i="32" s="1"/>
  <c r="AN8" i="32" s="1"/>
  <c r="AK19" i="34"/>
  <c r="AO19" i="34" s="1"/>
  <c r="X12" i="32"/>
  <c r="AB18" i="32"/>
  <c r="X14" i="32"/>
  <c r="U14" i="32"/>
  <c r="AK14" i="32" s="1"/>
  <c r="AN14" i="32" s="1"/>
  <c r="J28" i="34"/>
  <c r="H28" i="34"/>
  <c r="S28" i="32"/>
  <c r="Y28" i="32" s="1"/>
  <c r="AB7" i="34"/>
  <c r="R12" i="34"/>
  <c r="AB16" i="32"/>
  <c r="T20" i="32"/>
  <c r="AK13" i="34"/>
  <c r="AO13" i="34" s="1"/>
  <c r="U15" i="32"/>
  <c r="R15" i="32" s="1"/>
  <c r="AD18" i="32"/>
  <c r="AD17" i="34"/>
  <c r="AB17" i="34"/>
  <c r="AL17" i="34"/>
  <c r="AP17" i="34" s="1"/>
  <c r="AF25" i="32"/>
  <c r="AK7" i="34"/>
  <c r="AO7" i="34" s="1"/>
  <c r="AD26" i="32"/>
  <c r="V17" i="32"/>
  <c r="AB17" i="32"/>
  <c r="R20" i="34"/>
  <c r="T20" i="34"/>
  <c r="R27" i="34"/>
  <c r="T27" i="34"/>
  <c r="AB21" i="32"/>
  <c r="X11" i="32"/>
  <c r="AK14" i="34"/>
  <c r="AO14" i="34" s="1"/>
  <c r="R10" i="34"/>
  <c r="T17" i="34"/>
  <c r="AK10" i="34"/>
  <c r="AO10" i="34" s="1"/>
  <c r="AL21" i="34"/>
  <c r="AP21" i="34" s="1"/>
  <c r="AD21" i="34"/>
  <c r="U17" i="32"/>
  <c r="X10" i="32"/>
  <c r="T13" i="34"/>
  <c r="AD17" i="32"/>
  <c r="N6" i="32"/>
  <c r="U10" i="32"/>
  <c r="T14" i="34"/>
  <c r="J12" i="34"/>
  <c r="AJ12" i="34"/>
  <c r="AN12" i="34" s="1"/>
  <c r="H12" i="34"/>
  <c r="AD7" i="34"/>
  <c r="X16" i="32"/>
  <c r="AK20" i="32"/>
  <c r="AN20" i="32" s="1"/>
  <c r="X27" i="32"/>
  <c r="X19" i="32"/>
  <c r="U11" i="32"/>
  <c r="AK11" i="32" s="1"/>
  <c r="AN11" i="32" s="1"/>
  <c r="U19" i="32"/>
  <c r="AK19" i="32" s="1"/>
  <c r="AN19" i="32" s="1"/>
  <c r="AD16" i="32"/>
  <c r="AD14" i="32"/>
  <c r="X18" i="32"/>
  <c r="V18" i="32"/>
  <c r="V23" i="32"/>
  <c r="R23" i="32" s="1"/>
  <c r="X23" i="32"/>
  <c r="V9" i="32"/>
  <c r="X9" i="32"/>
  <c r="X13" i="32"/>
  <c r="U22" i="32"/>
  <c r="X22" i="32"/>
  <c r="K20" i="32"/>
  <c r="K18" i="32"/>
  <c r="L17" i="32"/>
  <c r="K17" i="32"/>
  <c r="L11" i="32"/>
  <c r="AJ11" i="32" s="1"/>
  <c r="AM11" i="32" s="1"/>
  <c r="L7" i="32"/>
  <c r="K7" i="32"/>
  <c r="L6" i="32"/>
  <c r="K14" i="32"/>
  <c r="L20" i="32"/>
  <c r="L19" i="32"/>
  <c r="AJ19" i="32" s="1"/>
  <c r="AM19" i="32" s="1"/>
  <c r="N10" i="32"/>
  <c r="AG24" i="32"/>
  <c r="AG28" i="32" s="1"/>
  <c r="AB12" i="32"/>
  <c r="AE15" i="32"/>
  <c r="N22" i="32"/>
  <c r="N11" i="32"/>
  <c r="AD12" i="32"/>
  <c r="AB14" i="32"/>
  <c r="V16" i="32"/>
  <c r="U21" i="32"/>
  <c r="V21" i="32"/>
  <c r="AF15" i="32"/>
  <c r="AF24" i="32" s="1"/>
  <c r="W24" i="32"/>
  <c r="W28" i="32" s="1"/>
  <c r="AD21" i="32"/>
  <c r="L10" i="32"/>
  <c r="H10" i="32" s="1"/>
  <c r="AB11" i="32"/>
  <c r="N16" i="32"/>
  <c r="N8" i="32"/>
  <c r="N19" i="32"/>
  <c r="L18" i="32"/>
  <c r="K27" i="32"/>
  <c r="AJ27" i="32" s="1"/>
  <c r="AM27" i="32" s="1"/>
  <c r="K25" i="32"/>
  <c r="L21" i="32"/>
  <c r="K8" i="32"/>
  <c r="K22" i="32"/>
  <c r="H22" i="32" s="1"/>
  <c r="L9" i="32"/>
  <c r="K16" i="32"/>
  <c r="T16" i="34"/>
  <c r="AK16" i="34"/>
  <c r="AO16" i="34" s="1"/>
  <c r="R17" i="34"/>
  <c r="H7" i="34"/>
  <c r="AJ7" i="34"/>
  <c r="AN7" i="34" s="1"/>
  <c r="J7" i="34"/>
  <c r="K25" i="34"/>
  <c r="K29" i="34" s="1"/>
  <c r="I31" i="34" s="1"/>
  <c r="R7" i="34"/>
  <c r="AB15" i="34"/>
  <c r="AF25" i="34"/>
  <c r="AF29" i="34" s="1"/>
  <c r="AD32" i="34" s="1"/>
  <c r="T23" i="34"/>
  <c r="AK23" i="34"/>
  <c r="AO23" i="34" s="1"/>
  <c r="R11" i="34"/>
  <c r="AG29" i="34"/>
  <c r="AH29" i="34" s="1"/>
  <c r="AH25" i="34"/>
  <c r="AL15" i="34"/>
  <c r="AP15" i="34" s="1"/>
  <c r="AK26" i="34"/>
  <c r="AO26" i="34" s="1"/>
  <c r="R26" i="34"/>
  <c r="T26" i="34"/>
  <c r="AK9" i="34"/>
  <c r="AO9" i="34" s="1"/>
  <c r="R22" i="34"/>
  <c r="AK22" i="34"/>
  <c r="AO22" i="34" s="1"/>
  <c r="T22" i="34"/>
  <c r="V25" i="34"/>
  <c r="V29" i="34" s="1"/>
  <c r="T32" i="34" s="1"/>
  <c r="R9" i="34"/>
  <c r="AK8" i="34"/>
  <c r="AO8" i="34" s="1"/>
  <c r="T8" i="34"/>
  <c r="R8" i="34"/>
  <c r="U25" i="34"/>
  <c r="U29" i="34" s="1"/>
  <c r="T31" i="34" s="1"/>
  <c r="X25" i="34"/>
  <c r="X29" i="34"/>
  <c r="Y29" i="34"/>
  <c r="AK24" i="34"/>
  <c r="AO24" i="34" s="1"/>
  <c r="T24" i="34"/>
  <c r="R24" i="34"/>
  <c r="AK11" i="34"/>
  <c r="AO11" i="34" s="1"/>
  <c r="AK28" i="34"/>
  <c r="AO28" i="34" s="1"/>
  <c r="R28" i="34"/>
  <c r="T28" i="34"/>
  <c r="K15" i="32"/>
  <c r="N21" i="32"/>
  <c r="K23" i="32"/>
  <c r="AB7" i="32"/>
  <c r="AD7" i="32"/>
  <c r="L26" i="32"/>
  <c r="AB22" i="32"/>
  <c r="AD22" i="32"/>
  <c r="N13" i="32"/>
  <c r="AB27" i="32"/>
  <c r="AD27" i="32"/>
  <c r="M24" i="32"/>
  <c r="M28" i="32" s="1"/>
  <c r="AD20" i="32"/>
  <c r="AB20" i="32"/>
  <c r="AB8" i="32"/>
  <c r="AD8" i="32"/>
  <c r="R7" i="32"/>
  <c r="T7" i="32"/>
  <c r="AK7" i="32"/>
  <c r="AN7" i="32" s="1"/>
  <c r="AD10" i="32"/>
  <c r="AB10" i="32"/>
  <c r="I28" i="32"/>
  <c r="O24" i="32"/>
  <c r="AK26" i="32"/>
  <c r="AN26" i="32" s="1"/>
  <c r="T26" i="32"/>
  <c r="R26" i="32"/>
  <c r="K12" i="32"/>
  <c r="L14" i="32"/>
  <c r="AH24" i="32"/>
  <c r="L13" i="32"/>
  <c r="AH28" i="32"/>
  <c r="AI28" i="32"/>
  <c r="R27" i="32" l="1"/>
  <c r="R25" i="32"/>
  <c r="AD23" i="32"/>
  <c r="AB9" i="32"/>
  <c r="AD9" i="32"/>
  <c r="AK25" i="32"/>
  <c r="AN25" i="32" s="1"/>
  <c r="AB23" i="32"/>
  <c r="AF28" i="32"/>
  <c r="AD31" i="32" s="1"/>
  <c r="R8" i="32"/>
  <c r="X28" i="32"/>
  <c r="R14" i="32"/>
  <c r="T14" i="32"/>
  <c r="T8" i="32"/>
  <c r="R19" i="32"/>
  <c r="T19" i="32"/>
  <c r="AK15" i="32"/>
  <c r="AN15" i="32" s="1"/>
  <c r="AB25" i="34"/>
  <c r="AB29" i="34" s="1"/>
  <c r="R6" i="32"/>
  <c r="T6" i="32"/>
  <c r="AN25" i="34"/>
  <c r="AN29" i="34" s="1"/>
  <c r="AK23" i="32"/>
  <c r="AN23" i="32" s="1"/>
  <c r="J25" i="34"/>
  <c r="J29" i="34" s="1"/>
  <c r="AB25" i="32"/>
  <c r="AD25" i="34"/>
  <c r="AD29" i="34" s="1"/>
  <c r="T15" i="32"/>
  <c r="AP25" i="34"/>
  <c r="AP29" i="34" s="1"/>
  <c r="T17" i="32"/>
  <c r="AD25" i="32"/>
  <c r="H19" i="32"/>
  <c r="R11" i="32"/>
  <c r="R17" i="32"/>
  <c r="AK6" i="32"/>
  <c r="AN6" i="32" s="1"/>
  <c r="T27" i="32"/>
  <c r="AK27" i="32"/>
  <c r="AN27" i="32" s="1"/>
  <c r="AK17" i="32"/>
  <c r="AN17" i="32" s="1"/>
  <c r="H25" i="34"/>
  <c r="H29" i="34" s="1"/>
  <c r="AJ25" i="34"/>
  <c r="AJ29" i="34" s="1"/>
  <c r="J8" i="32"/>
  <c r="L32" i="32" s="1"/>
  <c r="AJ26" i="32"/>
  <c r="AM26" i="32" s="1"/>
  <c r="AJ21" i="32"/>
  <c r="AM21" i="32" s="1"/>
  <c r="AJ25" i="32"/>
  <c r="AM25" i="32" s="1"/>
  <c r="J27" i="32"/>
  <c r="L51" i="32" s="1"/>
  <c r="T12" i="32"/>
  <c r="AK12" i="32"/>
  <c r="AN12" i="32" s="1"/>
  <c r="R12" i="32"/>
  <c r="J10" i="32"/>
  <c r="K34" i="32" s="1"/>
  <c r="AK10" i="32"/>
  <c r="AN10" i="32" s="1"/>
  <c r="T10" i="32"/>
  <c r="R10" i="32"/>
  <c r="AJ13" i="32"/>
  <c r="AM13" i="32" s="1"/>
  <c r="H9" i="32"/>
  <c r="J19" i="32"/>
  <c r="K43" i="32" s="1"/>
  <c r="AJ22" i="32"/>
  <c r="AM22" i="32" s="1"/>
  <c r="T11" i="32"/>
  <c r="AD15" i="32"/>
  <c r="X24" i="32"/>
  <c r="T23" i="32"/>
  <c r="AK18" i="32"/>
  <c r="AN18" i="32" s="1"/>
  <c r="T18" i="32"/>
  <c r="U24" i="32"/>
  <c r="U28" i="32" s="1"/>
  <c r="T30" i="32" s="1"/>
  <c r="V24" i="32"/>
  <c r="V28" i="32" s="1"/>
  <c r="T31" i="32" s="1"/>
  <c r="T13" i="32"/>
  <c r="R18" i="32"/>
  <c r="AK22" i="32"/>
  <c r="AN22" i="32" s="1"/>
  <c r="R22" i="32"/>
  <c r="T22" i="32"/>
  <c r="AK13" i="32"/>
  <c r="AN13" i="32" s="1"/>
  <c r="T9" i="32"/>
  <c r="AK9" i="32"/>
  <c r="AN9" i="32" s="1"/>
  <c r="R9" i="32"/>
  <c r="AJ9" i="32"/>
  <c r="AM9" i="32" s="1"/>
  <c r="AJ14" i="32"/>
  <c r="AM14" i="32" s="1"/>
  <c r="J22" i="32"/>
  <c r="L46" i="32" s="1"/>
  <c r="H16" i="32"/>
  <c r="J16" i="32"/>
  <c r="L40" i="32" s="1"/>
  <c r="J9" i="32"/>
  <c r="K33" i="32" s="1"/>
  <c r="J11" i="32"/>
  <c r="K35" i="32" s="1"/>
  <c r="AJ10" i="32"/>
  <c r="AM10" i="32" s="1"/>
  <c r="AJ20" i="32"/>
  <c r="AM20" i="32" s="1"/>
  <c r="AJ8" i="32"/>
  <c r="AM8" i="32" s="1"/>
  <c r="J20" i="32"/>
  <c r="K44" i="32" s="1"/>
  <c r="AJ16" i="32"/>
  <c r="AM16" i="32" s="1"/>
  <c r="N24" i="32"/>
  <c r="H20" i="32"/>
  <c r="H18" i="32"/>
  <c r="H8" i="32"/>
  <c r="H21" i="32"/>
  <c r="J18" i="32"/>
  <c r="L42" i="32" s="1"/>
  <c r="AJ18" i="32"/>
  <c r="AM18" i="32" s="1"/>
  <c r="H11" i="32"/>
  <c r="AB24" i="32"/>
  <c r="H27" i="32"/>
  <c r="T21" i="32"/>
  <c r="R21" i="32"/>
  <c r="AK21" i="32"/>
  <c r="AN21" i="32" s="1"/>
  <c r="AB15" i="32"/>
  <c r="AE24" i="32"/>
  <c r="AE28" i="32" s="1"/>
  <c r="AD30" i="32" s="1"/>
  <c r="AK16" i="32"/>
  <c r="AN16" i="32" s="1"/>
  <c r="T16" i="32"/>
  <c r="R16" i="32"/>
  <c r="AD24" i="32"/>
  <c r="J21" i="32"/>
  <c r="K45" i="32" s="1"/>
  <c r="H25" i="32"/>
  <c r="J25" i="32"/>
  <c r="L49" i="32" s="1"/>
  <c r="H26" i="32"/>
  <c r="J26" i="32"/>
  <c r="K50" i="32" s="1"/>
  <c r="T25" i="34"/>
  <c r="T29" i="34" s="1"/>
  <c r="R25" i="34"/>
  <c r="R29" i="34" s="1"/>
  <c r="AL25" i="34"/>
  <c r="AL29" i="34" s="1"/>
  <c r="AO25" i="34"/>
  <c r="AO29" i="34" s="1"/>
  <c r="AK25" i="34"/>
  <c r="AK29" i="34" s="1"/>
  <c r="AJ17" i="32"/>
  <c r="AM17" i="32" s="1"/>
  <c r="J17" i="32"/>
  <c r="L41" i="32" s="1"/>
  <c r="H17" i="32"/>
  <c r="H15" i="32"/>
  <c r="AJ15" i="32"/>
  <c r="AM15" i="32" s="1"/>
  <c r="J15" i="32"/>
  <c r="L39" i="32" s="1"/>
  <c r="H13" i="32"/>
  <c r="J13" i="32"/>
  <c r="K37" i="32" s="1"/>
  <c r="N28" i="32"/>
  <c r="O28" i="32"/>
  <c r="H14" i="32"/>
  <c r="J14" i="32"/>
  <c r="K38" i="32" s="1"/>
  <c r="AJ12" i="32"/>
  <c r="AM12" i="32" s="1"/>
  <c r="J12" i="32"/>
  <c r="L36" i="32" s="1"/>
  <c r="H12" i="32"/>
  <c r="AJ7" i="32"/>
  <c r="AM7" i="32" s="1"/>
  <c r="J7" i="32"/>
  <c r="K31" i="32" s="1"/>
  <c r="H7" i="32"/>
  <c r="L24" i="32"/>
  <c r="K24" i="32"/>
  <c r="AJ6" i="32"/>
  <c r="AM6" i="32" s="1"/>
  <c r="H6" i="32"/>
  <c r="J6" i="32"/>
  <c r="K30" i="32" s="1"/>
  <c r="H23" i="32"/>
  <c r="AJ23" i="32"/>
  <c r="AM23" i="32" s="1"/>
  <c r="J23" i="32"/>
  <c r="L47" i="32" s="1"/>
  <c r="AB28" i="32" l="1"/>
  <c r="AD28" i="32"/>
  <c r="L34" i="32"/>
  <c r="K51" i="32"/>
  <c r="K46" i="32"/>
  <c r="L35" i="32"/>
  <c r="L33" i="32"/>
  <c r="L45" i="32"/>
  <c r="K41" i="32"/>
  <c r="K39" i="32"/>
  <c r="L50" i="32"/>
  <c r="L38" i="32"/>
  <c r="K47" i="32"/>
  <c r="K42" i="32"/>
  <c r="L37" i="32"/>
  <c r="L31" i="32"/>
  <c r="L30" i="32"/>
  <c r="L44" i="32"/>
  <c r="K40" i="32"/>
  <c r="K49" i="32"/>
  <c r="K32" i="32"/>
  <c r="K28" i="32"/>
  <c r="L28" i="32"/>
  <c r="L43" i="32"/>
  <c r="K36" i="32"/>
  <c r="R24" i="32"/>
  <c r="R28" i="32" s="1"/>
  <c r="T24" i="32"/>
  <c r="T28" i="32" s="1"/>
  <c r="AN24" i="32"/>
  <c r="AN28" i="32" s="1"/>
  <c r="AK24" i="32"/>
  <c r="AK28" i="32" s="1"/>
  <c r="H24" i="32"/>
  <c r="H28" i="32" s="1"/>
  <c r="J24" i="32"/>
  <c r="J28" i="32" s="1"/>
  <c r="AJ24" i="32"/>
  <c r="AJ28" i="32" s="1"/>
  <c r="AM24" i="32"/>
  <c r="AM28" i="32" s="1"/>
  <c r="K48" i="32" l="1"/>
  <c r="L48" i="32"/>
  <c r="I30" i="32"/>
  <c r="K52" i="32"/>
  <c r="I31" i="32"/>
  <c r="L52" i="32"/>
  <c r="AC31" i="33"/>
  <c r="S34" i="33"/>
  <c r="AC32" i="33" l="1"/>
  <c r="H34" i="33"/>
  <c r="AO29" i="33"/>
  <c r="AN29" i="33"/>
  <c r="AM29" i="33"/>
  <c r="AI27" i="33"/>
  <c r="Y27" i="33"/>
  <c r="Q27" i="33"/>
  <c r="O27" i="33"/>
  <c r="G27" i="33"/>
  <c r="AI26" i="33"/>
  <c r="Y26" i="33"/>
  <c r="Q26" i="33"/>
  <c r="O26" i="33"/>
  <c r="G26" i="33"/>
  <c r="AI25" i="33"/>
  <c r="Y25" i="33"/>
  <c r="Q25" i="33"/>
  <c r="O25" i="33"/>
  <c r="G25" i="33"/>
  <c r="Z24" i="33"/>
  <c r="P24" i="33"/>
  <c r="P28" i="33" s="1"/>
  <c r="AI23" i="33"/>
  <c r="AA23" i="33"/>
  <c r="Y23" i="33"/>
  <c r="Q23" i="33"/>
  <c r="O23" i="33"/>
  <c r="G23" i="33"/>
  <c r="AA22" i="33"/>
  <c r="Q22" i="33"/>
  <c r="O22" i="33"/>
  <c r="G22" i="33"/>
  <c r="AI21" i="33"/>
  <c r="AA21" i="33"/>
  <c r="Y21" i="33"/>
  <c r="Q21" i="33"/>
  <c r="O21" i="33"/>
  <c r="G21" i="33"/>
  <c r="AI20" i="33"/>
  <c r="AA20" i="33"/>
  <c r="Q20" i="33"/>
  <c r="G20" i="33"/>
  <c r="AA19" i="33"/>
  <c r="Q19" i="33"/>
  <c r="G19" i="33"/>
  <c r="AA18" i="33"/>
  <c r="Q18" i="33"/>
  <c r="G18" i="33"/>
  <c r="AA17" i="33"/>
  <c r="Q17" i="33"/>
  <c r="G17" i="33"/>
  <c r="AI16" i="33"/>
  <c r="AA16" i="33"/>
  <c r="Q16" i="33"/>
  <c r="G16" i="33"/>
  <c r="AA15" i="33"/>
  <c r="Q15" i="33"/>
  <c r="G15" i="33"/>
  <c r="AI14" i="33"/>
  <c r="AA14" i="33"/>
  <c r="Y14" i="33"/>
  <c r="Q14" i="33"/>
  <c r="G14" i="33"/>
  <c r="AI13" i="33"/>
  <c r="AA13" i="33"/>
  <c r="Y13" i="33"/>
  <c r="Q13" i="33"/>
  <c r="O13" i="33"/>
  <c r="G13" i="33"/>
  <c r="AA12" i="33"/>
  <c r="Q12" i="33"/>
  <c r="G12" i="33"/>
  <c r="AI11" i="33"/>
  <c r="AA11" i="33"/>
  <c r="Q11" i="33"/>
  <c r="G11" i="33"/>
  <c r="AA10" i="33"/>
  <c r="Q10" i="33"/>
  <c r="G10" i="33"/>
  <c r="AI9" i="33"/>
  <c r="AA9" i="33"/>
  <c r="Q9" i="33"/>
  <c r="G9" i="33"/>
  <c r="AA8" i="33"/>
  <c r="Q8" i="33"/>
  <c r="G8" i="33"/>
  <c r="AI7" i="33"/>
  <c r="AA7" i="33"/>
  <c r="Y7" i="33"/>
  <c r="Q7" i="33"/>
  <c r="O7" i="33"/>
  <c r="G7" i="33"/>
  <c r="AA6" i="33"/>
  <c r="Q6" i="33"/>
  <c r="G6" i="33"/>
  <c r="G24" i="33" l="1"/>
  <c r="G28" i="33" s="1"/>
  <c r="I11" i="33" s="1"/>
  <c r="M11" i="33" s="1"/>
  <c r="L11" i="33" s="1"/>
  <c r="AA24" i="33"/>
  <c r="AA28" i="33" s="1"/>
  <c r="AC8" i="33" s="1"/>
  <c r="AC34" i="33"/>
  <c r="Q24" i="33"/>
  <c r="Q28" i="33" s="1"/>
  <c r="S18" i="33" s="1"/>
  <c r="Y18" i="33" s="1"/>
  <c r="F28" i="33"/>
  <c r="Z28" i="33"/>
  <c r="I8" i="33" l="1"/>
  <c r="O8" i="33" s="1"/>
  <c r="I12" i="33"/>
  <c r="O12" i="33" s="1"/>
  <c r="I20" i="33"/>
  <c r="M20" i="33" s="1"/>
  <c r="L20" i="33" s="1"/>
  <c r="I23" i="33"/>
  <c r="M23" i="33" s="1"/>
  <c r="L23" i="33" s="1"/>
  <c r="I21" i="33"/>
  <c r="N21" i="33" s="1"/>
  <c r="I7" i="33"/>
  <c r="N7" i="33" s="1"/>
  <c r="AC15" i="33"/>
  <c r="AH15" i="33" s="1"/>
  <c r="I9" i="33"/>
  <c r="O9" i="33" s="1"/>
  <c r="I17" i="33"/>
  <c r="M17" i="33" s="1"/>
  <c r="N17" i="33" s="1"/>
  <c r="I14" i="33"/>
  <c r="M14" i="33" s="1"/>
  <c r="K14" i="33" s="1"/>
  <c r="I27" i="33"/>
  <c r="N27" i="33" s="1"/>
  <c r="I15" i="33"/>
  <c r="M15" i="33" s="1"/>
  <c r="L15" i="33" s="1"/>
  <c r="I26" i="33"/>
  <c r="M26" i="33" s="1"/>
  <c r="L26" i="33" s="1"/>
  <c r="I10" i="33"/>
  <c r="O10" i="33" s="1"/>
  <c r="I6" i="33"/>
  <c r="O6" i="33" s="1"/>
  <c r="I18" i="33"/>
  <c r="M18" i="33" s="1"/>
  <c r="L18" i="33" s="1"/>
  <c r="I25" i="33"/>
  <c r="N25" i="33" s="1"/>
  <c r="I22" i="33"/>
  <c r="N22" i="33" s="1"/>
  <c r="I13" i="33"/>
  <c r="M13" i="33" s="1"/>
  <c r="K13" i="33" s="1"/>
  <c r="I19" i="33"/>
  <c r="M19" i="33" s="1"/>
  <c r="K19" i="33" s="1"/>
  <c r="AC7" i="33"/>
  <c r="AH7" i="33" s="1"/>
  <c r="AC26" i="33"/>
  <c r="AH26" i="33" s="1"/>
  <c r="AC14" i="33"/>
  <c r="AH14" i="33" s="1"/>
  <c r="AC18" i="33"/>
  <c r="AC25" i="33"/>
  <c r="AH25" i="33" s="1"/>
  <c r="O11" i="33"/>
  <c r="I16" i="33"/>
  <c r="O16" i="33" s="1"/>
  <c r="AC20" i="33"/>
  <c r="AH20" i="33" s="1"/>
  <c r="AC13" i="33"/>
  <c r="AH13" i="33" s="1"/>
  <c r="AC17" i="33"/>
  <c r="AC23" i="33"/>
  <c r="AH23" i="33" s="1"/>
  <c r="AC21" i="33"/>
  <c r="AH21" i="33" s="1"/>
  <c r="AC27" i="33"/>
  <c r="AC22" i="33"/>
  <c r="AC12" i="33"/>
  <c r="AH12" i="33" s="1"/>
  <c r="AC11" i="33"/>
  <c r="AC9" i="33"/>
  <c r="AH9" i="33" s="1"/>
  <c r="AC16" i="33"/>
  <c r="AH16" i="33" s="1"/>
  <c r="AC10" i="33"/>
  <c r="AC6" i="33"/>
  <c r="AI6" i="33" s="1"/>
  <c r="AC19" i="33"/>
  <c r="AI19" i="33" s="1"/>
  <c r="S17" i="33"/>
  <c r="S22" i="33"/>
  <c r="W22" i="33" s="1"/>
  <c r="V22" i="33" s="1"/>
  <c r="S21" i="33"/>
  <c r="W21" i="33" s="1"/>
  <c r="V21" i="33" s="1"/>
  <c r="O19" i="33"/>
  <c r="K11" i="33"/>
  <c r="AI17" i="33"/>
  <c r="AI15" i="33"/>
  <c r="AI10" i="33"/>
  <c r="O18" i="33"/>
  <c r="AI12" i="33"/>
  <c r="O14" i="33"/>
  <c r="O15" i="33"/>
  <c r="N11" i="33"/>
  <c r="W18" i="33"/>
  <c r="U18" i="33" s="1"/>
  <c r="AI22" i="33"/>
  <c r="AI18" i="33"/>
  <c r="O17" i="33"/>
  <c r="S27" i="33"/>
  <c r="S13" i="33"/>
  <c r="S25" i="33"/>
  <c r="S20" i="33"/>
  <c r="S15" i="33"/>
  <c r="S26" i="33"/>
  <c r="S8" i="33"/>
  <c r="S14" i="33"/>
  <c r="S11" i="33"/>
  <c r="S7" i="33"/>
  <c r="S23" i="33"/>
  <c r="S16" i="33"/>
  <c r="S12" i="33"/>
  <c r="S10" i="33"/>
  <c r="S6" i="33"/>
  <c r="S19" i="33"/>
  <c r="S9" i="33"/>
  <c r="N23" i="33"/>
  <c r="AI8" i="33"/>
  <c r="M25" i="33" l="1"/>
  <c r="L25" i="33" s="1"/>
  <c r="N13" i="33"/>
  <c r="N26" i="33"/>
  <c r="M21" i="33"/>
  <c r="L21" i="33" s="1"/>
  <c r="O20" i="33"/>
  <c r="M27" i="33"/>
  <c r="L27" i="33" s="1"/>
  <c r="M7" i="33"/>
  <c r="K7" i="33" s="1"/>
  <c r="M12" i="33"/>
  <c r="K12" i="33" s="1"/>
  <c r="M22" i="33"/>
  <c r="K22" i="33" s="1"/>
  <c r="AH6" i="33"/>
  <c r="M8" i="33"/>
  <c r="L8" i="33" s="1"/>
  <c r="M9" i="33"/>
  <c r="K9" i="33" s="1"/>
  <c r="M6" i="33"/>
  <c r="K6" i="33" s="1"/>
  <c r="M10" i="33"/>
  <c r="K10" i="33" s="1"/>
  <c r="I24" i="33"/>
  <c r="I28" i="33" s="1"/>
  <c r="M16" i="33"/>
  <c r="K16" i="33" s="1"/>
  <c r="K17" i="33"/>
  <c r="X18" i="33"/>
  <c r="L19" i="33"/>
  <c r="H19" i="33" s="1"/>
  <c r="W10" i="33"/>
  <c r="U10" i="33" s="1"/>
  <c r="Y15" i="33"/>
  <c r="Y22" i="33"/>
  <c r="U22" i="33"/>
  <c r="R22" i="33" s="1"/>
  <c r="W17" i="33"/>
  <c r="V17" i="33" s="1"/>
  <c r="K20" i="33"/>
  <c r="Y19" i="33"/>
  <c r="X21" i="33"/>
  <c r="AH19" i="33"/>
  <c r="AH11" i="33"/>
  <c r="X22" i="33"/>
  <c r="Y17" i="33"/>
  <c r="K23" i="33"/>
  <c r="AJ23" i="33" s="1"/>
  <c r="AM23" i="33" s="1"/>
  <c r="AC24" i="33"/>
  <c r="AC28" i="33" s="1"/>
  <c r="AL27" i="33"/>
  <c r="AO27" i="33" s="1"/>
  <c r="AH27" i="33"/>
  <c r="K26" i="33"/>
  <c r="J26" i="33" s="1"/>
  <c r="N14" i="33"/>
  <c r="L17" i="33"/>
  <c r="L14" i="33"/>
  <c r="H14" i="33" s="1"/>
  <c r="AL26" i="33"/>
  <c r="AO26" i="33" s="1"/>
  <c r="AD17" i="33"/>
  <c r="U21" i="33"/>
  <c r="R21" i="33" s="1"/>
  <c r="AB21" i="33"/>
  <c r="AD22" i="33"/>
  <c r="AH22" i="33"/>
  <c r="AD10" i="33"/>
  <c r="AD8" i="33"/>
  <c r="AD13" i="33"/>
  <c r="AB20" i="33"/>
  <c r="AD7" i="33"/>
  <c r="AD16" i="33"/>
  <c r="AB14" i="33"/>
  <c r="AB25" i="33"/>
  <c r="AH10" i="33"/>
  <c r="AH17" i="33"/>
  <c r="AH8" i="33"/>
  <c r="AL23" i="33"/>
  <c r="AO23" i="33" s="1"/>
  <c r="V18" i="33"/>
  <c r="AK18" i="33" s="1"/>
  <c r="AN18" i="33" s="1"/>
  <c r="W19" i="33"/>
  <c r="U19" i="33" s="1"/>
  <c r="X14" i="33"/>
  <c r="W14" i="33"/>
  <c r="U14" i="33" s="1"/>
  <c r="AB11" i="33"/>
  <c r="Y10" i="33"/>
  <c r="X7" i="33"/>
  <c r="W7" i="33"/>
  <c r="V7" i="33" s="1"/>
  <c r="X26" i="33"/>
  <c r="W26" i="33"/>
  <c r="U26" i="33" s="1"/>
  <c r="W13" i="33"/>
  <c r="U13" i="33" s="1"/>
  <c r="X13" i="33"/>
  <c r="L13" i="33"/>
  <c r="J13" i="33" s="1"/>
  <c r="AB16" i="33"/>
  <c r="N15" i="33"/>
  <c r="N19" i="33"/>
  <c r="AG24" i="33"/>
  <c r="AG28" i="33" s="1"/>
  <c r="Y9" i="33"/>
  <c r="W9" i="33"/>
  <c r="X9" i="33" s="1"/>
  <c r="W12" i="33"/>
  <c r="X12" i="33" s="1"/>
  <c r="Y12" i="33"/>
  <c r="W11" i="33"/>
  <c r="X11" i="33" s="1"/>
  <c r="Y11" i="33"/>
  <c r="W15" i="33"/>
  <c r="U15" i="33" s="1"/>
  <c r="X27" i="33"/>
  <c r="W27" i="33"/>
  <c r="U27" i="33" s="1"/>
  <c r="K21" i="33"/>
  <c r="K15" i="33"/>
  <c r="K18" i="33"/>
  <c r="N18" i="33"/>
  <c r="AB27" i="33"/>
  <c r="W16" i="33"/>
  <c r="V16" i="33" s="1"/>
  <c r="Y16" i="33"/>
  <c r="Y20" i="33"/>
  <c r="W20" i="33"/>
  <c r="V20" i="33" s="1"/>
  <c r="AI24" i="33"/>
  <c r="AB17" i="33"/>
  <c r="AD27" i="33"/>
  <c r="S24" i="33"/>
  <c r="Y6" i="33"/>
  <c r="W6" i="33"/>
  <c r="U6" i="33" s="1"/>
  <c r="X23" i="33"/>
  <c r="W23" i="33"/>
  <c r="V23" i="33" s="1"/>
  <c r="W8" i="33"/>
  <c r="V8" i="33" s="1"/>
  <c r="Y8" i="33"/>
  <c r="X25" i="33"/>
  <c r="W25" i="33"/>
  <c r="V25" i="33" s="1"/>
  <c r="AH18" i="33"/>
  <c r="AJ11" i="33"/>
  <c r="AM11" i="33" s="1"/>
  <c r="J11" i="33"/>
  <c r="H11" i="33"/>
  <c r="N20" i="33"/>
  <c r="AC33" i="30"/>
  <c r="AC35" i="30" s="1"/>
  <c r="S35" i="30"/>
  <c r="H33" i="30"/>
  <c r="H35" i="30" s="1"/>
  <c r="AO30" i="30"/>
  <c r="AN30" i="30"/>
  <c r="AM30" i="30"/>
  <c r="AI28" i="30"/>
  <c r="Y28" i="30"/>
  <c r="Q28" i="30"/>
  <c r="O28" i="30"/>
  <c r="G28" i="30"/>
  <c r="AI27" i="30"/>
  <c r="Y27" i="30"/>
  <c r="Q27" i="30"/>
  <c r="O27" i="30"/>
  <c r="G27" i="30"/>
  <c r="AI26" i="30"/>
  <c r="Y26" i="30"/>
  <c r="Q26" i="30"/>
  <c r="O26" i="30"/>
  <c r="G26" i="30"/>
  <c r="Z25" i="30"/>
  <c r="Z29" i="30" s="1"/>
  <c r="F25" i="30"/>
  <c r="F29" i="30" s="1"/>
  <c r="AA24" i="30"/>
  <c r="O24" i="30"/>
  <c r="Q24" i="30"/>
  <c r="G24" i="30"/>
  <c r="AA23" i="30"/>
  <c r="Y23" i="30"/>
  <c r="O23" i="30"/>
  <c r="Q23" i="30"/>
  <c r="G23" i="30"/>
  <c r="AA22" i="30"/>
  <c r="O22" i="30"/>
  <c r="Q22" i="30"/>
  <c r="G22" i="30"/>
  <c r="AI21" i="30"/>
  <c r="AA21" i="30"/>
  <c r="Q21" i="30"/>
  <c r="G21" i="30"/>
  <c r="AA20" i="30"/>
  <c r="Y20" i="30"/>
  <c r="Q20" i="30"/>
  <c r="G20" i="30"/>
  <c r="AA19" i="30"/>
  <c r="Y19" i="30"/>
  <c r="Q19" i="30"/>
  <c r="G19" i="30"/>
  <c r="Y18" i="30"/>
  <c r="Q18" i="30"/>
  <c r="AA18" i="30"/>
  <c r="G18" i="30"/>
  <c r="AI17" i="30"/>
  <c r="Q17" i="30"/>
  <c r="O17" i="30"/>
  <c r="G17" i="30"/>
  <c r="AA17" i="30"/>
  <c r="Y16" i="30"/>
  <c r="Q16" i="30"/>
  <c r="G16" i="30"/>
  <c r="AA16" i="30"/>
  <c r="AI15" i="30"/>
  <c r="Y15" i="30"/>
  <c r="Q15" i="30"/>
  <c r="G15" i="30"/>
  <c r="AA15" i="30"/>
  <c r="AI14" i="30"/>
  <c r="Y14" i="30"/>
  <c r="Q14" i="30"/>
  <c r="O14" i="30"/>
  <c r="AA14" i="30"/>
  <c r="G14" i="30"/>
  <c r="Q13" i="30"/>
  <c r="AA13" i="30"/>
  <c r="G13" i="30"/>
  <c r="AI12" i="30"/>
  <c r="AA12" i="30"/>
  <c r="Q12" i="30"/>
  <c r="G12" i="30"/>
  <c r="O11" i="30"/>
  <c r="AA11" i="30"/>
  <c r="Q11" i="30"/>
  <c r="G11" i="30"/>
  <c r="AI10" i="30"/>
  <c r="AA10" i="30"/>
  <c r="Q10" i="30"/>
  <c r="G10" i="30"/>
  <c r="Q9" i="30"/>
  <c r="O9" i="30"/>
  <c r="AA9" i="30"/>
  <c r="G9" i="30"/>
  <c r="AI8" i="30"/>
  <c r="Y8" i="30"/>
  <c r="Q8" i="30"/>
  <c r="O8" i="30"/>
  <c r="AA8" i="30"/>
  <c r="G8" i="30"/>
  <c r="Q7" i="30"/>
  <c r="O7" i="30"/>
  <c r="AA7" i="30"/>
  <c r="G7" i="30"/>
  <c r="AM30" i="27"/>
  <c r="AN30" i="27"/>
  <c r="AO30" i="27"/>
  <c r="AI24" i="27"/>
  <c r="AI26" i="27"/>
  <c r="AI27" i="27"/>
  <c r="AI28" i="27"/>
  <c r="Y26" i="27"/>
  <c r="Y27" i="27"/>
  <c r="Y28" i="27"/>
  <c r="O26" i="27"/>
  <c r="O27" i="27"/>
  <c r="O28" i="27"/>
  <c r="Y24" i="27"/>
  <c r="O24" i="27"/>
  <c r="Z25" i="27"/>
  <c r="Z29" i="27" s="1"/>
  <c r="AA24" i="27"/>
  <c r="Q28" i="27"/>
  <c r="Q27" i="27"/>
  <c r="Q26" i="27"/>
  <c r="G28" i="27"/>
  <c r="G27" i="27"/>
  <c r="G26" i="27"/>
  <c r="F25" i="27"/>
  <c r="F29" i="27" s="1"/>
  <c r="G24" i="27"/>
  <c r="Q24" i="27" s="1"/>
  <c r="AC33" i="27"/>
  <c r="AC35" i="27" s="1"/>
  <c r="S35" i="27"/>
  <c r="H35" i="27"/>
  <c r="AA23" i="27"/>
  <c r="Q23" i="27"/>
  <c r="G23" i="27"/>
  <c r="AA22" i="27"/>
  <c r="Q22" i="27"/>
  <c r="G22" i="27"/>
  <c r="AA21" i="27"/>
  <c r="Q21" i="27"/>
  <c r="G21" i="27"/>
  <c r="AA20" i="27"/>
  <c r="Q20" i="27"/>
  <c r="G20" i="27"/>
  <c r="AA19" i="27"/>
  <c r="Q19" i="27"/>
  <c r="G19" i="27"/>
  <c r="AA18" i="27"/>
  <c r="Q18" i="27"/>
  <c r="G18" i="27"/>
  <c r="AA17" i="27"/>
  <c r="Q17" i="27"/>
  <c r="G17" i="27"/>
  <c r="AA16" i="27"/>
  <c r="Q16" i="27"/>
  <c r="G16" i="27"/>
  <c r="AA15" i="27"/>
  <c r="Q15" i="27"/>
  <c r="G15" i="27"/>
  <c r="AA14" i="27"/>
  <c r="Q14" i="27"/>
  <c r="G14" i="27"/>
  <c r="AA13" i="27"/>
  <c r="Q13" i="27"/>
  <c r="G13" i="27"/>
  <c r="AA12" i="27"/>
  <c r="Q12" i="27"/>
  <c r="G12" i="27"/>
  <c r="AA11" i="27"/>
  <c r="Q11" i="27"/>
  <c r="G11" i="27"/>
  <c r="AA10" i="27"/>
  <c r="Q10" i="27"/>
  <c r="G10" i="27"/>
  <c r="AA9" i="27"/>
  <c r="Q9" i="27"/>
  <c r="G9" i="27"/>
  <c r="AA8" i="27"/>
  <c r="Q8" i="27"/>
  <c r="G8" i="27"/>
  <c r="AA7" i="27"/>
  <c r="Q7" i="27"/>
  <c r="G7" i="27"/>
  <c r="K25" i="33" l="1"/>
  <c r="AJ25" i="33" s="1"/>
  <c r="AM25" i="33" s="1"/>
  <c r="K8" i="33"/>
  <c r="AJ8" i="33" s="1"/>
  <c r="AM8" i="33" s="1"/>
  <c r="K27" i="33"/>
  <c r="H27" i="33" s="1"/>
  <c r="AJ17" i="33"/>
  <c r="AM17" i="33" s="1"/>
  <c r="N12" i="33"/>
  <c r="N8" i="33"/>
  <c r="L12" i="33"/>
  <c r="AJ12" i="33" s="1"/>
  <c r="AM12" i="33" s="1"/>
  <c r="L22" i="33"/>
  <c r="AJ22" i="33" s="1"/>
  <c r="AM22" i="33" s="1"/>
  <c r="L9" i="33"/>
  <c r="J9" i="33" s="1"/>
  <c r="N9" i="33"/>
  <c r="N10" i="33"/>
  <c r="M24" i="33"/>
  <c r="M28" i="33" s="1"/>
  <c r="N28" i="33" s="1"/>
  <c r="L7" i="33"/>
  <c r="AJ7" i="33" s="1"/>
  <c r="AM7" i="33" s="1"/>
  <c r="X17" i="33"/>
  <c r="H17" i="33"/>
  <c r="L10" i="33"/>
  <c r="H10" i="33" s="1"/>
  <c r="N16" i="33"/>
  <c r="N6" i="33"/>
  <c r="L6" i="33"/>
  <c r="AJ6" i="33" s="1"/>
  <c r="AM6" i="33" s="1"/>
  <c r="AJ19" i="33"/>
  <c r="AM19" i="33" s="1"/>
  <c r="L16" i="33"/>
  <c r="AJ16" i="33" s="1"/>
  <c r="AM16" i="33" s="1"/>
  <c r="AJ14" i="33"/>
  <c r="AM14" i="33" s="1"/>
  <c r="O24" i="33"/>
  <c r="T21" i="33"/>
  <c r="AK21" i="33"/>
  <c r="AN21" i="33" s="1"/>
  <c r="H23" i="33"/>
  <c r="J23" i="33"/>
  <c r="J14" i="33"/>
  <c r="U17" i="33"/>
  <c r="T17" i="33" s="1"/>
  <c r="AJ26" i="33"/>
  <c r="AM26" i="33" s="1"/>
  <c r="H26" i="33"/>
  <c r="V6" i="33"/>
  <c r="T6" i="33" s="1"/>
  <c r="V19" i="33"/>
  <c r="AK19" i="33" s="1"/>
  <c r="AN19" i="33" s="1"/>
  <c r="U20" i="33"/>
  <c r="AB10" i="33"/>
  <c r="AL6" i="33"/>
  <c r="AO6" i="33" s="1"/>
  <c r="AB6" i="33"/>
  <c r="AD6" i="33"/>
  <c r="X15" i="33"/>
  <c r="X19" i="33"/>
  <c r="J19" i="33"/>
  <c r="J17" i="33"/>
  <c r="AL8" i="33"/>
  <c r="AO8" i="33" s="1"/>
  <c r="AB26" i="33"/>
  <c r="AB8" i="33"/>
  <c r="H13" i="33"/>
  <c r="AL10" i="33"/>
  <c r="AO10" i="33" s="1"/>
  <c r="X8" i="33"/>
  <c r="AJ13" i="33"/>
  <c r="AM13" i="33" s="1"/>
  <c r="AB22" i="33"/>
  <c r="AD25" i="33"/>
  <c r="AL11" i="33"/>
  <c r="AO11" i="33" s="1"/>
  <c r="AD21" i="33"/>
  <c r="AL22" i="33"/>
  <c r="AO22" i="33" s="1"/>
  <c r="AL13" i="33"/>
  <c r="AO13" i="33" s="1"/>
  <c r="T22" i="33"/>
  <c r="U8" i="33"/>
  <c r="R8" i="33" s="1"/>
  <c r="AK22" i="33"/>
  <c r="AN22" i="33" s="1"/>
  <c r="AL25" i="33"/>
  <c r="AO25" i="33" s="1"/>
  <c r="AD26" i="33"/>
  <c r="AD20" i="33"/>
  <c r="AH24" i="33"/>
  <c r="AL16" i="33"/>
  <c r="AO16" i="33" s="1"/>
  <c r="AL20" i="33"/>
  <c r="AO20" i="33" s="1"/>
  <c r="AL12" i="33"/>
  <c r="AO12" i="33" s="1"/>
  <c r="V10" i="33"/>
  <c r="T10" i="33" s="1"/>
  <c r="U12" i="33"/>
  <c r="V12" i="33"/>
  <c r="U11" i="33"/>
  <c r="AB23" i="33"/>
  <c r="AB7" i="33"/>
  <c r="AB12" i="33"/>
  <c r="AD12" i="33"/>
  <c r="AL21" i="33"/>
  <c r="AO21" i="33" s="1"/>
  <c r="AL7" i="33"/>
  <c r="AO7" i="33" s="1"/>
  <c r="R18" i="33"/>
  <c r="X10" i="33"/>
  <c r="V11" i="33"/>
  <c r="U9" i="33"/>
  <c r="T18" i="33"/>
  <c r="AB13" i="33"/>
  <c r="AD14" i="33"/>
  <c r="AD23" i="33"/>
  <c r="AL17" i="33"/>
  <c r="AO17" i="33" s="1"/>
  <c r="AL14" i="33"/>
  <c r="AO14" i="33" s="1"/>
  <c r="AF24" i="33"/>
  <c r="AF28" i="33" s="1"/>
  <c r="AD31" i="33" s="1"/>
  <c r="AD11" i="33"/>
  <c r="X6" i="33"/>
  <c r="X16" i="33"/>
  <c r="V27" i="33"/>
  <c r="T27" i="33" s="1"/>
  <c r="V13" i="33"/>
  <c r="R13" i="33" s="1"/>
  <c r="V14" i="33"/>
  <c r="R14" i="33" s="1"/>
  <c r="U25" i="33"/>
  <c r="AK25" i="33" s="1"/>
  <c r="AN25" i="33" s="1"/>
  <c r="U23" i="33"/>
  <c r="T23" i="33" s="1"/>
  <c r="U7" i="33"/>
  <c r="T7" i="33" s="1"/>
  <c r="AH28" i="33"/>
  <c r="AI28" i="33"/>
  <c r="X20" i="33"/>
  <c r="U16" i="33"/>
  <c r="H20" i="33"/>
  <c r="AJ20" i="33"/>
  <c r="AM20" i="33" s="1"/>
  <c r="J20" i="33"/>
  <c r="AJ18" i="33"/>
  <c r="AM18" i="33" s="1"/>
  <c r="J18" i="33"/>
  <c r="H18" i="33"/>
  <c r="H15" i="33"/>
  <c r="AJ15" i="33"/>
  <c r="AM15" i="33" s="1"/>
  <c r="J15" i="33"/>
  <c r="V15" i="33"/>
  <c r="T15" i="33" s="1"/>
  <c r="AL19" i="33"/>
  <c r="AO19" i="33" s="1"/>
  <c r="AD19" i="33"/>
  <c r="AB19" i="33"/>
  <c r="AL9" i="33"/>
  <c r="AO9" i="33" s="1"/>
  <c r="AD9" i="33"/>
  <c r="AB9" i="33"/>
  <c r="V26" i="33"/>
  <c r="AK26" i="33" s="1"/>
  <c r="AN26" i="33" s="1"/>
  <c r="AJ21" i="33"/>
  <c r="AM21" i="33" s="1"/>
  <c r="J21" i="33"/>
  <c r="H21" i="33"/>
  <c r="V9" i="33"/>
  <c r="O28" i="33"/>
  <c r="AL15" i="33"/>
  <c r="AO15" i="33" s="1"/>
  <c r="AD15" i="33"/>
  <c r="AB15" i="33"/>
  <c r="W24" i="33"/>
  <c r="W28" i="33" s="1"/>
  <c r="S28" i="33"/>
  <c r="Y24" i="33"/>
  <c r="AB18" i="33"/>
  <c r="AL18" i="33"/>
  <c r="AO18" i="33" s="1"/>
  <c r="AD18" i="33"/>
  <c r="AE24" i="33"/>
  <c r="AE28" i="33" s="1"/>
  <c r="AD30" i="33" s="1"/>
  <c r="AA25" i="30"/>
  <c r="AA29" i="30" s="1"/>
  <c r="AC23" i="30" s="1"/>
  <c r="Q25" i="30"/>
  <c r="Q29" i="30" s="1"/>
  <c r="S22" i="30" s="1"/>
  <c r="Y22" i="30" s="1"/>
  <c r="G25" i="30"/>
  <c r="G29" i="30" s="1"/>
  <c r="I23" i="30" s="1"/>
  <c r="Q25" i="27"/>
  <c r="Q29" i="27" s="1"/>
  <c r="S27" i="27" s="1"/>
  <c r="X27" i="27" s="1"/>
  <c r="AA25" i="27"/>
  <c r="AA29" i="27" s="1"/>
  <c r="G25" i="27"/>
  <c r="G29" i="27" s="1"/>
  <c r="J12" i="33" l="1"/>
  <c r="H8" i="33"/>
  <c r="K24" i="33"/>
  <c r="K28" i="33" s="1"/>
  <c r="I30" i="33" s="1"/>
  <c r="J8" i="33"/>
  <c r="J25" i="33"/>
  <c r="H25" i="33"/>
  <c r="AJ27" i="33"/>
  <c r="AM27" i="33" s="1"/>
  <c r="H12" i="33"/>
  <c r="H22" i="33"/>
  <c r="J27" i="33"/>
  <c r="J22" i="33"/>
  <c r="AJ9" i="33"/>
  <c r="AM9" i="33" s="1"/>
  <c r="N24" i="33"/>
  <c r="H9" i="33"/>
  <c r="AJ10" i="33"/>
  <c r="AM10" i="33" s="1"/>
  <c r="J7" i="33"/>
  <c r="J10" i="33"/>
  <c r="H7" i="33"/>
  <c r="J16" i="33"/>
  <c r="H16" i="33"/>
  <c r="J6" i="33"/>
  <c r="L24" i="33"/>
  <c r="L28" i="33" s="1"/>
  <c r="I31" i="33" s="1"/>
  <c r="H6" i="33"/>
  <c r="AK9" i="33"/>
  <c r="AN9" i="33" s="1"/>
  <c r="R19" i="33"/>
  <c r="T8" i="33"/>
  <c r="AK8" i="33"/>
  <c r="AN8" i="33" s="1"/>
  <c r="AK17" i="33"/>
  <c r="AN17" i="33" s="1"/>
  <c r="R17" i="33"/>
  <c r="T13" i="33"/>
  <c r="T11" i="33"/>
  <c r="T12" i="33"/>
  <c r="R12" i="33"/>
  <c r="AK13" i="33"/>
  <c r="AN13" i="33" s="1"/>
  <c r="AK12" i="33"/>
  <c r="AN12" i="33" s="1"/>
  <c r="S15" i="30"/>
  <c r="X15" i="30" s="1"/>
  <c r="S13" i="30"/>
  <c r="W13" i="30" s="1"/>
  <c r="V13" i="30" s="1"/>
  <c r="AC14" i="30"/>
  <c r="AG14" i="30" s="1"/>
  <c r="AF14" i="30" s="1"/>
  <c r="AC15" i="30"/>
  <c r="AH15" i="30" s="1"/>
  <c r="S23" i="30"/>
  <c r="W23" i="30" s="1"/>
  <c r="V23" i="30" s="1"/>
  <c r="AK14" i="33"/>
  <c r="AN14" i="33" s="1"/>
  <c r="AK11" i="33"/>
  <c r="AN11" i="33" s="1"/>
  <c r="R11" i="33"/>
  <c r="T19" i="33"/>
  <c r="T25" i="33"/>
  <c r="AK10" i="33"/>
  <c r="AN10" i="33" s="1"/>
  <c r="R9" i="33"/>
  <c r="R10" i="33"/>
  <c r="R7" i="33"/>
  <c r="R23" i="33"/>
  <c r="AK7" i="33"/>
  <c r="AN7" i="33" s="1"/>
  <c r="R25" i="33"/>
  <c r="AK23" i="33"/>
  <c r="AN23" i="33" s="1"/>
  <c r="AK27" i="33"/>
  <c r="AN27" i="33" s="1"/>
  <c r="R15" i="33"/>
  <c r="R6" i="33"/>
  <c r="AK6" i="33"/>
  <c r="AN6" i="33" s="1"/>
  <c r="AB24" i="33"/>
  <c r="AB28" i="33" s="1"/>
  <c r="AD24" i="33"/>
  <c r="AD28" i="33" s="1"/>
  <c r="T14" i="33"/>
  <c r="V24" i="33"/>
  <c r="V28" i="33" s="1"/>
  <c r="T31" i="33" s="1"/>
  <c r="T9" i="33"/>
  <c r="R27" i="33"/>
  <c r="R26" i="33"/>
  <c r="AK15" i="33"/>
  <c r="AN15" i="33" s="1"/>
  <c r="AK20" i="33"/>
  <c r="AN20" i="33" s="1"/>
  <c r="T20" i="33"/>
  <c r="R20" i="33"/>
  <c r="U24" i="33"/>
  <c r="U28" i="33" s="1"/>
  <c r="T30" i="33" s="1"/>
  <c r="X24" i="33"/>
  <c r="AK16" i="33"/>
  <c r="AN16" i="33" s="1"/>
  <c r="T16" i="33"/>
  <c r="R16" i="33"/>
  <c r="T26" i="33"/>
  <c r="X28" i="33"/>
  <c r="Y28" i="33"/>
  <c r="AO24" i="33"/>
  <c r="AO28" i="33" s="1"/>
  <c r="AL24" i="33"/>
  <c r="AL28" i="33" s="1"/>
  <c r="AC26" i="27"/>
  <c r="AC28" i="27"/>
  <c r="AC27" i="27"/>
  <c r="S12" i="30"/>
  <c r="X12" i="30" s="1"/>
  <c r="S17" i="30"/>
  <c r="X17" i="30" s="1"/>
  <c r="S24" i="30"/>
  <c r="S26" i="30"/>
  <c r="X26" i="30" s="1"/>
  <c r="S16" i="30"/>
  <c r="X16" i="30" s="1"/>
  <c r="S9" i="30"/>
  <c r="W9" i="30" s="1"/>
  <c r="X9" i="30" s="1"/>
  <c r="S27" i="30"/>
  <c r="X27" i="30" s="1"/>
  <c r="S19" i="30"/>
  <c r="X19" i="30" s="1"/>
  <c r="AC7" i="30"/>
  <c r="AH7" i="30" s="1"/>
  <c r="AC21" i="30"/>
  <c r="AG21" i="30" s="1"/>
  <c r="AE21" i="30" s="1"/>
  <c r="S11" i="30"/>
  <c r="X11" i="30" s="1"/>
  <c r="S7" i="30"/>
  <c r="W7" i="30" s="1"/>
  <c r="U7" i="30" s="1"/>
  <c r="S28" i="30"/>
  <c r="W28" i="30" s="1"/>
  <c r="V28" i="30" s="1"/>
  <c r="S20" i="30"/>
  <c r="X20" i="30" s="1"/>
  <c r="AC9" i="30"/>
  <c r="AG9" i="30" s="1"/>
  <c r="AH9" i="30" s="1"/>
  <c r="AC22" i="30"/>
  <c r="AI22" i="30" s="1"/>
  <c r="AC12" i="30"/>
  <c r="AG12" i="30" s="1"/>
  <c r="AE12" i="30" s="1"/>
  <c r="AC10" i="30"/>
  <c r="AH10" i="30" s="1"/>
  <c r="AC18" i="30"/>
  <c r="AG18" i="30" s="1"/>
  <c r="AC24" i="30"/>
  <c r="AC16" i="30"/>
  <c r="AG16" i="30" s="1"/>
  <c r="AF16" i="30" s="1"/>
  <c r="AC11" i="30"/>
  <c r="AG11" i="30" s="1"/>
  <c r="AH11" i="30" s="1"/>
  <c r="AC20" i="30"/>
  <c r="AC17" i="30"/>
  <c r="AC8" i="30"/>
  <c r="AH8" i="30" s="1"/>
  <c r="AC13" i="30"/>
  <c r="AH13" i="30" s="1"/>
  <c r="AC19" i="30"/>
  <c r="AG19" i="30" s="1"/>
  <c r="AE19" i="30" s="1"/>
  <c r="AC27" i="30"/>
  <c r="AC26" i="30"/>
  <c r="AC28" i="30"/>
  <c r="S10" i="30"/>
  <c r="W10" i="30" s="1"/>
  <c r="S8" i="30"/>
  <c r="W8" i="30" s="1"/>
  <c r="U8" i="30" s="1"/>
  <c r="S18" i="30"/>
  <c r="W18" i="30" s="1"/>
  <c r="V18" i="30" s="1"/>
  <c r="S14" i="30"/>
  <c r="X14" i="30" s="1"/>
  <c r="S21" i="30"/>
  <c r="W21" i="30" s="1"/>
  <c r="X21" i="30" s="1"/>
  <c r="N23" i="30"/>
  <c r="M23" i="30"/>
  <c r="K23" i="30" s="1"/>
  <c r="I21" i="30"/>
  <c r="I22" i="30"/>
  <c r="I18" i="30"/>
  <c r="I17" i="30"/>
  <c r="I16" i="30"/>
  <c r="I15" i="30"/>
  <c r="I14" i="30"/>
  <c r="I13" i="30"/>
  <c r="I26" i="30"/>
  <c r="I24" i="30"/>
  <c r="I20" i="30"/>
  <c r="I9" i="30"/>
  <c r="I8" i="30"/>
  <c r="I7" i="30"/>
  <c r="I19" i="30"/>
  <c r="I12" i="30"/>
  <c r="I11" i="30"/>
  <c r="I10" i="30"/>
  <c r="AI16" i="30"/>
  <c r="Y9" i="30"/>
  <c r="Y17" i="30"/>
  <c r="AI11" i="30"/>
  <c r="I28" i="30"/>
  <c r="Y21" i="30"/>
  <c r="AI13" i="30"/>
  <c r="AI19" i="30"/>
  <c r="AG23" i="30"/>
  <c r="AE23" i="30" s="1"/>
  <c r="AI23" i="30"/>
  <c r="AH23" i="30"/>
  <c r="Y12" i="30"/>
  <c r="Y11" i="30"/>
  <c r="Y13" i="30"/>
  <c r="AI7" i="30"/>
  <c r="AI18" i="30"/>
  <c r="I27" i="30"/>
  <c r="Y7" i="30"/>
  <c r="W22" i="30"/>
  <c r="V22" i="30" s="1"/>
  <c r="AI9" i="30"/>
  <c r="AI20" i="30"/>
  <c r="S28" i="27"/>
  <c r="X28" i="27" s="1"/>
  <c r="S26" i="27"/>
  <c r="X26" i="27" s="1"/>
  <c r="W27" i="27"/>
  <c r="V27" i="27" s="1"/>
  <c r="AC8" i="27"/>
  <c r="AC9" i="27"/>
  <c r="AC10" i="27"/>
  <c r="AC11" i="27"/>
  <c r="AC12" i="27"/>
  <c r="AC13" i="27"/>
  <c r="AC14" i="27"/>
  <c r="AC15" i="27"/>
  <c r="AC16" i="27"/>
  <c r="AC17" i="27"/>
  <c r="AC18" i="27"/>
  <c r="AC19" i="27"/>
  <c r="AC20" i="27"/>
  <c r="AC21" i="27"/>
  <c r="AC22" i="27"/>
  <c r="AC23" i="27"/>
  <c r="AC24" i="27"/>
  <c r="AH24" i="27" s="1"/>
  <c r="S8" i="27"/>
  <c r="W8" i="27" s="1"/>
  <c r="S9" i="27"/>
  <c r="W9" i="27" s="1"/>
  <c r="S10" i="27"/>
  <c r="W10" i="27" s="1"/>
  <c r="S11" i="27"/>
  <c r="S12" i="27"/>
  <c r="W12" i="27" s="1"/>
  <c r="S13" i="27"/>
  <c r="S14" i="27"/>
  <c r="W14" i="27" s="1"/>
  <c r="S15" i="27"/>
  <c r="W15" i="27" s="1"/>
  <c r="S16" i="27"/>
  <c r="S17" i="27"/>
  <c r="S18" i="27"/>
  <c r="W18" i="27" s="1"/>
  <c r="S19" i="27"/>
  <c r="S20" i="27"/>
  <c r="S21" i="27"/>
  <c r="S22" i="27"/>
  <c r="W22" i="27" s="1"/>
  <c r="S23" i="27"/>
  <c r="S24" i="27"/>
  <c r="X24" i="27" s="1"/>
  <c r="I27" i="27"/>
  <c r="N27" i="27" s="1"/>
  <c r="I26" i="27"/>
  <c r="N26" i="27" s="1"/>
  <c r="I28" i="27"/>
  <c r="N28" i="27" s="1"/>
  <c r="I11" i="27"/>
  <c r="I15" i="27"/>
  <c r="M15" i="27" s="1"/>
  <c r="I19" i="27"/>
  <c r="M19" i="27" s="1"/>
  <c r="I23" i="27"/>
  <c r="I8" i="27"/>
  <c r="M8" i="27" s="1"/>
  <c r="I12" i="27"/>
  <c r="I16" i="27"/>
  <c r="M16" i="27" s="1"/>
  <c r="I20" i="27"/>
  <c r="I24" i="27"/>
  <c r="N24" i="27" s="1"/>
  <c r="I9" i="27"/>
  <c r="M9" i="27" s="1"/>
  <c r="I13" i="27"/>
  <c r="I17" i="27"/>
  <c r="I21" i="27"/>
  <c r="I10" i="27"/>
  <c r="M10" i="27" s="1"/>
  <c r="K10" i="27" s="1"/>
  <c r="I14" i="27"/>
  <c r="I18" i="27"/>
  <c r="M18" i="27" s="1"/>
  <c r="K18" i="27" s="1"/>
  <c r="I22" i="27"/>
  <c r="M22" i="27" s="1"/>
  <c r="K22" i="27" s="1"/>
  <c r="AC7" i="27"/>
  <c r="AI7" i="27" s="1"/>
  <c r="I7" i="27"/>
  <c r="S7" i="27"/>
  <c r="AJ24" i="33" l="1"/>
  <c r="AJ28" i="33" s="1"/>
  <c r="AM24" i="33"/>
  <c r="AM28" i="33" s="1"/>
  <c r="J24" i="33"/>
  <c r="J28" i="33" s="1"/>
  <c r="AH14" i="30"/>
  <c r="H24" i="33"/>
  <c r="H28" i="33" s="1"/>
  <c r="W16" i="30"/>
  <c r="V16" i="30" s="1"/>
  <c r="W15" i="30"/>
  <c r="V15" i="30" s="1"/>
  <c r="X13" i="30"/>
  <c r="X23" i="30"/>
  <c r="X28" i="30"/>
  <c r="AG15" i="30"/>
  <c r="AF15" i="30" s="1"/>
  <c r="AG7" i="30"/>
  <c r="AF7" i="30" s="1"/>
  <c r="W17" i="27"/>
  <c r="V17" i="27" s="1"/>
  <c r="M21" i="27"/>
  <c r="K21" i="27" s="1"/>
  <c r="O10" i="30"/>
  <c r="M10" i="30"/>
  <c r="L10" i="30" s="1"/>
  <c r="M7" i="27"/>
  <c r="K7" i="27" s="1"/>
  <c r="M13" i="27"/>
  <c r="L13" i="27" s="1"/>
  <c r="W13" i="27"/>
  <c r="U13" i="27" s="1"/>
  <c r="W7" i="27"/>
  <c r="V7" i="27" s="1"/>
  <c r="W24" i="30"/>
  <c r="U24" i="30" s="1"/>
  <c r="Y14" i="27"/>
  <c r="AG13" i="30"/>
  <c r="AF13" i="30" s="1"/>
  <c r="AH21" i="30"/>
  <c r="Y24" i="30"/>
  <c r="W20" i="30"/>
  <c r="V20" i="30" s="1"/>
  <c r="X22" i="30"/>
  <c r="AI24" i="30"/>
  <c r="W12" i="30"/>
  <c r="U12" i="30" s="1"/>
  <c r="T24" i="33"/>
  <c r="T28" i="33" s="1"/>
  <c r="R24" i="33"/>
  <c r="R28" i="33" s="1"/>
  <c r="AK24" i="33"/>
  <c r="AK28" i="33" s="1"/>
  <c r="AN24" i="33"/>
  <c r="AN28" i="33" s="1"/>
  <c r="W17" i="30"/>
  <c r="V17" i="30" s="1"/>
  <c r="W14" i="30"/>
  <c r="V14" i="30" s="1"/>
  <c r="W11" i="30"/>
  <c r="U11" i="30" s="1"/>
  <c r="AI20" i="27"/>
  <c r="AI12" i="27"/>
  <c r="AI19" i="27"/>
  <c r="AI15" i="27"/>
  <c r="AI11" i="27"/>
  <c r="AG27" i="27"/>
  <c r="AF27" i="27" s="1"/>
  <c r="AH27" i="27"/>
  <c r="AI22" i="27"/>
  <c r="AI18" i="27"/>
  <c r="AI14" i="27"/>
  <c r="AI10" i="27"/>
  <c r="AG28" i="27"/>
  <c r="AE28" i="27" s="1"/>
  <c r="AH28" i="27"/>
  <c r="AI16" i="27"/>
  <c r="AI8" i="27"/>
  <c r="AI23" i="27"/>
  <c r="AI21" i="27"/>
  <c r="AI17" i="27"/>
  <c r="AI13" i="27"/>
  <c r="AI9" i="27"/>
  <c r="AG26" i="27"/>
  <c r="AF26" i="27" s="1"/>
  <c r="AH26" i="27"/>
  <c r="AH12" i="30"/>
  <c r="W27" i="30"/>
  <c r="V27" i="30" s="1"/>
  <c r="AG22" i="30"/>
  <c r="AF22" i="30" s="1"/>
  <c r="W26" i="30"/>
  <c r="U26" i="30" s="1"/>
  <c r="W19" i="30"/>
  <c r="V19" i="30" s="1"/>
  <c r="AG8" i="30"/>
  <c r="AE8" i="30" s="1"/>
  <c r="AH16" i="30"/>
  <c r="AH18" i="30"/>
  <c r="AG20" i="30"/>
  <c r="AH20" i="30" s="1"/>
  <c r="AG10" i="30"/>
  <c r="AE10" i="30" s="1"/>
  <c r="AF18" i="30"/>
  <c r="AE18" i="30"/>
  <c r="AG24" i="30"/>
  <c r="AE24" i="30" s="1"/>
  <c r="AG27" i="30"/>
  <c r="AF27" i="30" s="1"/>
  <c r="AH27" i="30"/>
  <c r="AF23" i="30"/>
  <c r="AG17" i="30"/>
  <c r="AE17" i="30" s="1"/>
  <c r="AE11" i="30"/>
  <c r="AH26" i="30"/>
  <c r="AG26" i="30"/>
  <c r="AH17" i="30"/>
  <c r="AE14" i="30"/>
  <c r="AC25" i="30"/>
  <c r="AI25" i="30" s="1"/>
  <c r="AG28" i="30"/>
  <c r="AE28" i="30" s="1"/>
  <c r="AH28" i="30"/>
  <c r="U13" i="30"/>
  <c r="R13" i="30" s="1"/>
  <c r="X18" i="30"/>
  <c r="V7" i="30"/>
  <c r="T7" i="30" s="1"/>
  <c r="X8" i="30"/>
  <c r="V21" i="30"/>
  <c r="U23" i="30"/>
  <c r="R23" i="30" s="1"/>
  <c r="U10" i="30"/>
  <c r="V10" i="30"/>
  <c r="U21" i="30"/>
  <c r="V8" i="30"/>
  <c r="R8" i="30" s="1"/>
  <c r="Y10" i="30"/>
  <c r="S25" i="30"/>
  <c r="Y25" i="30" s="1"/>
  <c r="AE16" i="30"/>
  <c r="AB16" i="30" s="1"/>
  <c r="AF12" i="30"/>
  <c r="AD12" i="30" s="1"/>
  <c r="U18" i="30"/>
  <c r="AK18" i="30" s="1"/>
  <c r="AN18" i="30" s="1"/>
  <c r="M13" i="30"/>
  <c r="L13" i="30" s="1"/>
  <c r="O13" i="30"/>
  <c r="N27" i="30"/>
  <c r="M27" i="30"/>
  <c r="L27" i="30" s="1"/>
  <c r="L23" i="30"/>
  <c r="AJ23" i="30" s="1"/>
  <c r="AM23" i="30" s="1"/>
  <c r="AF9" i="30"/>
  <c r="U22" i="30"/>
  <c r="X7" i="30"/>
  <c r="AF21" i="30"/>
  <c r="AB21" i="30" s="1"/>
  <c r="U28" i="30"/>
  <c r="X10" i="30"/>
  <c r="AF11" i="30"/>
  <c r="U9" i="30"/>
  <c r="I25" i="30"/>
  <c r="N7" i="30"/>
  <c r="M7" i="30"/>
  <c r="L7" i="30" s="1"/>
  <c r="N24" i="30"/>
  <c r="M24" i="30"/>
  <c r="K24" i="30" s="1"/>
  <c r="M15" i="30"/>
  <c r="K15" i="30" s="1"/>
  <c r="O15" i="30"/>
  <c r="N15" i="30"/>
  <c r="N22" i="30"/>
  <c r="M22" i="30"/>
  <c r="L22" i="30" s="1"/>
  <c r="O12" i="30"/>
  <c r="M12" i="30"/>
  <c r="K12" i="30" s="1"/>
  <c r="N9" i="30"/>
  <c r="M9" i="30"/>
  <c r="K9" i="30" s="1"/>
  <c r="M17" i="30"/>
  <c r="K17" i="30" s="1"/>
  <c r="N17" i="30"/>
  <c r="AE9" i="30"/>
  <c r="AH19" i="30"/>
  <c r="AF19" i="30"/>
  <c r="AB19" i="30" s="1"/>
  <c r="M28" i="30"/>
  <c r="K28" i="30" s="1"/>
  <c r="N28" i="30"/>
  <c r="V9" i="30"/>
  <c r="O19" i="30"/>
  <c r="M19" i="30"/>
  <c r="N19" i="30" s="1"/>
  <c r="N20" i="30"/>
  <c r="O20" i="30"/>
  <c r="M20" i="30"/>
  <c r="K20" i="30" s="1"/>
  <c r="M14" i="30"/>
  <c r="L14" i="30" s="1"/>
  <c r="N14" i="30"/>
  <c r="M18" i="30"/>
  <c r="N18" i="30" s="1"/>
  <c r="O18" i="30"/>
  <c r="M11" i="30"/>
  <c r="L11" i="30" s="1"/>
  <c r="N11" i="30"/>
  <c r="N8" i="30"/>
  <c r="M8" i="30"/>
  <c r="K8" i="30" s="1"/>
  <c r="N26" i="30"/>
  <c r="M26" i="30"/>
  <c r="K26" i="30" s="1"/>
  <c r="M16" i="30"/>
  <c r="L16" i="30" s="1"/>
  <c r="O16" i="30"/>
  <c r="N16" i="30"/>
  <c r="O21" i="30"/>
  <c r="M21" i="30"/>
  <c r="N21" i="30" s="1"/>
  <c r="U27" i="27"/>
  <c r="AK27" i="27" s="1"/>
  <c r="AN27" i="27" s="1"/>
  <c r="Y7" i="27"/>
  <c r="S25" i="27"/>
  <c r="O18" i="27"/>
  <c r="O17" i="27"/>
  <c r="O20" i="27"/>
  <c r="O23" i="27"/>
  <c r="Y23" i="27"/>
  <c r="Y19" i="27"/>
  <c r="Y15" i="27"/>
  <c r="Y11" i="27"/>
  <c r="O14" i="27"/>
  <c r="O13" i="27"/>
  <c r="O16" i="27"/>
  <c r="O19" i="27"/>
  <c r="Y22" i="27"/>
  <c r="Y18" i="27"/>
  <c r="Y10" i="27"/>
  <c r="O10" i="27"/>
  <c r="O9" i="27"/>
  <c r="O12" i="27"/>
  <c r="O15" i="27"/>
  <c r="Y21" i="27"/>
  <c r="Y17" i="27"/>
  <c r="Y13" i="27"/>
  <c r="Y9" i="27"/>
  <c r="W26" i="27"/>
  <c r="V26" i="27" s="1"/>
  <c r="O22" i="27"/>
  <c r="O21" i="27"/>
  <c r="O8" i="27"/>
  <c r="O11" i="27"/>
  <c r="Y20" i="27"/>
  <c r="Y16" i="27"/>
  <c r="Y12" i="27"/>
  <c r="Y8" i="27"/>
  <c r="W28" i="27"/>
  <c r="AC25" i="27"/>
  <c r="AG22" i="27"/>
  <c r="AE22" i="27" s="1"/>
  <c r="AG10" i="27"/>
  <c r="AE10" i="27" s="1"/>
  <c r="AG21" i="27"/>
  <c r="AH21" i="27" s="1"/>
  <c r="AG17" i="27"/>
  <c r="AE17" i="27" s="1"/>
  <c r="AG13" i="27"/>
  <c r="AF13" i="27" s="1"/>
  <c r="AG9" i="27"/>
  <c r="AH9" i="27" s="1"/>
  <c r="AG14" i="27"/>
  <c r="AE14" i="27" s="1"/>
  <c r="AG7" i="27"/>
  <c r="AF7" i="27" s="1"/>
  <c r="AG24" i="27"/>
  <c r="AE24" i="27" s="1"/>
  <c r="AG20" i="27"/>
  <c r="AE20" i="27" s="1"/>
  <c r="AG16" i="27"/>
  <c r="AE16" i="27" s="1"/>
  <c r="AG12" i="27"/>
  <c r="AE12" i="27" s="1"/>
  <c r="AG8" i="27"/>
  <c r="AH8" i="27" s="1"/>
  <c r="AG18" i="27"/>
  <c r="AH18" i="27" s="1"/>
  <c r="AG23" i="27"/>
  <c r="AF23" i="27" s="1"/>
  <c r="AG19" i="27"/>
  <c r="AF19" i="27" s="1"/>
  <c r="AG15" i="27"/>
  <c r="AH15" i="27" s="1"/>
  <c r="AG11" i="27"/>
  <c r="AE11" i="27" s="1"/>
  <c r="V22" i="27"/>
  <c r="U10" i="27"/>
  <c r="W21" i="27"/>
  <c r="U21" i="27" s="1"/>
  <c r="X9" i="27"/>
  <c r="W23" i="27"/>
  <c r="U23" i="27" s="1"/>
  <c r="W19" i="27"/>
  <c r="U19" i="27" s="1"/>
  <c r="V15" i="27"/>
  <c r="W11" i="27"/>
  <c r="X11" i="27" s="1"/>
  <c r="U18" i="27"/>
  <c r="V14" i="27"/>
  <c r="W24" i="27"/>
  <c r="U24" i="27" s="1"/>
  <c r="W20" i="27"/>
  <c r="U20" i="27" s="1"/>
  <c r="W16" i="27"/>
  <c r="U16" i="27" s="1"/>
  <c r="V12" i="27"/>
  <c r="X8" i="27"/>
  <c r="M26" i="27"/>
  <c r="L26" i="27" s="1"/>
  <c r="M28" i="27"/>
  <c r="L28" i="27" s="1"/>
  <c r="M27" i="27"/>
  <c r="K9" i="27"/>
  <c r="O7" i="27"/>
  <c r="I25" i="27"/>
  <c r="I29" i="27" s="1"/>
  <c r="L18" i="27"/>
  <c r="M17" i="27"/>
  <c r="K17" i="27" s="1"/>
  <c r="M20" i="27"/>
  <c r="N20" i="27" s="1"/>
  <c r="M23" i="27"/>
  <c r="N23" i="27" s="1"/>
  <c r="M14" i="27"/>
  <c r="N14" i="27" s="1"/>
  <c r="N16" i="27"/>
  <c r="N19" i="27"/>
  <c r="N10" i="27"/>
  <c r="M12" i="27"/>
  <c r="L12" i="27" s="1"/>
  <c r="K15" i="27"/>
  <c r="M24" i="27"/>
  <c r="L24" i="27" s="1"/>
  <c r="L8" i="27"/>
  <c r="M11" i="27"/>
  <c r="L11" i="27" s="1"/>
  <c r="AE7" i="30" l="1"/>
  <c r="AB7" i="30" s="1"/>
  <c r="AE15" i="30"/>
  <c r="U17" i="27"/>
  <c r="T17" i="27" s="1"/>
  <c r="U16" i="30"/>
  <c r="AK16" i="30" s="1"/>
  <c r="AN16" i="30" s="1"/>
  <c r="V12" i="30"/>
  <c r="T12" i="30" s="1"/>
  <c r="U15" i="30"/>
  <c r="AK15" i="30" s="1"/>
  <c r="AN15" i="30" s="1"/>
  <c r="N7" i="27"/>
  <c r="U20" i="30"/>
  <c r="AK20" i="30" s="1"/>
  <c r="AN20" i="30" s="1"/>
  <c r="U17" i="30"/>
  <c r="R17" i="30" s="1"/>
  <c r="AF10" i="30"/>
  <c r="AB10" i="30" s="1"/>
  <c r="U19" i="30"/>
  <c r="AK19" i="30" s="1"/>
  <c r="AN19" i="30" s="1"/>
  <c r="AE13" i="30"/>
  <c r="K13" i="27"/>
  <c r="H13" i="27" s="1"/>
  <c r="L20" i="27"/>
  <c r="L23" i="27"/>
  <c r="K23" i="27"/>
  <c r="L17" i="27"/>
  <c r="H17" i="27" s="1"/>
  <c r="V20" i="27"/>
  <c r="R20" i="27" s="1"/>
  <c r="L7" i="27"/>
  <c r="AJ7" i="27" s="1"/>
  <c r="L21" i="27"/>
  <c r="H21" i="27" s="1"/>
  <c r="L14" i="27"/>
  <c r="V13" i="27"/>
  <c r="AK13" i="27" s="1"/>
  <c r="AN13" i="27" s="1"/>
  <c r="V11" i="27"/>
  <c r="X14" i="27"/>
  <c r="S29" i="30"/>
  <c r="Y29" i="30" s="1"/>
  <c r="V11" i="30"/>
  <c r="AK11" i="30" s="1"/>
  <c r="AN11" i="30" s="1"/>
  <c r="X24" i="30"/>
  <c r="N10" i="30"/>
  <c r="AK13" i="30"/>
  <c r="AN13" i="30" s="1"/>
  <c r="AF8" i="30"/>
  <c r="AF24" i="30"/>
  <c r="AD24" i="30" s="1"/>
  <c r="R7" i="30"/>
  <c r="W25" i="30"/>
  <c r="X25" i="30" s="1"/>
  <c r="AK21" i="30"/>
  <c r="AN21" i="30" s="1"/>
  <c r="K20" i="27"/>
  <c r="K19" i="27"/>
  <c r="L10" i="27"/>
  <c r="K12" i="27"/>
  <c r="K16" i="27"/>
  <c r="K8" i="27"/>
  <c r="J8" i="27" s="1"/>
  <c r="AH22" i="30"/>
  <c r="U14" i="30"/>
  <c r="R14" i="30" s="1"/>
  <c r="U27" i="30"/>
  <c r="AK27" i="30" s="1"/>
  <c r="AN27" i="30" s="1"/>
  <c r="V24" i="30"/>
  <c r="T24" i="30" s="1"/>
  <c r="AH14" i="27"/>
  <c r="AE23" i="27"/>
  <c r="AH22" i="27"/>
  <c r="V23" i="27"/>
  <c r="AK23" i="27" s="1"/>
  <c r="AN23" i="27" s="1"/>
  <c r="AH23" i="27"/>
  <c r="AH16" i="27"/>
  <c r="S29" i="27"/>
  <c r="Y25" i="27"/>
  <c r="AE26" i="27"/>
  <c r="AH13" i="27"/>
  <c r="AH10" i="27"/>
  <c r="AE27" i="27"/>
  <c r="AH20" i="27"/>
  <c r="AC29" i="27"/>
  <c r="AI29" i="27" s="1"/>
  <c r="AI25" i="27"/>
  <c r="AH17" i="27"/>
  <c r="AH12" i="27"/>
  <c r="O29" i="27"/>
  <c r="AF28" i="27"/>
  <c r="AB28" i="27" s="1"/>
  <c r="AH11" i="27"/>
  <c r="AH19" i="27"/>
  <c r="T13" i="30"/>
  <c r="AE22" i="30"/>
  <c r="AB14" i="30"/>
  <c r="V26" i="30"/>
  <c r="T26" i="30" s="1"/>
  <c r="AD18" i="30"/>
  <c r="AB18" i="30"/>
  <c r="AD23" i="30"/>
  <c r="AD16" i="30"/>
  <c r="AF20" i="30"/>
  <c r="AE20" i="30"/>
  <c r="AD11" i="30"/>
  <c r="AH24" i="30"/>
  <c r="AD13" i="30"/>
  <c r="AD14" i="30"/>
  <c r="AF28" i="30"/>
  <c r="AD28" i="30" s="1"/>
  <c r="AB23" i="30"/>
  <c r="AG25" i="30"/>
  <c r="AG29" i="30" s="1"/>
  <c r="AF17" i="30"/>
  <c r="AC29" i="30"/>
  <c r="AB12" i="30"/>
  <c r="AE27" i="30"/>
  <c r="AE26" i="30"/>
  <c r="AF26" i="30"/>
  <c r="T18" i="30"/>
  <c r="T8" i="30"/>
  <c r="AK23" i="30"/>
  <c r="AN23" i="30" s="1"/>
  <c r="AK7" i="30"/>
  <c r="AN7" i="30" s="1"/>
  <c r="AK8" i="30"/>
  <c r="AN8" i="30" s="1"/>
  <c r="R12" i="30"/>
  <c r="T21" i="30"/>
  <c r="T23" i="30"/>
  <c r="R18" i="30"/>
  <c r="AK12" i="30"/>
  <c r="AN12" i="30" s="1"/>
  <c r="AK10" i="30"/>
  <c r="AN10" i="30" s="1"/>
  <c r="R21" i="30"/>
  <c r="T10" i="30"/>
  <c r="R10" i="30"/>
  <c r="K27" i="30"/>
  <c r="J27" i="30" s="1"/>
  <c r="L8" i="30"/>
  <c r="J8" i="30" s="1"/>
  <c r="L26" i="30"/>
  <c r="H26" i="30" s="1"/>
  <c r="N12" i="30"/>
  <c r="K19" i="30"/>
  <c r="L17" i="30"/>
  <c r="J17" i="30" s="1"/>
  <c r="L12" i="30"/>
  <c r="J12" i="30" s="1"/>
  <c r="L20" i="30"/>
  <c r="AJ20" i="30" s="1"/>
  <c r="AM20" i="30" s="1"/>
  <c r="L21" i="30"/>
  <c r="K22" i="30"/>
  <c r="J22" i="30" s="1"/>
  <c r="K16" i="30"/>
  <c r="H16" i="30" s="1"/>
  <c r="K21" i="30"/>
  <c r="H23" i="30"/>
  <c r="K10" i="30"/>
  <c r="J10" i="30" s="1"/>
  <c r="J23" i="30"/>
  <c r="L28" i="30"/>
  <c r="AJ28" i="30" s="1"/>
  <c r="AM28" i="30" s="1"/>
  <c r="L15" i="30"/>
  <c r="AJ15" i="30" s="1"/>
  <c r="AM15" i="30" s="1"/>
  <c r="K18" i="30"/>
  <c r="I29" i="30"/>
  <c r="O25" i="30"/>
  <c r="AK28" i="30"/>
  <c r="AN28" i="30" s="1"/>
  <c r="R28" i="30"/>
  <c r="T28" i="30"/>
  <c r="N13" i="30"/>
  <c r="AB11" i="30"/>
  <c r="K11" i="30"/>
  <c r="L18" i="30"/>
  <c r="K14" i="30"/>
  <c r="L19" i="30"/>
  <c r="L9" i="30"/>
  <c r="H9" i="30" s="1"/>
  <c r="L24" i="30"/>
  <c r="AJ24" i="30" s="1"/>
  <c r="AM24" i="30" s="1"/>
  <c r="AK9" i="30"/>
  <c r="AN9" i="30" s="1"/>
  <c r="T9" i="30"/>
  <c r="R9" i="30"/>
  <c r="K13" i="30"/>
  <c r="AD21" i="30"/>
  <c r="AD9" i="30"/>
  <c r="AB9" i="30"/>
  <c r="M25" i="30"/>
  <c r="M29" i="30" s="1"/>
  <c r="AK22" i="30"/>
  <c r="AN22" i="30" s="1"/>
  <c r="T22" i="30"/>
  <c r="R22" i="30"/>
  <c r="AD19" i="30"/>
  <c r="K7" i="30"/>
  <c r="R16" i="30"/>
  <c r="T16" i="30"/>
  <c r="AE19" i="27"/>
  <c r="AE13" i="27"/>
  <c r="AD13" i="27" s="1"/>
  <c r="V8" i="27"/>
  <c r="N9" i="27"/>
  <c r="K26" i="27"/>
  <c r="N18" i="27"/>
  <c r="T27" i="27"/>
  <c r="R27" i="27"/>
  <c r="V24" i="27"/>
  <c r="R24" i="27" s="1"/>
  <c r="N8" i="27"/>
  <c r="X10" i="27"/>
  <c r="U26" i="27"/>
  <c r="AK26" i="27" s="1"/>
  <c r="AN26" i="27" s="1"/>
  <c r="U14" i="27"/>
  <c r="AK14" i="27" s="1"/>
  <c r="AN14" i="27" s="1"/>
  <c r="N22" i="27"/>
  <c r="X17" i="27"/>
  <c r="X22" i="27"/>
  <c r="X23" i="27"/>
  <c r="X15" i="27"/>
  <c r="U9" i="27"/>
  <c r="V21" i="27"/>
  <c r="T21" i="27" s="1"/>
  <c r="AF16" i="27"/>
  <c r="AD16" i="27" s="1"/>
  <c r="AF17" i="27"/>
  <c r="AD17" i="27" s="1"/>
  <c r="X12" i="27"/>
  <c r="K28" i="27"/>
  <c r="AJ28" i="27" s="1"/>
  <c r="AM28" i="27" s="1"/>
  <c r="V19" i="27"/>
  <c r="T19" i="27" s="1"/>
  <c r="V9" i="27"/>
  <c r="AF12" i="27"/>
  <c r="AD12" i="27" s="1"/>
  <c r="N21" i="27"/>
  <c r="X13" i="27"/>
  <c r="X21" i="27"/>
  <c r="N13" i="27"/>
  <c r="O25" i="27"/>
  <c r="N15" i="27"/>
  <c r="U11" i="27"/>
  <c r="X20" i="27"/>
  <c r="U7" i="27"/>
  <c r="W25" i="27"/>
  <c r="X25" i="27" s="1"/>
  <c r="L15" i="27"/>
  <c r="J15" i="27" s="1"/>
  <c r="U8" i="27"/>
  <c r="U15" i="27"/>
  <c r="AF20" i="27"/>
  <c r="AD20" i="27" s="1"/>
  <c r="V28" i="27"/>
  <c r="U28" i="27"/>
  <c r="X16" i="27"/>
  <c r="N11" i="27"/>
  <c r="N12" i="27"/>
  <c r="X18" i="27"/>
  <c r="X19" i="27"/>
  <c r="N17" i="27"/>
  <c r="AF24" i="27"/>
  <c r="AD24" i="27" s="1"/>
  <c r="AF18" i="27"/>
  <c r="AF14" i="27"/>
  <c r="AB14" i="27" s="1"/>
  <c r="AF10" i="27"/>
  <c r="AD10" i="27" s="1"/>
  <c r="AF22" i="27"/>
  <c r="AD22" i="27" s="1"/>
  <c r="AH7" i="27"/>
  <c r="AG25" i="27"/>
  <c r="AH25" i="27" s="1"/>
  <c r="AF11" i="27"/>
  <c r="AD11" i="27" s="1"/>
  <c r="AF21" i="27"/>
  <c r="AE7" i="27"/>
  <c r="AD7" i="27" s="1"/>
  <c r="AF15" i="27"/>
  <c r="AE18" i="27"/>
  <c r="AE8" i="27"/>
  <c r="AF8" i="27"/>
  <c r="AF9" i="27"/>
  <c r="AE21" i="27"/>
  <c r="AE15" i="27"/>
  <c r="AE9" i="27"/>
  <c r="V18" i="27"/>
  <c r="T18" i="27" s="1"/>
  <c r="V10" i="27"/>
  <c r="T10" i="27" s="1"/>
  <c r="U12" i="27"/>
  <c r="AK12" i="27" s="1"/>
  <c r="AN12" i="27" s="1"/>
  <c r="V16" i="27"/>
  <c r="T16" i="27" s="1"/>
  <c r="X7" i="27"/>
  <c r="U22" i="27"/>
  <c r="AK22" i="27" s="1"/>
  <c r="AN22" i="27" s="1"/>
  <c r="K11" i="27"/>
  <c r="K24" i="27"/>
  <c r="K27" i="27"/>
  <c r="L27" i="27"/>
  <c r="L19" i="27"/>
  <c r="L22" i="27"/>
  <c r="H22" i="27" s="1"/>
  <c r="L16" i="27"/>
  <c r="L9" i="27"/>
  <c r="H9" i="27" s="1"/>
  <c r="M25" i="27"/>
  <c r="K14" i="27"/>
  <c r="AJ18" i="27"/>
  <c r="AM18" i="27" s="1"/>
  <c r="AD7" i="30" l="1"/>
  <c r="T17" i="30"/>
  <c r="AD10" i="30"/>
  <c r="AB15" i="30"/>
  <c r="AK17" i="30"/>
  <c r="AN17" i="30" s="1"/>
  <c r="AB13" i="30"/>
  <c r="T15" i="30"/>
  <c r="T20" i="30"/>
  <c r="R15" i="30"/>
  <c r="AD15" i="30"/>
  <c r="R20" i="30"/>
  <c r="H20" i="30"/>
  <c r="R19" i="30"/>
  <c r="J20" i="30"/>
  <c r="T11" i="30"/>
  <c r="T19" i="30"/>
  <c r="R11" i="30"/>
  <c r="AJ20" i="27"/>
  <c r="AM20" i="27" s="1"/>
  <c r="H19" i="30"/>
  <c r="AK8" i="27"/>
  <c r="AN8" i="27" s="1"/>
  <c r="V25" i="30"/>
  <c r="V29" i="30" s="1"/>
  <c r="T32" i="30" s="1"/>
  <c r="T23" i="27"/>
  <c r="T14" i="30"/>
  <c r="R26" i="30"/>
  <c r="AK26" i="30"/>
  <c r="AN26" i="30" s="1"/>
  <c r="AJ23" i="27"/>
  <c r="AM23" i="27" s="1"/>
  <c r="W29" i="30"/>
  <c r="X29" i="30" s="1"/>
  <c r="U25" i="30"/>
  <c r="U29" i="30" s="1"/>
  <c r="AD8" i="30"/>
  <c r="AB8" i="30"/>
  <c r="AK14" i="30"/>
  <c r="AN14" i="30" s="1"/>
  <c r="AJ21" i="30"/>
  <c r="AM21" i="30" s="1"/>
  <c r="H8" i="30"/>
  <c r="AD22" i="30"/>
  <c r="R24" i="30"/>
  <c r="AK24" i="30"/>
  <c r="AN24" i="30" s="1"/>
  <c r="T27" i="30"/>
  <c r="R27" i="30"/>
  <c r="H27" i="30"/>
  <c r="J21" i="30"/>
  <c r="AJ27" i="30"/>
  <c r="AM27" i="30" s="1"/>
  <c r="AK28" i="27"/>
  <c r="AN28" i="27" s="1"/>
  <c r="H28" i="27"/>
  <c r="AJ10" i="27"/>
  <c r="AM10" i="27" s="1"/>
  <c r="AK11" i="27"/>
  <c r="AN11" i="27" s="1"/>
  <c r="AB23" i="27"/>
  <c r="AJ22" i="27"/>
  <c r="AM22" i="27" s="1"/>
  <c r="AK7" i="27"/>
  <c r="AN7" i="27" s="1"/>
  <c r="AJ14" i="27"/>
  <c r="AM14" i="27" s="1"/>
  <c r="AJ27" i="27"/>
  <c r="AM27" i="27" s="1"/>
  <c r="J17" i="27"/>
  <c r="AK17" i="27"/>
  <c r="AN17" i="27" s="1"/>
  <c r="AJ21" i="27"/>
  <c r="AM21" i="27" s="1"/>
  <c r="H11" i="27"/>
  <c r="AJ11" i="27"/>
  <c r="AM11" i="27" s="1"/>
  <c r="J26" i="27"/>
  <c r="AJ26" i="27"/>
  <c r="AM26" i="27" s="1"/>
  <c r="AB22" i="27"/>
  <c r="AB19" i="27"/>
  <c r="H12" i="27"/>
  <c r="AJ12" i="27"/>
  <c r="AM12" i="27" s="1"/>
  <c r="R9" i="27"/>
  <c r="AK9" i="27"/>
  <c r="AN9" i="27" s="1"/>
  <c r="AB11" i="27"/>
  <c r="AK19" i="27"/>
  <c r="AN19" i="27" s="1"/>
  <c r="AJ17" i="27"/>
  <c r="AM17" i="27" s="1"/>
  <c r="AK10" i="27"/>
  <c r="AN10" i="27" s="1"/>
  <c r="J11" i="27"/>
  <c r="AJ16" i="27"/>
  <c r="AM16" i="27" s="1"/>
  <c r="J24" i="27"/>
  <c r="AJ24" i="27"/>
  <c r="AM24" i="27" s="1"/>
  <c r="T24" i="27"/>
  <c r="AB10" i="27"/>
  <c r="AK16" i="27"/>
  <c r="AN16" i="27" s="1"/>
  <c r="AJ13" i="27"/>
  <c r="AM13" i="27" s="1"/>
  <c r="AK20" i="27"/>
  <c r="AN20" i="27" s="1"/>
  <c r="AB27" i="27"/>
  <c r="AD27" i="27"/>
  <c r="AJ9" i="27"/>
  <c r="AM9" i="27" s="1"/>
  <c r="AK18" i="27"/>
  <c r="AN18" i="27" s="1"/>
  <c r="AM7" i="27"/>
  <c r="AK21" i="27"/>
  <c r="AN21" i="27" s="1"/>
  <c r="Y29" i="27"/>
  <c r="J28" i="27"/>
  <c r="AB21" i="27"/>
  <c r="AD19" i="27"/>
  <c r="H26" i="27"/>
  <c r="R19" i="27"/>
  <c r="AD26" i="27"/>
  <c r="AB26" i="27"/>
  <c r="AK24" i="27"/>
  <c r="AN24" i="27" s="1"/>
  <c r="AJ19" i="27"/>
  <c r="AM19" i="27" s="1"/>
  <c r="H8" i="27"/>
  <c r="AJ8" i="27"/>
  <c r="AM8" i="27" s="1"/>
  <c r="AB7" i="27"/>
  <c r="R15" i="27"/>
  <c r="AK15" i="27"/>
  <c r="AN15" i="27" s="1"/>
  <c r="AB13" i="27"/>
  <c r="AD28" i="27"/>
  <c r="AJ15" i="27"/>
  <c r="AM15" i="27" s="1"/>
  <c r="AB22" i="30"/>
  <c r="J15" i="30"/>
  <c r="AJ8" i="30"/>
  <c r="AM8" i="30" s="1"/>
  <c r="AH25" i="30"/>
  <c r="AF25" i="30"/>
  <c r="AF29" i="30" s="1"/>
  <c r="AD32" i="30" s="1"/>
  <c r="AD20" i="30"/>
  <c r="AB28" i="30"/>
  <c r="AB20" i="30"/>
  <c r="AL28" i="30"/>
  <c r="AO28" i="30" s="1"/>
  <c r="AH29" i="30"/>
  <c r="AD26" i="30"/>
  <c r="AI29" i="30"/>
  <c r="AB17" i="30"/>
  <c r="AD17" i="30"/>
  <c r="AB24" i="30"/>
  <c r="AE25" i="30"/>
  <c r="AE29" i="30" s="1"/>
  <c r="AD31" i="30" s="1"/>
  <c r="AB26" i="30"/>
  <c r="AL26" i="30"/>
  <c r="AO26" i="30" s="1"/>
  <c r="AD27" i="30"/>
  <c r="AB27" i="30"/>
  <c r="AL27" i="30"/>
  <c r="AO27" i="30" s="1"/>
  <c r="AJ16" i="30"/>
  <c r="AM16" i="30" s="1"/>
  <c r="AJ26" i="30"/>
  <c r="AM26" i="30" s="1"/>
  <c r="AJ12" i="30"/>
  <c r="AM12" i="30" s="1"/>
  <c r="H15" i="30"/>
  <c r="J26" i="30"/>
  <c r="H12" i="30"/>
  <c r="J16" i="30"/>
  <c r="J19" i="30"/>
  <c r="H17" i="30"/>
  <c r="AJ17" i="30"/>
  <c r="AM17" i="30" s="1"/>
  <c r="AJ9" i="30"/>
  <c r="AM9" i="30" s="1"/>
  <c r="H10" i="30"/>
  <c r="AJ10" i="30"/>
  <c r="AM10" i="30" s="1"/>
  <c r="J28" i="30"/>
  <c r="AJ22" i="30"/>
  <c r="AM22" i="30" s="1"/>
  <c r="H22" i="30"/>
  <c r="H28" i="30"/>
  <c r="J9" i="30"/>
  <c r="H24" i="30"/>
  <c r="AJ13" i="30"/>
  <c r="AM13" i="30" s="1"/>
  <c r="H13" i="30"/>
  <c r="J13" i="30"/>
  <c r="N29" i="30"/>
  <c r="O29" i="30"/>
  <c r="AJ14" i="30"/>
  <c r="AM14" i="30" s="1"/>
  <c r="H14" i="30"/>
  <c r="J14" i="30"/>
  <c r="L25" i="30"/>
  <c r="L29" i="30" s="1"/>
  <c r="I32" i="30" s="1"/>
  <c r="H21" i="30"/>
  <c r="J24" i="30"/>
  <c r="K25" i="30"/>
  <c r="K29" i="30" s="1"/>
  <c r="J7" i="30"/>
  <c r="AJ7" i="30"/>
  <c r="H7" i="30"/>
  <c r="AJ18" i="30"/>
  <c r="AM18" i="30" s="1"/>
  <c r="H18" i="30"/>
  <c r="J18" i="30"/>
  <c r="AJ19" i="30"/>
  <c r="AM19" i="30" s="1"/>
  <c r="H11" i="30"/>
  <c r="AJ11" i="30"/>
  <c r="AM11" i="30" s="1"/>
  <c r="J11" i="30"/>
  <c r="N25" i="30"/>
  <c r="W29" i="27"/>
  <c r="X29" i="27" s="1"/>
  <c r="AB20" i="27"/>
  <c r="T15" i="27"/>
  <c r="AB15" i="27"/>
  <c r="AB8" i="27"/>
  <c r="AD23" i="27"/>
  <c r="R7" i="27"/>
  <c r="AB17" i="27"/>
  <c r="AG29" i="27"/>
  <c r="AH29" i="27" s="1"/>
  <c r="N25" i="27"/>
  <c r="M29" i="27"/>
  <c r="N29" i="27" s="1"/>
  <c r="AB9" i="27"/>
  <c r="AB12" i="27"/>
  <c r="H15" i="27"/>
  <c r="AB18" i="27"/>
  <c r="R10" i="27"/>
  <c r="AB16" i="27"/>
  <c r="AB24" i="27"/>
  <c r="T8" i="27"/>
  <c r="R8" i="27"/>
  <c r="T11" i="27"/>
  <c r="R11" i="27"/>
  <c r="T26" i="27"/>
  <c r="R26" i="27"/>
  <c r="T13" i="27"/>
  <c r="R13" i="27"/>
  <c r="T14" i="27"/>
  <c r="R14" i="27"/>
  <c r="R16" i="27"/>
  <c r="T20" i="27"/>
  <c r="T12" i="27"/>
  <c r="R12" i="27"/>
  <c r="R23" i="27"/>
  <c r="T28" i="27"/>
  <c r="R28" i="27"/>
  <c r="R17" i="27"/>
  <c r="T22" i="27"/>
  <c r="R22" i="27"/>
  <c r="AD15" i="27"/>
  <c r="R18" i="27"/>
  <c r="R21" i="27"/>
  <c r="AD9" i="27"/>
  <c r="T9" i="27"/>
  <c r="U25" i="27"/>
  <c r="U29" i="27" s="1"/>
  <c r="T31" i="27" s="1"/>
  <c r="T7" i="27"/>
  <c r="V25" i="27"/>
  <c r="V29" i="27" s="1"/>
  <c r="T32" i="27" s="1"/>
  <c r="AF25" i="27"/>
  <c r="AF29" i="27" s="1"/>
  <c r="AD32" i="27" s="1"/>
  <c r="J13" i="27"/>
  <c r="AD21" i="27"/>
  <c r="J22" i="27"/>
  <c r="AD8" i="27"/>
  <c r="H24" i="27"/>
  <c r="AD18" i="27"/>
  <c r="AD14" i="27"/>
  <c r="AE25" i="27"/>
  <c r="AE29" i="27" s="1"/>
  <c r="AD31" i="27" s="1"/>
  <c r="J27" i="27"/>
  <c r="H27" i="27"/>
  <c r="J12" i="27"/>
  <c r="J23" i="27"/>
  <c r="H23" i="27"/>
  <c r="J18" i="27"/>
  <c r="H18" i="27"/>
  <c r="J14" i="27"/>
  <c r="H14" i="27"/>
  <c r="J10" i="27"/>
  <c r="H10" i="27"/>
  <c r="H7" i="27"/>
  <c r="K25" i="27"/>
  <c r="K29" i="27" s="1"/>
  <c r="I31" i="27" s="1"/>
  <c r="J9" i="27"/>
  <c r="J21" i="27"/>
  <c r="J19" i="27"/>
  <c r="H19" i="27"/>
  <c r="H20" i="27"/>
  <c r="J20" i="27"/>
  <c r="H16" i="27"/>
  <c r="J16" i="27"/>
  <c r="L25" i="27"/>
  <c r="L29" i="27" s="1"/>
  <c r="I32" i="27" s="1"/>
  <c r="J7" i="27"/>
  <c r="T25" i="30" l="1"/>
  <c r="T29" i="30" s="1"/>
  <c r="R25" i="30"/>
  <c r="R29" i="30" s="1"/>
  <c r="T31" i="30"/>
  <c r="U30" i="30"/>
  <c r="I31" i="30"/>
  <c r="K30" i="30"/>
  <c r="AK25" i="30"/>
  <c r="AK29" i="30" s="1"/>
  <c r="AN25" i="30"/>
  <c r="AN29" i="30" s="1"/>
  <c r="AM25" i="27"/>
  <c r="AM29" i="27" s="1"/>
  <c r="AN25" i="27"/>
  <c r="AN29" i="27" s="1"/>
  <c r="AJ25" i="27"/>
  <c r="AJ29" i="27" s="1"/>
  <c r="AB25" i="27"/>
  <c r="AB29" i="27" s="1"/>
  <c r="AK25" i="27"/>
  <c r="AK29" i="27" s="1"/>
  <c r="AD25" i="30"/>
  <c r="AD29" i="30" s="1"/>
  <c r="AB25" i="30"/>
  <c r="AB29" i="30" s="1"/>
  <c r="AO29" i="30"/>
  <c r="AL29" i="30"/>
  <c r="AJ25" i="30"/>
  <c r="AJ29" i="30" s="1"/>
  <c r="AM7" i="30"/>
  <c r="AM25" i="30" s="1"/>
  <c r="AM29" i="30" s="1"/>
  <c r="J25" i="30"/>
  <c r="J29" i="30" s="1"/>
  <c r="H25" i="30"/>
  <c r="H29" i="30" s="1"/>
  <c r="AD25" i="27"/>
  <c r="AD29" i="27" s="1"/>
  <c r="R25" i="27"/>
  <c r="R29" i="27" s="1"/>
  <c r="T25" i="27"/>
  <c r="T29" i="27" s="1"/>
  <c r="J25" i="27"/>
  <c r="J29" i="27" s="1"/>
  <c r="H25" i="27"/>
  <c r="H29" i="27" s="1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Q20" i="17"/>
  <c r="AN20" i="17"/>
  <c r="H20" i="17"/>
  <c r="G20" i="17"/>
  <c r="F20" i="17"/>
  <c r="AN19" i="17"/>
  <c r="H19" i="17"/>
  <c r="G19" i="17"/>
  <c r="F19" i="17"/>
  <c r="AO18" i="17"/>
  <c r="AN18" i="17"/>
  <c r="H18" i="17"/>
  <c r="G18" i="17"/>
  <c r="F18" i="17"/>
  <c r="AN17" i="17"/>
  <c r="H17" i="17"/>
  <c r="G17" i="17"/>
  <c r="F17" i="17"/>
  <c r="AQ16" i="17"/>
  <c r="AO16" i="17"/>
  <c r="AN16" i="17"/>
  <c r="H16" i="17"/>
  <c r="G16" i="17"/>
  <c r="F16" i="17"/>
  <c r="AN15" i="17"/>
  <c r="H15" i="17"/>
  <c r="G15" i="17"/>
  <c r="F15" i="17"/>
  <c r="AO14" i="17"/>
  <c r="AN14" i="17"/>
  <c r="H14" i="17"/>
  <c r="G14" i="17"/>
  <c r="F14" i="17"/>
  <c r="AN13" i="17"/>
  <c r="H13" i="17"/>
  <c r="G13" i="17"/>
  <c r="F13" i="17"/>
  <c r="AQ12" i="17"/>
  <c r="AO12" i="17"/>
  <c r="AN12" i="17"/>
  <c r="H12" i="17"/>
  <c r="G12" i="17"/>
  <c r="F12" i="17"/>
  <c r="AN11" i="17"/>
  <c r="H11" i="17"/>
  <c r="G11" i="17"/>
  <c r="F11" i="17"/>
  <c r="AO10" i="17"/>
  <c r="AN10" i="17"/>
  <c r="H10" i="17"/>
  <c r="G10" i="17"/>
  <c r="F10" i="17"/>
  <c r="AN9" i="17"/>
  <c r="H9" i="17"/>
  <c r="G9" i="17"/>
  <c r="F9" i="17"/>
  <c r="AQ8" i="17"/>
  <c r="AO8" i="17"/>
  <c r="AN8" i="17"/>
  <c r="H8" i="17"/>
  <c r="G8" i="17"/>
  <c r="F8" i="17"/>
  <c r="AN7" i="17"/>
  <c r="H7" i="17"/>
  <c r="G7" i="17"/>
  <c r="F7" i="17"/>
  <c r="AO6" i="17"/>
  <c r="AN6" i="17"/>
  <c r="H6" i="17"/>
  <c r="G6" i="17"/>
  <c r="F6" i="17"/>
  <c r="AO20" i="17" l="1"/>
  <c r="AO7" i="17"/>
  <c r="AO11" i="17"/>
  <c r="AO15" i="17"/>
  <c r="AO19" i="17"/>
  <c r="AP19" i="17" s="1"/>
  <c r="AO23" i="17"/>
  <c r="AP23" i="17" s="1"/>
  <c r="AQ7" i="17"/>
  <c r="AQ11" i="17"/>
  <c r="AR11" i="17" s="1"/>
  <c r="AY11" i="17" s="1"/>
  <c r="AQ15" i="17"/>
  <c r="AR15" i="17" s="1"/>
  <c r="AY15" i="17" s="1"/>
  <c r="AQ19" i="17"/>
  <c r="AQ23" i="17"/>
  <c r="AR23" i="17" s="1"/>
  <c r="AY23" i="17" s="1"/>
  <c r="AO22" i="17"/>
  <c r="AP22" i="17" s="1"/>
  <c r="AQ6" i="17"/>
  <c r="AR6" i="17" s="1"/>
  <c r="AQ10" i="17"/>
  <c r="AR10" i="17" s="1"/>
  <c r="AY10" i="17" s="1"/>
  <c r="AQ14" i="17"/>
  <c r="AR14" i="17" s="1"/>
  <c r="AY14" i="17" s="1"/>
  <c r="AQ18" i="17"/>
  <c r="AR18" i="17" s="1"/>
  <c r="AY18" i="17" s="1"/>
  <c r="AQ22" i="17"/>
  <c r="AR22" i="17" s="1"/>
  <c r="AY22" i="17" s="1"/>
  <c r="AO9" i="17"/>
  <c r="AO13" i="17"/>
  <c r="AO17" i="17"/>
  <c r="AP17" i="17" s="1"/>
  <c r="AO21" i="17"/>
  <c r="AQ9" i="17"/>
  <c r="AR9" i="17" s="1"/>
  <c r="AY9" i="17" s="1"/>
  <c r="AQ13" i="17"/>
  <c r="AR13" i="17" s="1"/>
  <c r="AY13" i="17" s="1"/>
  <c r="AQ17" i="17"/>
  <c r="AR17" i="17" s="1"/>
  <c r="AY17" i="17" s="1"/>
  <c r="AC10" i="17"/>
  <c r="AD10" i="17" s="1"/>
  <c r="AK10" i="17" s="1"/>
  <c r="AA9" i="17"/>
  <c r="AC11" i="17"/>
  <c r="AD11" i="17" s="1"/>
  <c r="AK11" i="17" s="1"/>
  <c r="AC12" i="17"/>
  <c r="AC13" i="17"/>
  <c r="AC21" i="17"/>
  <c r="AD21" i="17" s="1"/>
  <c r="AK21" i="17" s="1"/>
  <c r="AC20" i="17"/>
  <c r="AD20" i="17" s="1"/>
  <c r="AK20" i="17" s="1"/>
  <c r="AC14" i="17"/>
  <c r="AD14" i="17" s="1"/>
  <c r="AK14" i="17" s="1"/>
  <c r="AA21" i="17"/>
  <c r="AB21" i="17" s="1"/>
  <c r="AC16" i="17"/>
  <c r="AC15" i="17"/>
  <c r="AD15" i="17" s="1"/>
  <c r="AK15" i="17" s="1"/>
  <c r="AA16" i="17"/>
  <c r="AB16" i="17" s="1"/>
  <c r="AC7" i="17"/>
  <c r="AD7" i="17" s="1"/>
  <c r="AK7" i="17" s="1"/>
  <c r="AC6" i="17"/>
  <c r="AA10" i="17"/>
  <c r="AC8" i="17"/>
  <c r="AD8" i="17" s="1"/>
  <c r="AK8" i="17" s="1"/>
  <c r="AA7" i="17"/>
  <c r="AB7" i="17" s="1"/>
  <c r="AA6" i="17"/>
  <c r="AP9" i="17"/>
  <c r="AZ9" i="17" s="1"/>
  <c r="AR20" i="17"/>
  <c r="AY20" i="17" s="1"/>
  <c r="AP8" i="17"/>
  <c r="AZ8" i="17" s="1"/>
  <c r="AB9" i="17"/>
  <c r="AL9" i="17" s="1"/>
  <c r="AB10" i="17"/>
  <c r="AL10" i="17" s="1"/>
  <c r="AR7" i="17"/>
  <c r="AY7" i="17" s="1"/>
  <c r="AP10" i="17"/>
  <c r="AR8" i="17"/>
  <c r="AY8" i="17" s="1"/>
  <c r="AP12" i="17"/>
  <c r="AR12" i="17"/>
  <c r="AY12" i="17" s="1"/>
  <c r="AD13" i="17"/>
  <c r="AK13" i="17" s="1"/>
  <c r="AP7" i="17"/>
  <c r="AP13" i="17"/>
  <c r="AP15" i="17"/>
  <c r="AR16" i="17"/>
  <c r="AY16" i="17" s="1"/>
  <c r="AR19" i="17"/>
  <c r="AY19" i="17" s="1"/>
  <c r="AP11" i="17"/>
  <c r="AD12" i="17"/>
  <c r="AK12" i="17" s="1"/>
  <c r="AP6" i="17"/>
  <c r="AR21" i="17"/>
  <c r="AY21" i="17" s="1"/>
  <c r="M27" i="17"/>
  <c r="N26" i="17"/>
  <c r="M21" i="17" s="1"/>
  <c r="AN24" i="17"/>
  <c r="AP20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D16" i="17"/>
  <c r="AK16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P14" i="17"/>
  <c r="AP16" i="17"/>
  <c r="AP18" i="17"/>
  <c r="AP21" i="17"/>
  <c r="AS9" i="17" l="1"/>
  <c r="AT9" i="17" s="1"/>
  <c r="AV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P21" i="17" s="1"/>
  <c r="W21" i="17" s="1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1" i="17"/>
  <c r="W11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P12" i="17"/>
  <c r="W12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BD9" i="17" l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  <c r="I26" i="36" l="1"/>
  <c r="N26" i="36" l="1"/>
  <c r="M26" i="36"/>
  <c r="I27" i="36"/>
  <c r="I28" i="36"/>
  <c r="H35" i="36"/>
  <c r="K26" i="36" l="1"/>
  <c r="M28" i="36"/>
  <c r="L28" i="36" s="1"/>
  <c r="N28" i="36"/>
  <c r="M27" i="36"/>
  <c r="N27" i="36"/>
  <c r="I29" i="36"/>
  <c r="L26" i="36"/>
  <c r="M29" i="36" l="1"/>
  <c r="K28" i="36"/>
  <c r="AJ28" i="36" s="1"/>
  <c r="AM28" i="36" s="1"/>
  <c r="L27" i="36"/>
  <c r="L29" i="36" s="1"/>
  <c r="N29" i="36"/>
  <c r="J26" i="36"/>
  <c r="AJ26" i="36"/>
  <c r="K27" i="36"/>
  <c r="H26" i="36"/>
  <c r="H28" i="36" l="1"/>
  <c r="J28" i="36"/>
  <c r="AJ27" i="36"/>
  <c r="AM27" i="36" s="1"/>
  <c r="H27" i="36"/>
  <c r="J27" i="36"/>
  <c r="J29" i="36" s="1"/>
  <c r="K29" i="36"/>
  <c r="I31" i="36" s="1"/>
  <c r="AM26" i="36"/>
  <c r="I32" i="36"/>
  <c r="L31" i="36"/>
  <c r="H29" i="36" l="1"/>
  <c r="J30" i="36"/>
  <c r="AM29" i="36"/>
  <c r="AJ29" i="36"/>
</calcChain>
</file>

<file path=xl/sharedStrings.xml><?xml version="1.0" encoding="utf-8"?>
<sst xmlns="http://schemas.openxmlformats.org/spreadsheetml/2006/main" count="731" uniqueCount="75">
  <si>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</si>
  <si>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</si>
  <si>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</si>
  <si>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</si>
  <si>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</si>
  <si>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</si>
  <si>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</si>
  <si>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</si>
  <si>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</si>
  <si>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</si>
  <si>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</si>
  <si>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</si>
  <si>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</si>
  <si>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</si>
  <si>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</si>
  <si>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</si>
  <si>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</si>
  <si>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</si>
  <si>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</si>
  <si>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</si>
  <si>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</si>
  <si>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</si>
  <si>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</si>
  <si>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</si>
  <si>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</si>
  <si>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</si>
  <si>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</si>
  <si>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</si>
  <si>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</si>
  <si>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</si>
  <si>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</si>
  <si>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</si>
  <si>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</si>
  <si>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</si>
  <si>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</si>
  <si>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</si>
  <si>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ФБ+ОБ</t>
  </si>
  <si>
    <t>заведено в АЦК</t>
  </si>
  <si>
    <t>к снятию</t>
  </si>
  <si>
    <t>№ п\п</t>
  </si>
  <si>
    <t>Название муниципального района</t>
  </si>
  <si>
    <t>предельный уровень софинансирования, %</t>
  </si>
  <si>
    <t>2023 год</t>
  </si>
  <si>
    <t>2024 год</t>
  </si>
  <si>
    <t>Количество Центров в МР (ГО)</t>
  </si>
  <si>
    <t>ВСЕГО</t>
  </si>
  <si>
    <t>распределение</t>
  </si>
  <si>
    <t>ИТОГО ФБ+ОБ</t>
  </si>
  <si>
    <t>фб_по предельному уровню</t>
  </si>
  <si>
    <t>об_по рпедельному уровню</t>
  </si>
  <si>
    <t>ФБ+ОБ+МБ</t>
  </si>
  <si>
    <t>об_по предельному уровню</t>
  </si>
  <si>
    <t>мб_по предельному уровню</t>
  </si>
  <si>
    <t>Волосовский</t>
  </si>
  <si>
    <t>Волховский</t>
  </si>
  <si>
    <t>Гатчинский</t>
  </si>
  <si>
    <t>Ломоносовский</t>
  </si>
  <si>
    <t>средняя стоимость 1 объекта</t>
  </si>
  <si>
    <t>Всего по МР (ГО)</t>
  </si>
  <si>
    <t>ГУ</t>
  </si>
  <si>
    <t>0702</t>
  </si>
  <si>
    <t>0703</t>
  </si>
  <si>
    <t>0704</t>
  </si>
  <si>
    <t>проверка % софинансирования МБ</t>
  </si>
  <si>
    <t>В проект закона, руб</t>
  </si>
  <si>
    <t>В проект закона, тыс. руб.</t>
  </si>
  <si>
    <t>Создание центров цифрового образования детей</t>
  </si>
  <si>
    <t>2025 год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</si>
  <si>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2023 год и на плановый период 2024 и 2025 годов</t>
  </si>
  <si>
    <t>-</t>
  </si>
  <si>
    <t>Субсидии на обновление материально-технической базы для формирования у обучающихся современных технологических и гуманитарных навыков в целях реализации федерального проекта «Современная школа» 2023-2025</t>
  </si>
  <si>
    <t>Расчет субсидий  на обеспечение образовательных организаций материально-технической базой для внедрения цифровой образовательной среды на 2023-2025 годы</t>
  </si>
  <si>
    <t>Расчет субстидий на создание детских технопарков "Кванториум" на 2023 год и на плановый период 2024 и 2025 годов</t>
  </si>
  <si>
    <t>Расчет субсидий на создание центров цифрового образования детей 2023-2025 годы</t>
  </si>
  <si>
    <t>Приложение 45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</si>
</sst>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  <numFmt numFmtId="176" formatCode="0.0%"/>
    <numFmt numFmtId="177" formatCode="0.00000000000000%"/>
    <numFmt numFmtId="178" formatCode="0.000000000%"/>
    <numFmt numFmtId="179" formatCode="0.0000000000000%"/>
    <numFmt numFmtId="180" formatCode="_(* #,##0.0_);_(* \(#,##0.0\);_(* \-??_);_(@_)"/>
    <numFmt numFmtId="181" formatCode="_(* #,##0.0000_);_(* \(#,##0.0000\);_(* \-??_);_(@_)"/>
  </numFmts>
  <fonts count="42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6">
    <xf numFmtId="0" fontId="0" fillId="0" borderId="0"/>
    <xf numFmtId="164" fontId="22" fillId="0" borderId="0" applyBorder="0" applyProtection="0"/>
    <xf numFmtId="9" fontId="22" fillId="0" borderId="0" applyBorder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2" fillId="0" borderId="0" applyBorder="0" applyProtection="0"/>
    <xf numFmtId="9" fontId="22" fillId="0" borderId="0" applyBorder="0" applyProtection="0"/>
    <xf numFmtId="9" fontId="22" fillId="0" borderId="0" applyBorder="0" applyProtection="0"/>
    <xf numFmtId="9" fontId="22" fillId="0" borderId="0" applyBorder="0" applyProtection="0"/>
    <xf numFmtId="9" fontId="22" fillId="0" borderId="0" applyBorder="0" applyProtection="0"/>
    <xf numFmtId="9" fontId="22" fillId="0" borderId="0" applyBorder="0" applyProtection="0"/>
    <xf numFmtId="9" fontId="22" fillId="0" borderId="0" applyBorder="0" applyProtection="0"/>
    <xf numFmtId="9" fontId="22" fillId="0" borderId="0" applyBorder="0" applyProtection="0"/>
    <xf numFmtId="9" fontId="22" fillId="0" borderId="0" applyBorder="0" applyProtection="0"/>
    <xf numFmtId="9" fontId="22" fillId="0" borderId="0" applyBorder="0" applyProtection="0"/>
    <xf numFmtId="9" fontId="22" fillId="0" borderId="0" applyBorder="0" applyProtection="0"/>
    <xf numFmtId="9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5" fontId="22" fillId="0" borderId="0" applyBorder="0" applyProtection="0"/>
    <xf numFmtId="164" fontId="22" fillId="0" borderId="0" applyBorder="0" applyProtection="0"/>
    <xf numFmtId="164" fontId="22" fillId="0" borderId="0" applyBorder="0" applyProtection="0"/>
    <xf numFmtId="164" fontId="6" fillId="0" borderId="0" applyBorder="0" applyProtection="0"/>
    <xf numFmtId="9" fontId="6" fillId="0" borderId="0" applyBorder="0" applyProtection="0"/>
    <xf numFmtId="173" fontId="23" fillId="0" borderId="0" applyFill="0" applyBorder="0" applyAlignment="0" applyProtection="0"/>
    <xf numFmtId="9" fontId="23" fillId="0" borderId="0" applyFill="0" applyBorder="0" applyAlignment="0" applyProtection="0"/>
    <xf numFmtId="0" fontId="8" fillId="0" borderId="0"/>
    <xf numFmtId="9" fontId="6" fillId="0" borderId="0" applyBorder="0" applyProtection="0"/>
    <xf numFmtId="9" fontId="6" fillId="0" borderId="0" applyBorder="0" applyProtection="0"/>
    <xf numFmtId="9" fontId="6" fillId="0" borderId="0" applyBorder="0" applyProtection="0"/>
    <xf numFmtId="9" fontId="6" fillId="0" borderId="0" applyBorder="0" applyProtection="0"/>
    <xf numFmtId="9" fontId="6" fillId="0" borderId="0" applyBorder="0" applyProtection="0"/>
    <xf numFmtId="9" fontId="6" fillId="0" borderId="0" applyBorder="0" applyProtection="0"/>
    <xf numFmtId="9" fontId="6" fillId="0" borderId="0" applyBorder="0" applyProtection="0"/>
    <xf numFmtId="9" fontId="6" fillId="0" borderId="0" applyBorder="0" applyProtection="0"/>
    <xf numFmtId="9" fontId="6" fillId="0" borderId="0" applyBorder="0" applyProtection="0"/>
    <xf numFmtId="9" fontId="6" fillId="0" borderId="0" applyBorder="0" applyProtection="0"/>
    <xf numFmtId="9" fontId="6" fillId="0" borderId="0" applyBorder="0" applyProtection="0"/>
    <xf numFmtId="9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165" fontId="6" fillId="0" borderId="0" applyBorder="0" applyProtection="0"/>
    <xf numFmtId="164" fontId="6" fillId="0" borderId="0" applyBorder="0" applyProtection="0"/>
    <xf numFmtId="164" fontId="6" fillId="0" borderId="0" applyBorder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3" fillId="0" borderId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0" borderId="0"/>
    <xf numFmtId="173" fontId="6" fillId="0" borderId="0" applyFill="0" applyBorder="0" applyAlignment="0" applyProtection="0"/>
    <xf numFmtId="173" fontId="6" fillId="0" borderId="0" applyFill="0" applyBorder="0" applyAlignment="0" applyProtection="0"/>
    <xf numFmtId="9" fontId="6" fillId="0" borderId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93">
    <xf numFmtId="0" fontId="0" fillId="0" borderId="0" xfId="0"/>
    <xf numFmtId="167" fontId="11" fillId="0" borderId="1" xfId="1" applyNumberFormat="1" applyFont="1" applyBorder="1" applyAlignment="1" applyProtection="1">
      <alignment vertical="center" wrapText="1"/>
    </xf>
    <xf numFmtId="167" fontId="13" fillId="0" borderId="1" xfId="1" applyNumberFormat="1" applyFont="1" applyBorder="1" applyAlignment="1" applyProtection="1">
      <alignment vertical="center" wrapText="1"/>
    </xf>
    <xf numFmtId="0" fontId="9" fillId="0" borderId="0" xfId="11" applyFont="1" applyBorder="1" applyAlignment="1">
      <alignment horizontal="center" vertical="center" wrapText="1"/>
    </xf>
    <xf numFmtId="0" fontId="10" fillId="0" borderId="1" xfId="11" applyFont="1" applyBorder="1" applyAlignment="1">
      <alignment vertical="center" wrapText="1"/>
    </xf>
    <xf numFmtId="0" fontId="15" fillId="0" borderId="1" xfId="11" applyFont="1" applyBorder="1" applyAlignment="1">
      <alignment vertical="center" wrapText="1"/>
    </xf>
    <xf numFmtId="0" fontId="6" fillId="0" borderId="0" xfId="7"/>
    <xf numFmtId="0" fontId="16" fillId="0" borderId="0" xfId="11" applyFont="1" applyBorder="1" applyAlignment="1">
      <alignment vertical="center" wrapText="1"/>
    </xf>
    <xf numFmtId="0" fontId="12" fillId="0" borderId="1" xfId="8" applyFont="1" applyBorder="1" applyAlignment="1">
      <alignment horizontal="center" vertical="center" wrapText="1"/>
    </xf>
    <xf numFmtId="166" fontId="12" fillId="0" borderId="1" xfId="1" applyNumberFormat="1" applyFont="1" applyBorder="1" applyAlignment="1" applyProtection="1">
      <alignment horizontal="center" vertical="center" wrapText="1"/>
    </xf>
    <xf numFmtId="1" fontId="12" fillId="0" borderId="1" xfId="8" applyNumberFormat="1" applyFont="1" applyBorder="1" applyAlignment="1">
      <alignment horizontal="center" vertical="center" wrapText="1"/>
    </xf>
    <xf numFmtId="4" fontId="12" fillId="0" borderId="1" xfId="1" applyNumberFormat="1" applyFont="1" applyBorder="1" applyAlignment="1" applyProtection="1">
      <alignment horizontal="center" vertical="center" wrapText="1"/>
    </xf>
    <xf numFmtId="1" fontId="12" fillId="0" borderId="1" xfId="60" applyNumberFormat="1" applyFont="1" applyBorder="1" applyAlignment="1" applyProtection="1">
      <alignment horizontal="center" vertical="center" wrapText="1"/>
    </xf>
    <xf numFmtId="170" fontId="18" fillId="0" borderId="1" xfId="60" applyNumberFormat="1" applyFont="1" applyBorder="1" applyAlignment="1" applyProtection="1">
      <alignment horizontal="center" vertical="center" wrapText="1"/>
    </xf>
    <xf numFmtId="4" fontId="18" fillId="0" borderId="1" xfId="1" applyNumberFormat="1" applyFont="1" applyBorder="1" applyAlignment="1" applyProtection="1">
      <alignment horizontal="center" vertical="center" wrapText="1"/>
    </xf>
    <xf numFmtId="0" fontId="19" fillId="0" borderId="0" xfId="11" applyFont="1"/>
    <xf numFmtId="0" fontId="8" fillId="0" borderId="0" xfId="11" applyFont="1"/>
    <xf numFmtId="167" fontId="13" fillId="0" borderId="1" xfId="1" applyNumberFormat="1" applyFont="1" applyFill="1" applyBorder="1" applyAlignment="1" applyProtection="1">
      <alignment vertical="center" wrapText="1"/>
    </xf>
    <xf numFmtId="0" fontId="8" fillId="0" borderId="0" xfId="11" applyFont="1" applyFill="1"/>
    <xf numFmtId="0" fontId="9" fillId="0" borderId="0" xfId="11" applyFont="1" applyFill="1" applyBorder="1" applyAlignment="1">
      <alignment horizontal="center" vertical="center" wrapText="1"/>
    </xf>
    <xf numFmtId="168" fontId="11" fillId="0" borderId="1" xfId="2" applyNumberFormat="1" applyFont="1" applyFill="1" applyBorder="1" applyAlignment="1" applyProtection="1">
      <alignment vertical="center" wrapText="1"/>
    </xf>
    <xf numFmtId="4" fontId="18" fillId="0" borderId="1" xfId="60" applyNumberFormat="1" applyFont="1" applyBorder="1" applyAlignment="1" applyProtection="1">
      <alignment horizontal="center" vertical="center" wrapText="1"/>
    </xf>
    <xf numFmtId="4" fontId="14" fillId="0" borderId="1" xfId="1" applyNumberFormat="1" applyFont="1" applyBorder="1" applyAlignment="1" applyProtection="1">
      <alignment horizontal="center" vertical="center" wrapText="1"/>
    </xf>
    <xf numFmtId="0" fontId="21" fillId="0" borderId="0" xfId="7" applyFont="1"/>
    <xf numFmtId="0" fontId="21" fillId="0" borderId="0" xfId="0" applyFont="1"/>
    <xf numFmtId="0" fontId="12" fillId="0" borderId="1" xfId="8" applyFont="1" applyFill="1" applyBorder="1" applyAlignment="1">
      <alignment horizontal="center" vertical="center" wrapText="1"/>
    </xf>
    <xf numFmtId="169" fontId="6" fillId="0" borderId="0" xfId="7" applyNumberFormat="1"/>
    <xf numFmtId="169" fontId="21" fillId="0" borderId="0" xfId="7" applyNumberFormat="1" applyFont="1"/>
    <xf numFmtId="171" fontId="22" fillId="0" borderId="0" xfId="2" applyNumberFormat="1"/>
    <xf numFmtId="166" fontId="12" fillId="0" borderId="1" xfId="1" applyNumberFormat="1" applyFont="1" applyFill="1" applyBorder="1" applyAlignment="1" applyProtection="1">
      <alignment horizontal="center" vertical="center" wrapText="1"/>
    </xf>
    <xf numFmtId="172" fontId="22" fillId="0" borderId="1" xfId="2" applyNumberFormat="1" applyBorder="1" applyProtection="1"/>
    <xf numFmtId="0" fontId="14" fillId="0" borderId="1" xfId="8" applyFont="1" applyBorder="1" applyAlignment="1">
      <alignment horizontal="center" vertical="center" wrapText="1"/>
    </xf>
    <xf numFmtId="9" fontId="22" fillId="0" borderId="1" xfId="2" applyBorder="1" applyProtection="1"/>
    <xf numFmtId="4" fontId="19" fillId="0" borderId="0" xfId="11" applyNumberFormat="1" applyFont="1"/>
    <xf numFmtId="174" fontId="22" fillId="0" borderId="1" xfId="2" applyNumberFormat="1" applyBorder="1" applyProtection="1"/>
    <xf numFmtId="171" fontId="22" fillId="0" borderId="1" xfId="2" applyNumberFormat="1" applyBorder="1" applyProtection="1"/>
    <xf numFmtId="0" fontId="19" fillId="0" borderId="0" xfId="11" applyFont="1" applyAlignment="1">
      <alignment horizontal="right"/>
    </xf>
    <xf numFmtId="4" fontId="24" fillId="0" borderId="0" xfId="7" applyNumberFormat="1" applyFont="1"/>
    <xf numFmtId="171" fontId="19" fillId="0" borderId="0" xfId="11" applyNumberFormat="1" applyFont="1"/>
    <xf numFmtId="4" fontId="12" fillId="0" borderId="0" xfId="1" applyNumberFormat="1" applyFont="1" applyBorder="1" applyAlignment="1" applyProtection="1">
      <alignment horizontal="center" vertical="center" wrapText="1"/>
    </xf>
    <xf numFmtId="4" fontId="12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7" applyAlignment="1">
      <alignment wrapText="1"/>
    </xf>
    <xf numFmtId="0" fontId="0" fillId="0" borderId="0" xfId="0" applyAlignment="1">
      <alignment wrapText="1"/>
    </xf>
    <xf numFmtId="169" fontId="6" fillId="0" borderId="1" xfId="7" applyNumberFormat="1" applyBorder="1" applyAlignment="1">
      <alignment horizontal="center"/>
    </xf>
    <xf numFmtId="169" fontId="6" fillId="0" borderId="1" xfId="7" applyNumberFormat="1" applyBorder="1"/>
    <xf numFmtId="169" fontId="18" fillId="0" borderId="1" xfId="1" applyNumberFormat="1" applyFont="1" applyBorder="1" applyAlignment="1" applyProtection="1">
      <alignment horizontal="center" vertical="center" wrapText="1"/>
    </xf>
    <xf numFmtId="4" fontId="19" fillId="0" borderId="0" xfId="11" applyNumberFormat="1" applyFont="1" applyFill="1"/>
    <xf numFmtId="166" fontId="19" fillId="0" borderId="0" xfId="1" applyNumberFormat="1" applyFont="1" applyBorder="1" applyAlignment="1" applyProtection="1"/>
    <xf numFmtId="0" fontId="24" fillId="0" borderId="0" xfId="7" applyFont="1"/>
    <xf numFmtId="0" fontId="24" fillId="0" borderId="0" xfId="0" applyFont="1"/>
    <xf numFmtId="0" fontId="8" fillId="0" borderId="0" xfId="11" applyFont="1" applyBorder="1"/>
    <xf numFmtId="167" fontId="8" fillId="0" borderId="0" xfId="11" applyNumberFormat="1" applyFont="1" applyBorder="1"/>
    <xf numFmtId="170" fontId="8" fillId="0" borderId="0" xfId="11" applyNumberFormat="1" applyFont="1" applyBorder="1"/>
    <xf numFmtId="166" fontId="8" fillId="0" borderId="0" xfId="11" applyNumberFormat="1" applyFont="1" applyBorder="1"/>
    <xf numFmtId="0" fontId="6" fillId="0" borderId="0" xfId="7" applyBorder="1"/>
    <xf numFmtId="166" fontId="6" fillId="0" borderId="0" xfId="7" applyNumberFormat="1" applyBorder="1"/>
    <xf numFmtId="0" fontId="0" fillId="0" borderId="0" xfId="0" applyBorder="1"/>
    <xf numFmtId="4" fontId="6" fillId="0" borderId="0" xfId="7" applyNumberFormat="1" applyBorder="1"/>
    <xf numFmtId="175" fontId="8" fillId="0" borderId="0" xfId="11" applyNumberFormat="1" applyFont="1"/>
    <xf numFmtId="167" fontId="8" fillId="0" borderId="0" xfId="11" applyNumberFormat="1" applyFont="1" applyFill="1" applyBorder="1"/>
    <xf numFmtId="0" fontId="19" fillId="0" borderId="0" xfId="11" applyFont="1" applyFill="1"/>
    <xf numFmtId="0" fontId="6" fillId="0" borderId="1" xfId="7" applyBorder="1" applyAlignment="1">
      <alignment horizontal="center" wrapText="1"/>
    </xf>
    <xf numFmtId="4" fontId="18" fillId="4" borderId="1" xfId="1" applyNumberFormat="1" applyFont="1" applyFill="1" applyBorder="1" applyAlignment="1" applyProtection="1">
      <alignment horizontal="center" vertical="center" wrapText="1"/>
    </xf>
    <xf numFmtId="0" fontId="14" fillId="0" borderId="0" xfId="8" applyFont="1" applyBorder="1" applyAlignment="1">
      <alignment horizontal="center" vertical="center" wrapText="1"/>
    </xf>
    <xf numFmtId="166" fontId="12" fillId="0" borderId="0" xfId="1" applyNumberFormat="1" applyFont="1" applyBorder="1" applyAlignment="1" applyProtection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170" fontId="18" fillId="0" borderId="0" xfId="60" applyNumberFormat="1" applyFont="1" applyBorder="1" applyAlignment="1" applyProtection="1">
      <alignment horizontal="center" vertical="center" wrapText="1"/>
    </xf>
    <xf numFmtId="0" fontId="11" fillId="0" borderId="1" xfId="11" applyFont="1" applyFill="1" applyBorder="1" applyAlignment="1">
      <alignment horizontal="center" vertical="center" wrapText="1"/>
    </xf>
    <xf numFmtId="0" fontId="16" fillId="0" borderId="0" xfId="11" applyFont="1" applyBorder="1" applyAlignment="1">
      <alignment horizontal="center" vertical="center" wrapText="1"/>
    </xf>
    <xf numFmtId="0" fontId="10" fillId="0" borderId="1" xfId="1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wrapText="1"/>
    </xf>
    <xf numFmtId="0" fontId="11" fillId="0" borderId="1" xfId="11" applyFont="1" applyBorder="1" applyAlignment="1">
      <alignment horizontal="center" vertical="center" wrapText="1"/>
    </xf>
    <xf numFmtId="0" fontId="26" fillId="0" borderId="0" xfId="102"/>
    <xf numFmtId="0" fontId="28" fillId="5" borderId="1" xfId="103" applyNumberFormat="1" applyFont="1" applyFill="1" applyBorder="1" applyAlignment="1">
      <alignment horizontal="center" vertical="center" wrapText="1"/>
    </xf>
    <xf numFmtId="43" fontId="26" fillId="0" borderId="1" xfId="103" applyFont="1" applyBorder="1" applyAlignment="1">
      <alignment vertical="center" wrapText="1"/>
    </xf>
    <xf numFmtId="43" fontId="0" fillId="0" borderId="1" xfId="103" applyFont="1" applyBorder="1" applyAlignment="1">
      <alignment vertical="center" wrapText="1"/>
    </xf>
    <xf numFmtId="43" fontId="0" fillId="0" borderId="1" xfId="103" applyFont="1" applyBorder="1" applyAlignment="1">
      <alignment vertical="center"/>
    </xf>
    <xf numFmtId="0" fontId="28" fillId="5" borderId="1" xfId="102" applyFont="1" applyFill="1" applyBorder="1" applyAlignment="1">
      <alignment horizontal="left" vertical="center"/>
    </xf>
    <xf numFmtId="9" fontId="28" fillId="0" borderId="1" xfId="105" applyNumberFormat="1" applyFont="1" applyFill="1" applyBorder="1" applyAlignment="1">
      <alignment horizontal="center" vertical="center" wrapText="1"/>
    </xf>
    <xf numFmtId="9" fontId="28" fillId="5" borderId="1" xfId="106" applyFont="1" applyFill="1" applyBorder="1" applyAlignment="1">
      <alignment horizontal="center" vertical="center"/>
    </xf>
    <xf numFmtId="176" fontId="28" fillId="5" borderId="1" xfId="105" applyNumberFormat="1" applyFont="1" applyFill="1" applyBorder="1" applyAlignment="1">
      <alignment horizontal="center" vertical="center" wrapText="1"/>
    </xf>
    <xf numFmtId="0" fontId="31" fillId="0" borderId="0" xfId="102" applyFont="1"/>
    <xf numFmtId="43" fontId="3" fillId="2" borderId="0" xfId="103" applyFont="1" applyFill="1"/>
    <xf numFmtId="0" fontId="26" fillId="0" borderId="0" xfId="102" applyFill="1"/>
    <xf numFmtId="43" fontId="31" fillId="2" borderId="0" xfId="102" applyNumberFormat="1" applyFont="1" applyFill="1"/>
    <xf numFmtId="43" fontId="31" fillId="0" borderId="0" xfId="102" applyNumberFormat="1" applyFont="1" applyFill="1"/>
    <xf numFmtId="43" fontId="0" fillId="0" borderId="0" xfId="103" applyFont="1" applyBorder="1" applyAlignment="1">
      <alignment vertical="center"/>
    </xf>
    <xf numFmtId="178" fontId="22" fillId="0" borderId="1" xfId="2" applyNumberFormat="1" applyBorder="1"/>
    <xf numFmtId="43" fontId="26" fillId="0" borderId="0" xfId="102" applyNumberFormat="1"/>
    <xf numFmtId="49" fontId="28" fillId="0" borderId="1" xfId="102" applyNumberFormat="1" applyFont="1" applyBorder="1" applyAlignment="1">
      <alignment horizontal="center" vertical="center"/>
    </xf>
    <xf numFmtId="164" fontId="22" fillId="0" borderId="1" xfId="1" applyBorder="1"/>
    <xf numFmtId="9" fontId="22" fillId="0" borderId="1" xfId="2" applyBorder="1"/>
    <xf numFmtId="176" fontId="22" fillId="0" borderId="1" xfId="2" applyNumberFormat="1" applyBorder="1"/>
    <xf numFmtId="179" fontId="22" fillId="0" borderId="1" xfId="2" applyNumberFormat="1" applyBorder="1"/>
    <xf numFmtId="177" fontId="22" fillId="0" borderId="1" xfId="2" applyNumberFormat="1" applyBorder="1"/>
    <xf numFmtId="180" fontId="22" fillId="0" borderId="0" xfId="1" applyNumberFormat="1"/>
    <xf numFmtId="43" fontId="28" fillId="5" borderId="1" xfId="103" applyFont="1" applyFill="1" applyBorder="1" applyAlignment="1">
      <alignment horizontal="center" vertical="center" wrapText="1"/>
    </xf>
    <xf numFmtId="0" fontId="26" fillId="0" borderId="0" xfId="102" applyBorder="1" applyAlignment="1">
      <alignment horizontal="center" vertical="center" wrapText="1"/>
    </xf>
    <xf numFmtId="0" fontId="28" fillId="0" borderId="1" xfId="102" applyFont="1" applyBorder="1" applyAlignment="1">
      <alignment horizontal="center" vertical="center"/>
    </xf>
    <xf numFmtId="0" fontId="28" fillId="0" borderId="1" xfId="102" applyFont="1" applyBorder="1" applyAlignment="1">
      <alignment horizontal="center" vertical="center" wrapText="1"/>
    </xf>
    <xf numFmtId="168" fontId="22" fillId="0" borderId="0" xfId="2" applyNumberFormat="1"/>
    <xf numFmtId="180" fontId="6" fillId="3" borderId="1" xfId="82" applyNumberFormat="1" applyFill="1" applyBorder="1"/>
    <xf numFmtId="0" fontId="28" fillId="0" borderId="1" xfId="102" applyFont="1" applyBorder="1" applyAlignment="1">
      <alignment horizontal="center" vertical="center" wrapText="1"/>
    </xf>
    <xf numFmtId="1" fontId="10" fillId="6" borderId="1" xfId="8" applyNumberFormat="1" applyFont="1" applyFill="1" applyBorder="1" applyAlignment="1">
      <alignment horizontal="center" vertical="center" wrapText="1"/>
    </xf>
    <xf numFmtId="0" fontId="28" fillId="8" borderId="1" xfId="102" applyFont="1" applyFill="1" applyBorder="1" applyAlignment="1">
      <alignment horizontal="center" vertical="center"/>
    </xf>
    <xf numFmtId="43" fontId="3" fillId="6" borderId="0" xfId="103" applyFont="1" applyFill="1"/>
    <xf numFmtId="43" fontId="31" fillId="6" borderId="0" xfId="102" applyNumberFormat="1" applyFont="1" applyFill="1"/>
    <xf numFmtId="166" fontId="22" fillId="6" borderId="1" xfId="1" applyNumberFormat="1" applyFill="1" applyBorder="1"/>
    <xf numFmtId="166" fontId="28" fillId="8" borderId="1" xfId="102" applyNumberFormat="1" applyFont="1" applyFill="1" applyBorder="1" applyAlignment="1">
      <alignment horizontal="center" vertical="center"/>
    </xf>
    <xf numFmtId="43" fontId="18" fillId="0" borderId="1" xfId="103" applyFont="1" applyBorder="1" applyAlignment="1">
      <alignment vertical="center" wrapText="1"/>
    </xf>
    <xf numFmtId="43" fontId="34" fillId="5" borderId="1" xfId="103" applyFont="1" applyFill="1" applyBorder="1" applyAlignment="1">
      <alignment horizontal="center" vertical="center" wrapText="1"/>
    </xf>
    <xf numFmtId="164" fontId="21" fillId="0" borderId="1" xfId="1" applyFont="1" applyBorder="1"/>
    <xf numFmtId="0" fontId="28" fillId="5" borderId="5" xfId="102" applyFont="1" applyFill="1" applyBorder="1" applyAlignment="1">
      <alignment vertical="center" wrapText="1"/>
    </xf>
    <xf numFmtId="0" fontId="28" fillId="5" borderId="3" xfId="102" applyFont="1" applyFill="1" applyBorder="1" applyAlignment="1">
      <alignment vertical="center" wrapText="1"/>
    </xf>
    <xf numFmtId="0" fontId="28" fillId="5" borderId="4" xfId="102" applyFont="1" applyFill="1" applyBorder="1" applyAlignment="1">
      <alignment vertical="center" wrapText="1"/>
    </xf>
    <xf numFmtId="43" fontId="3" fillId="6" borderId="0" xfId="103" applyNumberFormat="1" applyFont="1" applyFill="1"/>
    <xf numFmtId="181" fontId="21" fillId="0" borderId="1" xfId="1" applyNumberFormat="1" applyFont="1" applyBorder="1"/>
    <xf numFmtId="180" fontId="22" fillId="3" borderId="1" xfId="1" applyNumberFormat="1" applyFill="1" applyBorder="1"/>
    <xf numFmtId="180" fontId="6" fillId="3" borderId="1" xfId="1" applyNumberFormat="1" applyFont="1" applyFill="1" applyBorder="1"/>
    <xf numFmtId="0" fontId="26" fillId="3" borderId="0" xfId="102" applyFill="1"/>
    <xf numFmtId="0" fontId="28" fillId="9" borderId="5" xfId="102" applyFont="1" applyFill="1" applyBorder="1" applyAlignment="1">
      <alignment vertical="center" wrapText="1"/>
    </xf>
    <xf numFmtId="0" fontId="28" fillId="9" borderId="3" xfId="102" applyFont="1" applyFill="1" applyBorder="1" applyAlignment="1">
      <alignment vertical="center" wrapText="1"/>
    </xf>
    <xf numFmtId="0" fontId="28" fillId="9" borderId="4" xfId="102" applyFont="1" applyFill="1" applyBorder="1" applyAlignment="1">
      <alignment vertical="center" wrapText="1"/>
    </xf>
    <xf numFmtId="0" fontId="28" fillId="9" borderId="1" xfId="103" applyNumberFormat="1" applyFont="1" applyFill="1" applyBorder="1" applyAlignment="1">
      <alignment horizontal="center" vertical="center" wrapText="1"/>
    </xf>
    <xf numFmtId="43" fontId="26" fillId="3" borderId="1" xfId="103" applyFont="1" applyFill="1" applyBorder="1" applyAlignment="1">
      <alignment vertical="center" wrapText="1"/>
    </xf>
    <xf numFmtId="43" fontId="34" fillId="9" borderId="1" xfId="103" applyFont="1" applyFill="1" applyBorder="1" applyAlignment="1">
      <alignment horizontal="center" vertical="center" wrapText="1"/>
    </xf>
    <xf numFmtId="43" fontId="18" fillId="3" borderId="1" xfId="103" applyFont="1" applyFill="1" applyBorder="1" applyAlignment="1">
      <alignment vertical="center" wrapText="1"/>
    </xf>
    <xf numFmtId="43" fontId="0" fillId="3" borderId="1" xfId="103" applyFont="1" applyFill="1" applyBorder="1" applyAlignment="1">
      <alignment vertical="center" wrapText="1"/>
    </xf>
    <xf numFmtId="43" fontId="35" fillId="9" borderId="1" xfId="103" applyFont="1" applyFill="1" applyBorder="1" applyAlignment="1">
      <alignment horizontal="center" vertical="center" wrapText="1"/>
    </xf>
    <xf numFmtId="43" fontId="35" fillId="3" borderId="1" xfId="103" applyFont="1" applyFill="1" applyBorder="1" applyAlignment="1">
      <alignment vertical="center" wrapText="1"/>
    </xf>
    <xf numFmtId="43" fontId="28" fillId="9" borderId="1" xfId="103" applyFont="1" applyFill="1" applyBorder="1" applyAlignment="1">
      <alignment horizontal="center" vertical="center" wrapText="1"/>
    </xf>
    <xf numFmtId="0" fontId="28" fillId="3" borderId="1" xfId="102" applyFont="1" applyFill="1" applyBorder="1" applyAlignment="1">
      <alignment horizontal="center" vertical="center" wrapText="1"/>
    </xf>
    <xf numFmtId="0" fontId="28" fillId="3" borderId="1" xfId="102" applyFont="1" applyFill="1" applyBorder="1" applyAlignment="1">
      <alignment horizontal="center" vertical="center"/>
    </xf>
    <xf numFmtId="0" fontId="28" fillId="9" borderId="1" xfId="102" applyFont="1" applyFill="1" applyBorder="1" applyAlignment="1">
      <alignment horizontal="left" vertical="center"/>
    </xf>
    <xf numFmtId="9" fontId="28" fillId="3" borderId="1" xfId="105" applyNumberFormat="1" applyFont="1" applyFill="1" applyBorder="1" applyAlignment="1">
      <alignment horizontal="center" vertical="center" wrapText="1"/>
    </xf>
    <xf numFmtId="0" fontId="30" fillId="9" borderId="1" xfId="104" applyFont="1" applyFill="1" applyBorder="1" applyAlignment="1">
      <alignment horizontal="center" vertical="center"/>
    </xf>
    <xf numFmtId="9" fontId="28" fillId="9" borderId="1" xfId="106" applyFont="1" applyFill="1" applyBorder="1" applyAlignment="1">
      <alignment horizontal="center" vertical="center"/>
    </xf>
    <xf numFmtId="164" fontId="6" fillId="3" borderId="1" xfId="1" applyFont="1" applyFill="1" applyBorder="1"/>
    <xf numFmtId="179" fontId="6" fillId="3" borderId="1" xfId="2" applyNumberFormat="1" applyFont="1" applyFill="1" applyBorder="1"/>
    <xf numFmtId="43" fontId="6" fillId="3" borderId="1" xfId="103" applyFont="1" applyFill="1" applyBorder="1" applyAlignment="1">
      <alignment vertical="center"/>
    </xf>
    <xf numFmtId="43" fontId="28" fillId="3" borderId="1" xfId="103" applyFont="1" applyFill="1" applyBorder="1" applyAlignment="1">
      <alignment vertical="center" wrapText="1"/>
    </xf>
    <xf numFmtId="43" fontId="37" fillId="3" borderId="1" xfId="103" applyFont="1" applyFill="1" applyBorder="1" applyAlignment="1">
      <alignment vertical="center" wrapText="1"/>
    </xf>
    <xf numFmtId="43" fontId="38" fillId="3" borderId="1" xfId="103" applyFont="1" applyFill="1" applyBorder="1" applyAlignment="1">
      <alignment vertical="center"/>
    </xf>
    <xf numFmtId="177" fontId="6" fillId="3" borderId="1" xfId="2" applyNumberFormat="1" applyFont="1" applyFill="1" applyBorder="1"/>
    <xf numFmtId="176" fontId="6" fillId="3" borderId="1" xfId="2" applyNumberFormat="1" applyFont="1" applyFill="1" applyBorder="1"/>
    <xf numFmtId="43" fontId="26" fillId="3" borderId="1" xfId="102" applyNumberFormat="1" applyFont="1" applyFill="1" applyBorder="1"/>
    <xf numFmtId="43" fontId="26" fillId="3" borderId="1" xfId="102" applyNumberFormat="1" applyFont="1" applyFill="1" applyBorder="1" applyAlignment="1">
      <alignment horizontal="center" vertical="center"/>
    </xf>
    <xf numFmtId="43" fontId="26" fillId="3" borderId="1" xfId="102" applyNumberFormat="1" applyFill="1" applyBorder="1" applyAlignment="1">
      <alignment horizontal="center" vertical="center"/>
    </xf>
    <xf numFmtId="0" fontId="28" fillId="9" borderId="1" xfId="102" applyFont="1" applyFill="1" applyBorder="1" applyAlignment="1">
      <alignment horizontal="center" vertical="center"/>
    </xf>
    <xf numFmtId="0" fontId="10" fillId="3" borderId="1" xfId="11" applyFont="1" applyFill="1" applyBorder="1" applyAlignment="1">
      <alignment vertical="center" wrapText="1"/>
    </xf>
    <xf numFmtId="9" fontId="10" fillId="3" borderId="1" xfId="2" applyFont="1" applyFill="1" applyBorder="1" applyProtection="1"/>
    <xf numFmtId="9" fontId="6" fillId="3" borderId="1" xfId="2" applyFont="1" applyFill="1" applyBorder="1"/>
    <xf numFmtId="166" fontId="6" fillId="3" borderId="1" xfId="1" applyNumberFormat="1" applyFont="1" applyFill="1" applyBorder="1"/>
    <xf numFmtId="164" fontId="38" fillId="3" borderId="1" xfId="1" applyFont="1" applyFill="1" applyBorder="1"/>
    <xf numFmtId="49" fontId="28" fillId="3" borderId="1" xfId="102" applyNumberFormat="1" applyFont="1" applyFill="1" applyBorder="1" applyAlignment="1">
      <alignment horizontal="center" vertical="center"/>
    </xf>
    <xf numFmtId="164" fontId="22" fillId="3" borderId="1" xfId="1" applyFill="1" applyBorder="1"/>
    <xf numFmtId="164" fontId="21" fillId="3" borderId="1" xfId="1" applyFont="1" applyFill="1" applyBorder="1"/>
    <xf numFmtId="179" fontId="22" fillId="3" borderId="1" xfId="2" applyNumberFormat="1" applyFill="1" applyBorder="1"/>
    <xf numFmtId="43" fontId="0" fillId="3" borderId="1" xfId="103" applyFont="1" applyFill="1" applyBorder="1" applyAlignment="1">
      <alignment vertical="center"/>
    </xf>
    <xf numFmtId="43" fontId="36" fillId="3" borderId="1" xfId="103" applyFont="1" applyFill="1" applyBorder="1" applyAlignment="1">
      <alignment vertical="center"/>
    </xf>
    <xf numFmtId="177" fontId="22" fillId="3" borderId="1" xfId="2" applyNumberFormat="1" applyFill="1" applyBorder="1"/>
    <xf numFmtId="176" fontId="22" fillId="3" borderId="1" xfId="2" applyNumberFormat="1" applyFill="1" applyBorder="1"/>
    <xf numFmtId="43" fontId="26" fillId="3" borderId="1" xfId="102" applyNumberFormat="1" applyFill="1" applyBorder="1"/>
    <xf numFmtId="176" fontId="28" fillId="9" borderId="1" xfId="105" applyNumberFormat="1" applyFont="1" applyFill="1" applyBorder="1" applyAlignment="1">
      <alignment horizontal="center" vertical="center" wrapText="1"/>
    </xf>
    <xf numFmtId="9" fontId="22" fillId="3" borderId="1" xfId="2" applyFill="1" applyBorder="1"/>
    <xf numFmtId="2" fontId="28" fillId="9" borderId="1" xfId="102" applyNumberFormat="1" applyFont="1" applyFill="1" applyBorder="1" applyAlignment="1">
      <alignment horizontal="center" vertical="center"/>
    </xf>
    <xf numFmtId="164" fontId="36" fillId="3" borderId="1" xfId="1" applyFont="1" applyFill="1" applyBorder="1"/>
    <xf numFmtId="43" fontId="0" fillId="3" borderId="0" xfId="103" applyFont="1" applyFill="1" applyBorder="1" applyAlignment="1">
      <alignment vertical="center"/>
    </xf>
    <xf numFmtId="178" fontId="22" fillId="3" borderId="1" xfId="2" applyNumberFormat="1" applyFill="1" applyBorder="1"/>
    <xf numFmtId="180" fontId="22" fillId="3" borderId="0" xfId="1" applyNumberFormat="1" applyFill="1"/>
    <xf numFmtId="0" fontId="31" fillId="3" borderId="0" xfId="102" applyFont="1" applyFill="1"/>
    <xf numFmtId="43" fontId="3" fillId="3" borderId="0" xfId="103" applyFont="1" applyFill="1"/>
    <xf numFmtId="43" fontId="26" fillId="3" borderId="0" xfId="102" applyNumberFormat="1" applyFill="1"/>
    <xf numFmtId="43" fontId="31" fillId="3" borderId="0" xfId="102" applyNumberFormat="1" applyFont="1" applyFill="1"/>
    <xf numFmtId="43" fontId="21" fillId="3" borderId="1" xfId="103" applyFont="1" applyFill="1" applyBorder="1" applyAlignment="1">
      <alignment vertical="center" wrapText="1"/>
    </xf>
    <xf numFmtId="1" fontId="10" fillId="3" borderId="1" xfId="8" applyNumberFormat="1" applyFont="1" applyFill="1" applyBorder="1" applyAlignment="1">
      <alignment horizontal="center" vertical="center" wrapText="1"/>
    </xf>
    <xf numFmtId="43" fontId="21" fillId="3" borderId="1" xfId="103" applyFont="1" applyFill="1" applyBorder="1" applyAlignment="1">
      <alignment vertical="center"/>
    </xf>
    <xf numFmtId="166" fontId="22" fillId="3" borderId="1" xfId="1" applyNumberFormat="1" applyFill="1" applyBorder="1"/>
    <xf numFmtId="181" fontId="21" fillId="3" borderId="1" xfId="1" applyNumberFormat="1" applyFont="1" applyFill="1" applyBorder="1"/>
    <xf numFmtId="166" fontId="28" fillId="9" borderId="1" xfId="102" applyNumberFormat="1" applyFont="1" applyFill="1" applyBorder="1" applyAlignment="1">
      <alignment horizontal="center" vertical="center"/>
    </xf>
    <xf numFmtId="164" fontId="26" fillId="3" borderId="0" xfId="102" applyNumberFormat="1" applyFill="1"/>
    <xf numFmtId="164" fontId="21" fillId="3" borderId="0" xfId="1" applyFont="1" applyFill="1"/>
    <xf numFmtId="43" fontId="3" fillId="3" borderId="0" xfId="103" applyNumberFormat="1" applyFont="1" applyFill="1"/>
    <xf numFmtId="168" fontId="22" fillId="3" borderId="0" xfId="2" applyNumberFormat="1" applyFill="1"/>
    <xf numFmtId="171" fontId="22" fillId="3" borderId="0" xfId="2" applyNumberFormat="1" applyFill="1"/>
    <xf numFmtId="4" fontId="26" fillId="3" borderId="0" xfId="102" applyNumberFormat="1" applyFill="1"/>
    <xf numFmtId="43" fontId="34" fillId="3" borderId="1" xfId="103" applyNumberFormat="1" applyFont="1" applyFill="1" applyBorder="1" applyAlignment="1">
      <alignment vertical="center" wrapText="1"/>
    </xf>
    <xf numFmtId="43" fontId="21" fillId="3" borderId="1" xfId="103" applyNumberFormat="1" applyFont="1" applyFill="1" applyBorder="1" applyAlignment="1">
      <alignment vertical="center"/>
    </xf>
    <xf numFmtId="43" fontId="26" fillId="3" borderId="1" xfId="102" applyNumberFormat="1" applyFill="1" applyBorder="1" applyAlignment="1">
      <alignment horizontal="center"/>
    </xf>
    <xf numFmtId="43" fontId="34" fillId="9" borderId="1" xfId="102" applyNumberFormat="1" applyFont="1" applyFill="1" applyBorder="1" applyAlignment="1">
      <alignment horizontal="center" vertical="center"/>
    </xf>
    <xf numFmtId="43" fontId="28" fillId="3" borderId="1" xfId="103" applyNumberFormat="1" applyFont="1" applyFill="1" applyBorder="1" applyAlignment="1">
      <alignment vertical="center" wrapText="1"/>
    </xf>
    <xf numFmtId="43" fontId="6" fillId="3" borderId="1" xfId="103" applyNumberFormat="1" applyFont="1" applyFill="1" applyBorder="1" applyAlignment="1">
      <alignment vertical="center"/>
    </xf>
    <xf numFmtId="43" fontId="6" fillId="3" borderId="1" xfId="1" applyNumberFormat="1" applyFont="1" applyFill="1" applyBorder="1"/>
    <xf numFmtId="0" fontId="32" fillId="3" borderId="0" xfId="102" applyFont="1" applyFill="1"/>
    <xf numFmtId="9" fontId="10" fillId="3" borderId="1" xfId="69" applyFont="1" applyFill="1" applyBorder="1" applyProtection="1"/>
    <xf numFmtId="1" fontId="28" fillId="3" borderId="1" xfId="107" applyNumberFormat="1" applyFont="1" applyFill="1" applyBorder="1" applyAlignment="1">
      <alignment horizontal="center" vertical="center"/>
    </xf>
    <xf numFmtId="164" fontId="6" fillId="3" borderId="1" xfId="82" applyFill="1" applyBorder="1"/>
    <xf numFmtId="164" fontId="21" fillId="3" borderId="1" xfId="82" applyFont="1" applyFill="1" applyBorder="1"/>
    <xf numFmtId="179" fontId="6" fillId="3" borderId="1" xfId="69" applyNumberFormat="1" applyFill="1" applyBorder="1"/>
    <xf numFmtId="177" fontId="6" fillId="3" borderId="1" xfId="69" applyNumberFormat="1" applyFill="1" applyBorder="1"/>
    <xf numFmtId="176" fontId="6" fillId="3" borderId="1" xfId="69" applyNumberFormat="1" applyFill="1" applyBorder="1"/>
    <xf numFmtId="9" fontId="6" fillId="3" borderId="1" xfId="69" applyFill="1" applyBorder="1"/>
    <xf numFmtId="166" fontId="6" fillId="3" borderId="1" xfId="82" applyNumberFormat="1" applyFill="1" applyBorder="1"/>
    <xf numFmtId="164" fontId="36" fillId="3" borderId="1" xfId="82" applyFont="1" applyFill="1" applyBorder="1"/>
    <xf numFmtId="4" fontId="28" fillId="9" borderId="1" xfId="102" applyNumberFormat="1" applyFont="1" applyFill="1" applyBorder="1" applyAlignment="1">
      <alignment horizontal="center" vertical="center"/>
    </xf>
    <xf numFmtId="4" fontId="35" fillId="9" borderId="1" xfId="102" applyNumberFormat="1" applyFont="1" applyFill="1" applyBorder="1" applyAlignment="1">
      <alignment horizontal="center" vertical="center"/>
    </xf>
    <xf numFmtId="178" fontId="6" fillId="3" borderId="1" xfId="69" applyNumberFormat="1" applyFill="1" applyBorder="1"/>
    <xf numFmtId="180" fontId="6" fillId="3" borderId="0" xfId="82" applyNumberFormat="1" applyFill="1"/>
    <xf numFmtId="43" fontId="2" fillId="3" borderId="0" xfId="103" applyFont="1" applyFill="1"/>
    <xf numFmtId="43" fontId="1" fillId="3" borderId="0" xfId="103" applyFont="1" applyFill="1"/>
    <xf numFmtId="180" fontId="22" fillId="3" borderId="13" xfId="1" applyNumberFormat="1" applyFill="1" applyBorder="1"/>
    <xf numFmtId="0" fontId="26" fillId="3" borderId="0" xfId="102" applyFill="1" applyAlignment="1">
      <alignment horizontal="center"/>
    </xf>
    <xf numFmtId="1" fontId="39" fillId="3" borderId="1" xfId="8" applyNumberFormat="1" applyFont="1" applyFill="1" applyBorder="1" applyAlignment="1">
      <alignment horizontal="center" vertical="center" wrapText="1"/>
    </xf>
    <xf numFmtId="9" fontId="40" fillId="9" borderId="1" xfId="106" applyFont="1" applyFill="1" applyBorder="1" applyAlignment="1">
      <alignment horizontal="center" vertical="center"/>
    </xf>
    <xf numFmtId="43" fontId="40" fillId="3" borderId="1" xfId="103" applyFont="1" applyFill="1" applyBorder="1" applyAlignment="1">
      <alignment vertical="center" wrapText="1"/>
    </xf>
    <xf numFmtId="43" fontId="41" fillId="3" borderId="1" xfId="103" applyFont="1" applyFill="1" applyBorder="1" applyAlignment="1">
      <alignment vertical="center"/>
    </xf>
    <xf numFmtId="177" fontId="41" fillId="3" borderId="1" xfId="2" applyNumberFormat="1" applyFont="1" applyFill="1" applyBorder="1"/>
    <xf numFmtId="176" fontId="41" fillId="3" borderId="1" xfId="2" applyNumberFormat="1" applyFont="1" applyFill="1" applyBorder="1"/>
    <xf numFmtId="164" fontId="41" fillId="3" borderId="1" xfId="1" applyFont="1" applyFill="1" applyBorder="1"/>
    <xf numFmtId="179" fontId="41" fillId="3" borderId="1" xfId="2" applyNumberFormat="1" applyFont="1" applyFill="1" applyBorder="1"/>
    <xf numFmtId="43" fontId="40" fillId="3" borderId="1" xfId="102" applyNumberFormat="1" applyFont="1" applyFill="1" applyBorder="1"/>
    <xf numFmtId="180" fontId="41" fillId="3" borderId="1" xfId="1" applyNumberFormat="1" applyFont="1" applyFill="1" applyBorder="1"/>
    <xf numFmtId="0" fontId="40" fillId="3" borderId="1" xfId="102" applyFont="1" applyFill="1" applyBorder="1" applyAlignment="1">
      <alignment horizontal="center"/>
    </xf>
    <xf numFmtId="0" fontId="40" fillId="9" borderId="1" xfId="102" applyFont="1" applyFill="1" applyBorder="1" applyAlignment="1">
      <alignment horizontal="center" vertical="center"/>
    </xf>
    <xf numFmtId="0" fontId="6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5" fillId="0" borderId="5" xfId="11" applyFont="1" applyBorder="1" applyAlignment="1">
      <alignment horizontal="center" wrapText="1"/>
    </xf>
    <xf numFmtId="0" fontId="21" fillId="0" borderId="3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16" fillId="0" borderId="0" xfId="11" applyFont="1" applyBorder="1" applyAlignment="1">
      <alignment horizontal="center" vertical="center" wrapText="1"/>
    </xf>
    <xf numFmtId="0" fontId="11" fillId="0" borderId="6" xfId="1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1" fillId="0" borderId="6" xfId="1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4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12" fillId="0" borderId="5" xfId="1" applyNumberFormat="1" applyFont="1" applyBorder="1" applyAlignment="1" applyProtection="1">
      <alignment horizontal="center" vertical="center" wrapText="1"/>
    </xf>
    <xf numFmtId="0" fontId="28" fillId="3" borderId="1" xfId="102" applyFont="1" applyFill="1" applyBorder="1" applyAlignment="1">
      <alignment horizontal="center" vertical="center"/>
    </xf>
    <xf numFmtId="0" fontId="28" fillId="9" borderId="1" xfId="102" applyFont="1" applyFill="1" applyBorder="1" applyAlignment="1">
      <alignment horizontal="center" vertical="center" wrapText="1"/>
    </xf>
    <xf numFmtId="43" fontId="28" fillId="9" borderId="1" xfId="103" applyFont="1" applyFill="1" applyBorder="1" applyAlignment="1">
      <alignment horizontal="center" vertical="center" wrapText="1"/>
    </xf>
    <xf numFmtId="0" fontId="3" fillId="3" borderId="1" xfId="104" applyFill="1" applyBorder="1" applyAlignment="1">
      <alignment horizontal="center" vertical="center" wrapText="1"/>
    </xf>
    <xf numFmtId="0" fontId="26" fillId="3" borderId="1" xfId="102" applyFont="1" applyFill="1" applyBorder="1" applyAlignment="1">
      <alignment horizontal="center"/>
    </xf>
    <xf numFmtId="0" fontId="29" fillId="9" borderId="1" xfId="102" applyFont="1" applyFill="1" applyBorder="1" applyAlignment="1">
      <alignment horizontal="center" vertical="center" wrapText="1"/>
    </xf>
    <xf numFmtId="0" fontId="34" fillId="3" borderId="1" xfId="102" applyFont="1" applyFill="1" applyBorder="1" applyAlignment="1">
      <alignment horizontal="center" vertical="center" wrapText="1"/>
    </xf>
    <xf numFmtId="43" fontId="6" fillId="3" borderId="1" xfId="103" applyFont="1" applyFill="1" applyBorder="1" applyAlignment="1">
      <alignment horizontal="center" vertical="center" wrapText="1"/>
    </xf>
    <xf numFmtId="43" fontId="0" fillId="3" borderId="1" xfId="103" applyFont="1" applyFill="1" applyBorder="1" applyAlignment="1">
      <alignment horizontal="center" vertical="center" wrapText="1"/>
    </xf>
    <xf numFmtId="43" fontId="34" fillId="9" borderId="1" xfId="103" applyFont="1" applyFill="1" applyBorder="1" applyAlignment="1">
      <alignment horizontal="center" vertical="center" wrapText="1"/>
    </xf>
    <xf numFmtId="0" fontId="28" fillId="3" borderId="1" xfId="102" applyFont="1" applyFill="1" applyBorder="1" applyAlignment="1">
      <alignment horizontal="center" vertical="center" wrapText="1"/>
    </xf>
    <xf numFmtId="0" fontId="34" fillId="3" borderId="1" xfId="102" applyFont="1" applyFill="1" applyBorder="1" applyAlignment="1">
      <alignment horizontal="center"/>
    </xf>
    <xf numFmtId="43" fontId="35" fillId="9" borderId="1" xfId="103" applyFont="1" applyFill="1" applyBorder="1" applyAlignment="1">
      <alignment horizontal="center" vertical="center" wrapText="1"/>
    </xf>
    <xf numFmtId="43" fontId="28" fillId="5" borderId="1" xfId="103" applyFont="1" applyFill="1" applyBorder="1" applyAlignment="1">
      <alignment horizontal="center" vertical="center" wrapText="1"/>
    </xf>
    <xf numFmtId="0" fontId="29" fillId="5" borderId="1" xfId="102" applyFont="1" applyFill="1" applyBorder="1" applyAlignment="1">
      <alignment horizontal="center" vertical="center" wrapText="1"/>
    </xf>
    <xf numFmtId="0" fontId="20" fillId="0" borderId="0" xfId="102" applyFont="1" applyBorder="1" applyAlignment="1">
      <alignment horizontal="center" vertical="center" wrapText="1"/>
    </xf>
    <xf numFmtId="0" fontId="12" fillId="0" borderId="0" xfId="102" applyFont="1" applyBorder="1" applyAlignment="1">
      <alignment horizontal="center" vertical="center" wrapText="1"/>
    </xf>
    <xf numFmtId="0" fontId="28" fillId="0" borderId="1" xfId="102" applyFont="1" applyBorder="1" applyAlignment="1">
      <alignment horizontal="center" vertical="center"/>
    </xf>
    <xf numFmtId="0" fontId="28" fillId="5" borderId="1" xfId="102" applyFont="1" applyFill="1" applyBorder="1" applyAlignment="1">
      <alignment horizontal="center" vertical="center" wrapText="1"/>
    </xf>
    <xf numFmtId="0" fontId="3" fillId="0" borderId="1" xfId="104" applyBorder="1" applyAlignment="1">
      <alignment horizontal="center" vertical="center" wrapText="1"/>
    </xf>
    <xf numFmtId="0" fontId="28" fillId="0" borderId="1" xfId="102" applyFont="1" applyBorder="1" applyAlignment="1">
      <alignment horizontal="center" vertical="center" wrapText="1"/>
    </xf>
    <xf numFmtId="0" fontId="18" fillId="7" borderId="1" xfId="102" applyFont="1" applyFill="1" applyBorder="1" applyAlignment="1">
      <alignment horizontal="center" vertical="center" wrapText="1"/>
    </xf>
    <xf numFmtId="0" fontId="18" fillId="6" borderId="1" xfId="102" applyFont="1" applyFill="1" applyBorder="1" applyAlignment="1">
      <alignment horizontal="center"/>
    </xf>
    <xf numFmtId="0" fontId="26" fillId="7" borderId="1" xfId="102" applyFont="1" applyFill="1" applyBorder="1" applyAlignment="1">
      <alignment horizontal="center"/>
    </xf>
    <xf numFmtId="43" fontId="6" fillId="0" borderId="1" xfId="103" applyFont="1" applyBorder="1" applyAlignment="1">
      <alignment horizontal="center" vertical="center" wrapText="1"/>
    </xf>
    <xf numFmtId="43" fontId="0" fillId="0" borderId="1" xfId="103" applyFont="1" applyBorder="1" applyAlignment="1">
      <alignment horizontal="center" vertical="center" wrapText="1"/>
    </xf>
    <xf numFmtId="43" fontId="21" fillId="3" borderId="1" xfId="103" applyFont="1" applyFill="1" applyBorder="1" applyAlignment="1">
      <alignment horizontal="center" vertical="center" wrapText="1"/>
    </xf>
    <xf numFmtId="0" fontId="33" fillId="3" borderId="1" xfId="102" applyFont="1" applyFill="1" applyBorder="1" applyAlignment="1">
      <alignment horizontal="center" vertical="center" wrapText="1"/>
    </xf>
    <xf numFmtId="0" fontId="33" fillId="3" borderId="1" xfId="102" applyFont="1" applyFill="1" applyBorder="1" applyAlignment="1">
      <alignment horizontal="center"/>
    </xf>
    <xf numFmtId="0" fontId="26" fillId="3" borderId="1" xfId="102" applyFill="1" applyBorder="1" applyAlignment="1">
      <alignment horizontal="center" vertical="center" wrapText="1"/>
    </xf>
    <xf numFmtId="0" fontId="26" fillId="3" borderId="1" xfId="102" applyFill="1" applyBorder="1" applyAlignment="1">
      <alignment horizontal="center"/>
    </xf>
    <xf numFmtId="0" fontId="17" fillId="9" borderId="1" xfId="102" applyFont="1" applyFill="1" applyBorder="1" applyAlignment="1">
      <alignment horizontal="center" vertical="center" wrapText="1"/>
    </xf>
    <xf numFmtId="0" fontId="28" fillId="3" borderId="6" xfId="102" applyFont="1" applyFill="1" applyBorder="1" applyAlignment="1">
      <alignment horizontal="center" vertical="center" wrapText="1"/>
    </xf>
    <xf numFmtId="0" fontId="28" fillId="3" borderId="7" xfId="102" applyFont="1" applyFill="1" applyBorder="1" applyAlignment="1">
      <alignment horizontal="center" vertical="center" wrapText="1"/>
    </xf>
    <xf numFmtId="0" fontId="28" fillId="3" borderId="8" xfId="102" applyFont="1" applyFill="1" applyBorder="1" applyAlignment="1">
      <alignment horizontal="center" vertical="center" wrapText="1"/>
    </xf>
    <xf numFmtId="0" fontId="28" fillId="3" borderId="11" xfId="102" applyFont="1" applyFill="1" applyBorder="1" applyAlignment="1">
      <alignment horizontal="center" vertical="center" wrapText="1"/>
    </xf>
    <xf numFmtId="0" fontId="28" fillId="3" borderId="0" xfId="102" applyFont="1" applyFill="1" applyBorder="1" applyAlignment="1">
      <alignment horizontal="center" vertical="center" wrapText="1"/>
    </xf>
    <xf numFmtId="0" fontId="28" fillId="3" borderId="12" xfId="102" applyFont="1" applyFill="1" applyBorder="1" applyAlignment="1">
      <alignment horizontal="center" vertical="center" wrapText="1"/>
    </xf>
    <xf numFmtId="0" fontId="28" fillId="3" borderId="9" xfId="102" applyFont="1" applyFill="1" applyBorder="1" applyAlignment="1">
      <alignment horizontal="center" vertical="center" wrapText="1"/>
    </xf>
    <xf numFmtId="0" fontId="28" fillId="3" borderId="2" xfId="102" applyFont="1" applyFill="1" applyBorder="1" applyAlignment="1">
      <alignment horizontal="center" vertical="center" wrapText="1"/>
    </xf>
    <xf numFmtId="0" fontId="28" fillId="3" borderId="10" xfId="102" applyFont="1" applyFill="1" applyBorder="1" applyAlignment="1">
      <alignment horizontal="center" vertical="center" wrapText="1"/>
    </xf>
    <xf numFmtId="0" fontId="20" fillId="3" borderId="2" xfId="102" applyFont="1" applyFill="1" applyBorder="1" applyAlignment="1">
      <alignment horizontal="center" vertical="center" wrapText="1"/>
    </xf>
    <xf numFmtId="0" fontId="27" fillId="3" borderId="2" xfId="102" applyFont="1" applyFill="1" applyBorder="1" applyAlignment="1">
      <alignment horizontal="center" vertical="center" wrapText="1"/>
    </xf>
    <xf numFmtId="0" fontId="26" fillId="3" borderId="0" xfId="102" applyFill="1" applyAlignment="1">
      <alignment horizontal="right"/>
    </xf>
    <xf numFmtId="0" fontId="28" fillId="9" borderId="5" xfId="102" applyFont="1" applyFill="1" applyBorder="1" applyAlignment="1">
      <alignment horizontal="left" vertical="center" wrapText="1"/>
    </xf>
    <xf numFmtId="0" fontId="28" fillId="9" borderId="3" xfId="102" applyFont="1" applyFill="1" applyBorder="1" applyAlignment="1">
      <alignment horizontal="left" vertical="center" wrapText="1"/>
    </xf>
  </cellXfs>
  <cellStyles count="116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4 2" xfId="111"/>
    <cellStyle name="Обычный 15" xfId="104"/>
    <cellStyle name="Обычный 15 2" xfId="11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 5" xfId="107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6 2" xfId="110"/>
    <cellStyle name="Процентный 7" xfId="100"/>
    <cellStyle name="Процентный 7 2" xfId="112"/>
    <cellStyle name="Процентный 8" xfId="106"/>
    <cellStyle name="Процентный 8 2" xfId="115"/>
    <cellStyle name="Финансовый" xfId="1" builtinId="3"/>
    <cellStyle name="Финансовый 10" xfId="101"/>
    <cellStyle name="Финансовый 10 2" xfId="113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2 6" xfId="108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  <cellStyle name="Финансовый 9 2" xfId="109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8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230" t="s">
        <v>28</v>
      </c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68"/>
      <c r="V1" s="68"/>
      <c r="W1" s="68"/>
      <c r="X1" s="68"/>
      <c r="Y1" s="68"/>
    </row>
    <row r="2" spans="1:1046" x14ac:dyDescent="0.2">
      <c r="A2" s="3"/>
      <c r="B2" s="3"/>
      <c r="C2" s="3"/>
      <c r="D2" s="3"/>
      <c r="E2" s="3"/>
      <c r="F2" s="3"/>
      <c r="G2" s="3"/>
      <c r="H2" s="3"/>
      <c r="I2" s="19"/>
      <c r="J2" s="19"/>
      <c r="K2" s="19"/>
    </row>
    <row r="3" spans="1:1046" ht="12.75" customHeight="1" x14ac:dyDescent="0.2">
      <c r="A3" s="69" t="s">
        <v>0</v>
      </c>
      <c r="B3" s="69" t="s">
        <v>1</v>
      </c>
      <c r="C3" s="71" t="s">
        <v>2</v>
      </c>
      <c r="D3" s="71"/>
      <c r="E3" s="71"/>
      <c r="F3" s="231" t="s">
        <v>31</v>
      </c>
      <c r="G3" s="232"/>
      <c r="H3" s="233"/>
      <c r="I3" s="237" t="s">
        <v>27</v>
      </c>
      <c r="J3" s="238"/>
      <c r="K3" s="239"/>
      <c r="L3" s="31" t="s">
        <v>22</v>
      </c>
      <c r="M3" s="31"/>
      <c r="N3" s="31"/>
      <c r="O3" s="31"/>
      <c r="P3" s="31"/>
      <c r="Q3" s="31"/>
      <c r="R3" s="31"/>
      <c r="S3" s="31"/>
      <c r="T3" s="31"/>
      <c r="U3" s="243">
        <v>2021</v>
      </c>
      <c r="V3" s="244"/>
      <c r="W3" s="244"/>
      <c r="X3" s="245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243">
        <v>2022</v>
      </c>
      <c r="AJ3" s="244"/>
      <c r="AK3" s="244"/>
      <c r="AL3" s="245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243">
        <v>2023</v>
      </c>
      <c r="AX3" s="244"/>
      <c r="AY3" s="244"/>
      <c r="AZ3" s="245"/>
      <c r="BA3" s="63"/>
    </row>
    <row r="4" spans="1:1046" ht="38.25" x14ac:dyDescent="0.2">
      <c r="A4" s="69"/>
      <c r="B4" s="69"/>
      <c r="C4" s="71">
        <v>2018</v>
      </c>
      <c r="D4" s="71">
        <v>2019</v>
      </c>
      <c r="E4" s="71">
        <v>2020</v>
      </c>
      <c r="F4" s="234"/>
      <c r="G4" s="235"/>
      <c r="H4" s="236"/>
      <c r="I4" s="240"/>
      <c r="J4" s="241"/>
      <c r="K4" s="242"/>
      <c r="L4" s="8" t="s">
        <v>23</v>
      </c>
      <c r="M4" s="8" t="s">
        <v>32</v>
      </c>
      <c r="N4" s="25" t="s">
        <v>24</v>
      </c>
      <c r="O4" s="8" t="s">
        <v>33</v>
      </c>
      <c r="P4" s="9" t="s">
        <v>34</v>
      </c>
      <c r="Q4" s="9" t="s">
        <v>36</v>
      </c>
      <c r="R4" s="29" t="s">
        <v>35</v>
      </c>
      <c r="S4" s="29"/>
      <c r="T4" s="9" t="s">
        <v>25</v>
      </c>
      <c r="U4" s="246" t="s">
        <v>37</v>
      </c>
      <c r="V4" s="245"/>
      <c r="W4" s="246" t="s">
        <v>38</v>
      </c>
      <c r="X4" s="245"/>
      <c r="Y4" s="9"/>
      <c r="Z4" s="8" t="s">
        <v>23</v>
      </c>
      <c r="AA4" s="8" t="s">
        <v>32</v>
      </c>
      <c r="AB4" s="25" t="s">
        <v>24</v>
      </c>
      <c r="AC4" s="8" t="s">
        <v>33</v>
      </c>
      <c r="AD4" s="9" t="s">
        <v>34</v>
      </c>
      <c r="AE4" s="9" t="s">
        <v>36</v>
      </c>
      <c r="AF4" s="29" t="s">
        <v>35</v>
      </c>
      <c r="AG4" s="29"/>
      <c r="AH4" s="9" t="s">
        <v>25</v>
      </c>
      <c r="AI4" s="246" t="s">
        <v>37</v>
      </c>
      <c r="AJ4" s="245"/>
      <c r="AK4" s="246" t="s">
        <v>38</v>
      </c>
      <c r="AL4" s="245"/>
      <c r="AM4" s="9"/>
      <c r="AN4" s="8" t="s">
        <v>23</v>
      </c>
      <c r="AO4" s="8" t="s">
        <v>32</v>
      </c>
      <c r="AP4" s="25" t="s">
        <v>24</v>
      </c>
      <c r="AQ4" s="8" t="s">
        <v>33</v>
      </c>
      <c r="AR4" s="9" t="s">
        <v>34</v>
      </c>
      <c r="AS4" s="9" t="s">
        <v>36</v>
      </c>
      <c r="AT4" s="29" t="s">
        <v>35</v>
      </c>
      <c r="AU4" s="29"/>
      <c r="AV4" s="9" t="s">
        <v>25</v>
      </c>
      <c r="AW4" s="246" t="s">
        <v>37</v>
      </c>
      <c r="AX4" s="245"/>
      <c r="AY4" s="246" t="s">
        <v>38</v>
      </c>
      <c r="AZ4" s="245"/>
      <c r="BA4" s="64"/>
      <c r="BB4" s="224" t="s">
        <v>26</v>
      </c>
      <c r="BC4" s="225"/>
      <c r="BD4" s="226"/>
    </row>
    <row r="5" spans="1:1046" s="42" customFormat="1" ht="15" x14ac:dyDescent="0.2">
      <c r="A5" s="69"/>
      <c r="B5" s="69"/>
      <c r="C5" s="71"/>
      <c r="D5" s="71"/>
      <c r="E5" s="71"/>
      <c r="F5" s="71">
        <v>2021</v>
      </c>
      <c r="G5" s="71">
        <v>2022</v>
      </c>
      <c r="H5" s="71">
        <v>2023</v>
      </c>
      <c r="I5" s="67">
        <v>2021</v>
      </c>
      <c r="J5" s="67">
        <v>2022</v>
      </c>
      <c r="K5" s="67">
        <v>2023</v>
      </c>
      <c r="L5" s="227">
        <v>2021</v>
      </c>
      <c r="M5" s="228"/>
      <c r="N5" s="228"/>
      <c r="O5" s="228"/>
      <c r="P5" s="228"/>
      <c r="Q5" s="228"/>
      <c r="R5" s="228"/>
      <c r="S5" s="228"/>
      <c r="T5" s="229"/>
      <c r="U5" s="70" t="s">
        <v>30</v>
      </c>
      <c r="V5" s="70" t="s">
        <v>29</v>
      </c>
      <c r="W5" s="70" t="s">
        <v>30</v>
      </c>
      <c r="X5" s="70" t="s">
        <v>29</v>
      </c>
      <c r="Y5" s="70"/>
      <c r="Z5" s="227">
        <v>2022</v>
      </c>
      <c r="AA5" s="228"/>
      <c r="AB5" s="228"/>
      <c r="AC5" s="228"/>
      <c r="AD5" s="228"/>
      <c r="AE5" s="228"/>
      <c r="AF5" s="228"/>
      <c r="AG5" s="228"/>
      <c r="AH5" s="229"/>
      <c r="AI5" s="70" t="s">
        <v>30</v>
      </c>
      <c r="AJ5" s="70" t="s">
        <v>29</v>
      </c>
      <c r="AK5" s="70" t="s">
        <v>30</v>
      </c>
      <c r="AL5" s="70" t="s">
        <v>29</v>
      </c>
      <c r="AM5" s="70"/>
      <c r="AN5" s="227">
        <v>2023</v>
      </c>
      <c r="AO5" s="228"/>
      <c r="AP5" s="228"/>
      <c r="AQ5" s="228"/>
      <c r="AR5" s="228"/>
      <c r="AS5" s="228"/>
      <c r="AT5" s="228"/>
      <c r="AU5" s="228"/>
      <c r="AV5" s="229"/>
      <c r="AW5" s="70" t="s">
        <v>30</v>
      </c>
      <c r="AX5" s="70" t="s">
        <v>29</v>
      </c>
      <c r="AY5" s="70" t="s">
        <v>30</v>
      </c>
      <c r="AZ5" s="70" t="s">
        <v>29</v>
      </c>
      <c r="BA5" s="65"/>
      <c r="BB5" s="61">
        <v>2021</v>
      </c>
      <c r="BC5" s="61">
        <v>2022</v>
      </c>
      <c r="BD5" s="61">
        <v>2023</v>
      </c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  <c r="RS5" s="41"/>
      <c r="RT5" s="41"/>
      <c r="RU5" s="41"/>
      <c r="RV5" s="41"/>
      <c r="RW5" s="41"/>
      <c r="RX5" s="41"/>
      <c r="RY5" s="41"/>
      <c r="RZ5" s="41"/>
      <c r="SA5" s="41"/>
      <c r="SB5" s="41"/>
      <c r="SC5" s="41"/>
      <c r="SD5" s="41"/>
      <c r="SE5" s="41"/>
      <c r="SF5" s="41"/>
      <c r="SG5" s="41"/>
      <c r="SH5" s="41"/>
      <c r="SI5" s="41"/>
      <c r="SJ5" s="41"/>
      <c r="SK5" s="41"/>
      <c r="SL5" s="41"/>
      <c r="SM5" s="41"/>
      <c r="SN5" s="41"/>
      <c r="SO5" s="41"/>
      <c r="SP5" s="41"/>
      <c r="SQ5" s="41"/>
      <c r="SR5" s="41"/>
      <c r="SS5" s="41"/>
      <c r="ST5" s="41"/>
      <c r="SU5" s="41"/>
      <c r="SV5" s="41"/>
      <c r="SW5" s="41"/>
      <c r="SX5" s="41"/>
      <c r="SY5" s="41"/>
      <c r="SZ5" s="41"/>
      <c r="TA5" s="41"/>
      <c r="TB5" s="41"/>
      <c r="TC5" s="41"/>
      <c r="TD5" s="41"/>
      <c r="TE5" s="41"/>
      <c r="TF5" s="41"/>
      <c r="TG5" s="41"/>
      <c r="TH5" s="41"/>
      <c r="TI5" s="41"/>
      <c r="TJ5" s="41"/>
      <c r="TK5" s="41"/>
      <c r="TL5" s="41"/>
      <c r="TM5" s="41"/>
      <c r="TN5" s="41"/>
      <c r="TO5" s="41"/>
      <c r="TP5" s="41"/>
      <c r="TQ5" s="41"/>
      <c r="TR5" s="41"/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  <c r="AAF5" s="41"/>
      <c r="AAG5" s="41"/>
      <c r="AAH5" s="41"/>
      <c r="AAI5" s="41"/>
      <c r="AAJ5" s="41"/>
      <c r="AAK5" s="41"/>
      <c r="AAL5" s="41"/>
      <c r="AAM5" s="41"/>
      <c r="AAN5" s="41"/>
      <c r="AAO5" s="41"/>
      <c r="AAP5" s="41"/>
      <c r="AAQ5" s="41"/>
      <c r="AAR5" s="41"/>
      <c r="AAS5" s="41"/>
      <c r="AAT5" s="41"/>
      <c r="AAU5" s="41"/>
      <c r="AAV5" s="41"/>
      <c r="AAW5" s="41"/>
      <c r="AAX5" s="41"/>
      <c r="AAY5" s="41"/>
      <c r="AAZ5" s="41"/>
      <c r="ABA5" s="41"/>
      <c r="ABB5" s="41"/>
      <c r="ABC5" s="41"/>
      <c r="ABD5" s="41"/>
      <c r="ABE5" s="41"/>
      <c r="ABF5" s="41"/>
      <c r="ABG5" s="41"/>
      <c r="ABH5" s="41"/>
      <c r="ABI5" s="41"/>
      <c r="ABJ5" s="41"/>
      <c r="ABK5" s="41"/>
      <c r="ABL5" s="41"/>
      <c r="ABM5" s="41"/>
      <c r="ABN5" s="41"/>
      <c r="ABO5" s="41"/>
      <c r="ABP5" s="41"/>
      <c r="ABQ5" s="41"/>
      <c r="ABR5" s="41"/>
      <c r="ABS5" s="41"/>
      <c r="ABT5" s="41"/>
      <c r="ABU5" s="41"/>
      <c r="ABV5" s="41"/>
      <c r="ABW5" s="41"/>
      <c r="ABX5" s="41"/>
      <c r="ABY5" s="41"/>
      <c r="ABZ5" s="41"/>
      <c r="ACA5" s="41"/>
      <c r="ACB5" s="41"/>
      <c r="ACC5" s="41"/>
      <c r="ACD5" s="41"/>
      <c r="ACE5" s="41"/>
      <c r="ACF5" s="41"/>
      <c r="ACG5" s="41"/>
      <c r="ACH5" s="41"/>
      <c r="ACI5" s="41"/>
      <c r="ACJ5" s="41"/>
      <c r="ACK5" s="41"/>
      <c r="ACL5" s="41"/>
      <c r="ACM5" s="41"/>
      <c r="ACN5" s="41"/>
      <c r="ACO5" s="41"/>
      <c r="ACP5" s="41"/>
      <c r="ACQ5" s="41"/>
      <c r="ACR5" s="41"/>
      <c r="ACS5" s="41"/>
      <c r="ACT5" s="41"/>
      <c r="ACU5" s="41"/>
      <c r="ACV5" s="41"/>
      <c r="ACW5" s="41"/>
      <c r="ACX5" s="41"/>
      <c r="ACY5" s="41"/>
      <c r="ACZ5" s="41"/>
      <c r="ADA5" s="41"/>
      <c r="ADB5" s="41"/>
      <c r="ADC5" s="41"/>
      <c r="ADD5" s="41"/>
      <c r="ADE5" s="41"/>
      <c r="ADF5" s="41"/>
      <c r="ADG5" s="41"/>
      <c r="ADH5" s="41"/>
      <c r="ADI5" s="41"/>
      <c r="ADJ5" s="41"/>
      <c r="ADK5" s="41"/>
      <c r="ADL5" s="41"/>
      <c r="ADM5" s="41"/>
      <c r="ADN5" s="41"/>
      <c r="ADO5" s="41"/>
      <c r="ADP5" s="41"/>
      <c r="ADQ5" s="41"/>
      <c r="ADR5" s="41"/>
      <c r="ADS5" s="41"/>
      <c r="ADT5" s="41"/>
      <c r="ADU5" s="41"/>
      <c r="ADV5" s="41"/>
      <c r="ADW5" s="41"/>
      <c r="ADX5" s="41"/>
      <c r="ADY5" s="41"/>
      <c r="ADZ5" s="41"/>
      <c r="AEA5" s="41"/>
      <c r="AEB5" s="41"/>
      <c r="AEC5" s="41"/>
      <c r="AED5" s="41"/>
      <c r="AEE5" s="41"/>
      <c r="AEF5" s="41"/>
      <c r="AEG5" s="41"/>
      <c r="AEH5" s="41"/>
      <c r="AEI5" s="41"/>
      <c r="AEJ5" s="41"/>
      <c r="AEK5" s="41"/>
      <c r="AEL5" s="41"/>
      <c r="AEM5" s="41"/>
      <c r="AEN5" s="41"/>
      <c r="AEO5" s="41"/>
      <c r="AEP5" s="41"/>
      <c r="AEQ5" s="41"/>
      <c r="AER5" s="41"/>
      <c r="AES5" s="41"/>
      <c r="AET5" s="41"/>
      <c r="AEU5" s="41"/>
      <c r="AEV5" s="41"/>
      <c r="AEW5" s="41"/>
      <c r="AEX5" s="41"/>
      <c r="AEY5" s="41"/>
      <c r="AEZ5" s="41"/>
      <c r="AFA5" s="41"/>
      <c r="AFB5" s="41"/>
      <c r="AFC5" s="41"/>
      <c r="AFD5" s="41"/>
      <c r="AFE5" s="41"/>
      <c r="AFF5" s="41"/>
      <c r="AFG5" s="41"/>
      <c r="AFH5" s="41"/>
      <c r="AFI5" s="41"/>
      <c r="AFJ5" s="41"/>
      <c r="AFK5" s="41"/>
      <c r="AFL5" s="41"/>
      <c r="AFM5" s="41"/>
      <c r="AFN5" s="41"/>
      <c r="AFO5" s="41"/>
      <c r="AFP5" s="41"/>
      <c r="AFQ5" s="41"/>
      <c r="AFR5" s="41"/>
      <c r="AFS5" s="41"/>
      <c r="AFT5" s="41"/>
      <c r="AFU5" s="41"/>
      <c r="AFV5" s="41"/>
      <c r="AFW5" s="41"/>
      <c r="AFX5" s="41"/>
      <c r="AFY5" s="41"/>
      <c r="AFZ5" s="41"/>
      <c r="AGA5" s="41"/>
      <c r="AGB5" s="41"/>
      <c r="AGC5" s="41"/>
      <c r="AGD5" s="41"/>
      <c r="AGE5" s="41"/>
      <c r="AGF5" s="41"/>
      <c r="AGG5" s="41"/>
      <c r="AGH5" s="41"/>
      <c r="AGI5" s="41"/>
      <c r="AGJ5" s="41"/>
      <c r="AGK5" s="41"/>
      <c r="AGL5" s="41"/>
      <c r="AGM5" s="41"/>
      <c r="AGN5" s="41"/>
      <c r="AGO5" s="41"/>
      <c r="AGP5" s="41"/>
      <c r="AGQ5" s="41"/>
      <c r="AGR5" s="41"/>
      <c r="AGS5" s="41"/>
      <c r="AGT5" s="41"/>
      <c r="AGU5" s="41"/>
      <c r="AGV5" s="41"/>
      <c r="AGW5" s="41"/>
      <c r="AGX5" s="41"/>
      <c r="AGY5" s="41"/>
      <c r="AGZ5" s="41"/>
      <c r="AHA5" s="41"/>
      <c r="AHB5" s="41"/>
      <c r="AHC5" s="41"/>
      <c r="AHD5" s="41"/>
      <c r="AHE5" s="41"/>
      <c r="AHF5" s="41"/>
      <c r="AHG5" s="41"/>
      <c r="AHH5" s="41"/>
      <c r="AHI5" s="41"/>
      <c r="AHJ5" s="41"/>
      <c r="AHK5" s="41"/>
      <c r="AHL5" s="41"/>
      <c r="AHM5" s="41"/>
      <c r="AHN5" s="41"/>
      <c r="AHO5" s="41"/>
      <c r="AHP5" s="41"/>
      <c r="AHQ5" s="41"/>
      <c r="AHR5" s="41"/>
      <c r="AHS5" s="41"/>
      <c r="AHT5" s="41"/>
      <c r="AHU5" s="41"/>
      <c r="AHV5" s="41"/>
      <c r="AHW5" s="41"/>
      <c r="AHX5" s="41"/>
      <c r="AHY5" s="41"/>
      <c r="AHZ5" s="41"/>
      <c r="AIA5" s="41"/>
      <c r="AIB5" s="41"/>
      <c r="AIC5" s="41"/>
      <c r="AID5" s="41"/>
      <c r="AIE5" s="41"/>
      <c r="AIF5" s="41"/>
      <c r="AIG5" s="41"/>
      <c r="AIH5" s="41"/>
      <c r="AII5" s="41"/>
      <c r="AIJ5" s="41"/>
      <c r="AIK5" s="41"/>
      <c r="AIL5" s="41"/>
      <c r="AIM5" s="41"/>
      <c r="AIN5" s="41"/>
      <c r="AIO5" s="41"/>
      <c r="AIP5" s="41"/>
      <c r="AIQ5" s="41"/>
      <c r="AIR5" s="41"/>
      <c r="AIS5" s="41"/>
      <c r="AIT5" s="41"/>
      <c r="AIU5" s="41"/>
      <c r="AIV5" s="41"/>
      <c r="AIW5" s="41"/>
      <c r="AIX5" s="41"/>
      <c r="AIY5" s="41"/>
      <c r="AIZ5" s="41"/>
      <c r="AJA5" s="41"/>
      <c r="AJB5" s="41"/>
      <c r="AJC5" s="41"/>
      <c r="AJD5" s="41"/>
      <c r="AJE5" s="41"/>
      <c r="AJF5" s="41"/>
      <c r="AJG5" s="41"/>
      <c r="AJH5" s="41"/>
      <c r="AJI5" s="41"/>
      <c r="AJJ5" s="41"/>
      <c r="AJK5" s="41"/>
      <c r="AJL5" s="41"/>
      <c r="AJM5" s="41"/>
      <c r="AJN5" s="41"/>
      <c r="AJO5" s="41"/>
      <c r="AJP5" s="41"/>
      <c r="AJQ5" s="41"/>
      <c r="AJR5" s="41"/>
      <c r="AJS5" s="41"/>
      <c r="AJT5" s="41"/>
      <c r="AJU5" s="41"/>
      <c r="AJV5" s="41"/>
      <c r="AJW5" s="41"/>
      <c r="AJX5" s="41"/>
      <c r="AJY5" s="41"/>
      <c r="AJZ5" s="41"/>
      <c r="AKA5" s="41"/>
      <c r="AKB5" s="41"/>
      <c r="AKC5" s="41"/>
      <c r="AKD5" s="41"/>
      <c r="AKE5" s="41"/>
      <c r="AKF5" s="41"/>
      <c r="AKG5" s="41"/>
      <c r="AKH5" s="41"/>
      <c r="AKI5" s="41"/>
      <c r="AKJ5" s="41"/>
      <c r="AKK5" s="41"/>
      <c r="AKL5" s="41"/>
      <c r="AKM5" s="41"/>
      <c r="AKN5" s="41"/>
      <c r="AKO5" s="41"/>
      <c r="AKP5" s="41"/>
      <c r="AKQ5" s="41"/>
      <c r="AKR5" s="41"/>
      <c r="AKS5" s="41"/>
      <c r="AKT5" s="41"/>
      <c r="AKU5" s="41"/>
      <c r="AKV5" s="41"/>
      <c r="AKW5" s="41"/>
      <c r="AKX5" s="41"/>
      <c r="AKY5" s="41"/>
      <c r="AKZ5" s="41"/>
      <c r="ALA5" s="41"/>
      <c r="ALB5" s="41"/>
      <c r="ALC5" s="41"/>
      <c r="ALD5" s="41"/>
      <c r="ALE5" s="41"/>
      <c r="ALF5" s="41"/>
      <c r="ALG5" s="41"/>
      <c r="ALH5" s="41"/>
      <c r="ALI5" s="41"/>
      <c r="ALJ5" s="41"/>
      <c r="ALK5" s="41"/>
      <c r="ALL5" s="41"/>
      <c r="ALM5" s="41"/>
      <c r="ALN5" s="41"/>
      <c r="ALO5" s="41"/>
      <c r="ALP5" s="41"/>
      <c r="ALQ5" s="41"/>
      <c r="ALR5" s="41"/>
      <c r="ALS5" s="41"/>
      <c r="ALT5" s="41"/>
      <c r="ALU5" s="41"/>
      <c r="ALV5" s="41"/>
      <c r="ALW5" s="41"/>
      <c r="ALX5" s="41"/>
      <c r="ALY5" s="41"/>
      <c r="ALZ5" s="41"/>
      <c r="AMA5" s="41"/>
      <c r="AMB5" s="41"/>
      <c r="AMC5" s="41"/>
      <c r="AMD5" s="41"/>
      <c r="AME5" s="41"/>
      <c r="AMF5" s="41"/>
      <c r="AMG5" s="41"/>
      <c r="AMH5" s="41"/>
      <c r="AMI5" s="41"/>
      <c r="AMJ5" s="41"/>
      <c r="AMK5" s="41"/>
      <c r="AML5" s="41"/>
      <c r="AMM5" s="41"/>
      <c r="AMN5" s="41"/>
      <c r="AMO5" s="41"/>
      <c r="AMP5" s="41"/>
      <c r="AMQ5" s="41"/>
      <c r="AMR5" s="41"/>
      <c r="AMS5" s="41"/>
      <c r="AMT5" s="41"/>
      <c r="AMU5" s="41"/>
      <c r="AMV5" s="41"/>
      <c r="AMW5" s="41"/>
      <c r="AMX5" s="41"/>
      <c r="AMY5" s="41"/>
      <c r="AMZ5" s="41"/>
      <c r="ANA5" s="41"/>
      <c r="ANB5" s="41"/>
      <c r="ANC5" s="41"/>
      <c r="AND5" s="41"/>
      <c r="ANE5" s="41"/>
      <c r="ANF5" s="41"/>
    </row>
    <row r="6" spans="1:1046" ht="15" x14ac:dyDescent="0.2">
      <c r="A6" s="69">
        <v>1</v>
      </c>
      <c r="B6" s="4" t="s">
        <v>3</v>
      </c>
      <c r="C6" s="1">
        <v>1.492</v>
      </c>
      <c r="D6" s="1">
        <v>1.492</v>
      </c>
      <c r="E6" s="1">
        <v>1.492</v>
      </c>
      <c r="F6" s="32">
        <f t="shared" ref="F6:F23" si="0">100%-I6</f>
        <v>0.89</v>
      </c>
      <c r="G6" s="32">
        <f t="shared" ref="G6:H21" si="1">100%-J6</f>
        <v>0.89</v>
      </c>
      <c r="H6" s="32">
        <f t="shared" si="1"/>
        <v>0.89</v>
      </c>
      <c r="I6" s="20">
        <v>0.11</v>
      </c>
      <c r="J6" s="20">
        <v>0.11</v>
      </c>
      <c r="K6" s="20">
        <v>0.11</v>
      </c>
      <c r="L6" s="10"/>
      <c r="M6" s="34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4">
        <f t="shared" ref="O6:O16" si="4">$N$28/$N$26</f>
        <v>4.409920681208445E-2</v>
      </c>
      <c r="P6" s="40">
        <f t="shared" ref="P6:P16" si="5">ROUND($N$26*(($L6*$F6)/SUMPRODUCT($F$6:$F$23,$L$6:$L$23))*O6,0)</f>
        <v>0</v>
      </c>
      <c r="Q6" s="40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4">
        <f>$AB$27/$AB$26</f>
        <v>0.96007585770091119</v>
      </c>
      <c r="AB6" s="11">
        <f>ROUND($N$26*(($L6*$F6)/SUMPRODUCT($F$6:$F$23,$L$6:$L$23))*AA6,0)</f>
        <v>0</v>
      </c>
      <c r="AC6" s="34">
        <f>$AB$28/$AB$26</f>
        <v>3.9924142299088757E-2</v>
      </c>
      <c r="AD6" s="40">
        <f>ROUND($N$26*(($L6*$F6)/SUMPRODUCT($F$6:$F$23,$L$6:$L$23))*AC6,0)</f>
        <v>0</v>
      </c>
      <c r="AE6" s="40">
        <f>AB6+AD6</f>
        <v>0</v>
      </c>
      <c r="AF6" s="11">
        <f t="shared" ref="AF6:AF23" si="9">ROUNDUP(AE6/G6*J6,-2)</f>
        <v>0</v>
      </c>
      <c r="AG6" s="35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4">
        <f>$AP$27/$AP$26</f>
        <v>0.32999311079100646</v>
      </c>
      <c r="AP6" s="11">
        <f>ROUND($AP$26*(($AN6*$H6)/SUMPRODUCT($AN$6:$AN$23,$H$6:$H$23))*AO6,0)</f>
        <v>0</v>
      </c>
      <c r="AQ6" s="34">
        <f>$AP$28/$AP$26</f>
        <v>0.67000688920899354</v>
      </c>
      <c r="AR6" s="40">
        <f>ROUND($AP$26*(($AN6*$H6)/SUMPRODUCT($AN$6:$AN$23,$H$6:$H$23))*AQ6,0)</f>
        <v>0</v>
      </c>
      <c r="AS6" s="40">
        <f>AP6+AR6</f>
        <v>0</v>
      </c>
      <c r="AT6" s="11">
        <f t="shared" ref="AT6:AT23" si="10">ROUNDUP(AS6/H6*K6,-2)</f>
        <v>0</v>
      </c>
      <c r="AU6" s="35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39"/>
      <c r="BB6" s="43">
        <f>ROUND(Q6/1000,1)</f>
        <v>0</v>
      </c>
      <c r="BC6" s="44">
        <f>ROUND(AE6/1000,1)</f>
        <v>0</v>
      </c>
      <c r="BD6" s="44">
        <f t="shared" ref="BD6:BD16" si="11">ROUND(AS6/1000,1)</f>
        <v>0</v>
      </c>
      <c r="BF6" s="26"/>
      <c r="BG6" s="26"/>
      <c r="BH6" s="26"/>
    </row>
    <row r="7" spans="1:1046" ht="15" x14ac:dyDescent="0.2">
      <c r="A7" s="69">
        <v>2</v>
      </c>
      <c r="B7" s="4" t="s">
        <v>4</v>
      </c>
      <c r="C7" s="1">
        <v>1.492</v>
      </c>
      <c r="D7" s="1">
        <v>1.492</v>
      </c>
      <c r="E7" s="1">
        <v>1.492</v>
      </c>
      <c r="F7" s="32">
        <f t="shared" si="0"/>
        <v>0.9</v>
      </c>
      <c r="G7" s="32">
        <f t="shared" si="1"/>
        <v>0.9</v>
      </c>
      <c r="H7" s="32">
        <f t="shared" si="1"/>
        <v>0.9</v>
      </c>
      <c r="I7" s="20">
        <v>0.1</v>
      </c>
      <c r="J7" s="20">
        <v>0.1</v>
      </c>
      <c r="K7" s="20">
        <v>0.1</v>
      </c>
      <c r="L7" s="12">
        <v>1</v>
      </c>
      <c r="M7" s="34">
        <f t="shared" si="2"/>
        <v>0.95590079318791554</v>
      </c>
      <c r="N7" s="11">
        <f t="shared" si="3"/>
        <v>1880591</v>
      </c>
      <c r="O7" s="34">
        <f t="shared" si="4"/>
        <v>4.409920681208445E-2</v>
      </c>
      <c r="P7" s="40">
        <f>ROUND($N$26*(($L7*$F7)/SUMPRODUCT($F$6:$F$23,$L$6:$L$23))*O7,0)</f>
        <v>86759</v>
      </c>
      <c r="Q7" s="40">
        <f t="shared" si="6"/>
        <v>1967350</v>
      </c>
      <c r="R7" s="11">
        <f t="shared" si="7"/>
        <v>218600</v>
      </c>
      <c r="S7" s="35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4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4">
        <f t="shared" ref="AC7:AC23" si="16">$AB$28/$AB$26</f>
        <v>3.9924142299088757E-2</v>
      </c>
      <c r="AD7" s="11">
        <f>ROUND($AB$26*(($Z7*$G7)/SUMPRODUCT($Z$7:$Z$23,$G$7:$G$23))*AC7,0)</f>
        <v>0</v>
      </c>
      <c r="AE7" s="40">
        <f t="shared" ref="AE7:AE23" si="17">AB7+AD7</f>
        <v>0</v>
      </c>
      <c r="AF7" s="11">
        <f t="shared" si="9"/>
        <v>0</v>
      </c>
      <c r="AG7" s="35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4">
        <f t="shared" ref="AO7:AO23" si="22">$AP$27/$AP$26</f>
        <v>0.32999311079100646</v>
      </c>
      <c r="AP7" s="11">
        <f>ROUND($AP$26*(($AN7*$H7)/SUMPRODUCT($AN$6:$AN$23,$H$6:$H$23))*AO7,0)</f>
        <v>0</v>
      </c>
      <c r="AQ7" s="34">
        <f t="shared" ref="AQ7:AQ23" si="23">$AP$28/$AP$26</f>
        <v>0.67000688920899354</v>
      </c>
      <c r="AR7" s="40">
        <f>ROUND($AP$26*(($AN7*$H7)/SUMPRODUCT($AN$6:$AN$23,$H$6:$H$23))*AQ7,0)</f>
        <v>0</v>
      </c>
      <c r="AS7" s="40">
        <f t="shared" ref="AS7:AS23" si="24">AP7+AR7</f>
        <v>0</v>
      </c>
      <c r="AT7" s="11">
        <f t="shared" si="10"/>
        <v>0</v>
      </c>
      <c r="AU7" s="35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39"/>
      <c r="BB7" s="43">
        <f>ROUND(Q7/1000,1)</f>
        <v>1967.4</v>
      </c>
      <c r="BC7" s="44">
        <f>ROUND(AE7/1000,1)</f>
        <v>0</v>
      </c>
      <c r="BD7" s="44">
        <f t="shared" si="11"/>
        <v>0</v>
      </c>
      <c r="BF7" s="26"/>
      <c r="BG7" s="26"/>
      <c r="BH7" s="26"/>
    </row>
    <row r="8" spans="1:1046" ht="15" x14ac:dyDescent="0.2">
      <c r="A8" s="69">
        <v>3</v>
      </c>
      <c r="B8" s="4" t="s">
        <v>5</v>
      </c>
      <c r="C8" s="1">
        <v>1.492</v>
      </c>
      <c r="D8" s="1">
        <v>1.492</v>
      </c>
      <c r="E8" s="1">
        <v>1.492</v>
      </c>
      <c r="F8" s="32">
        <f t="shared" si="0"/>
        <v>0.9</v>
      </c>
      <c r="G8" s="32">
        <f t="shared" si="1"/>
        <v>0.9</v>
      </c>
      <c r="H8" s="32">
        <f t="shared" si="1"/>
        <v>0.9</v>
      </c>
      <c r="I8" s="20">
        <v>0.1</v>
      </c>
      <c r="J8" s="20">
        <v>0.1</v>
      </c>
      <c r="K8" s="20">
        <v>0.1</v>
      </c>
      <c r="L8" s="12">
        <v>1</v>
      </c>
      <c r="M8" s="34">
        <f t="shared" si="2"/>
        <v>0.95590079318791554</v>
      </c>
      <c r="N8" s="11">
        <f t="shared" si="3"/>
        <v>1880591</v>
      </c>
      <c r="O8" s="34">
        <f t="shared" si="4"/>
        <v>4.409920681208445E-2</v>
      </c>
      <c r="P8" s="40">
        <f t="shared" si="5"/>
        <v>86759</v>
      </c>
      <c r="Q8" s="40">
        <f t="shared" si="6"/>
        <v>1967350</v>
      </c>
      <c r="R8" s="11">
        <f t="shared" si="7"/>
        <v>218600</v>
      </c>
      <c r="S8" s="35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4">
        <f t="shared" si="14"/>
        <v>0.96007585770091119</v>
      </c>
      <c r="AB8" s="11">
        <f t="shared" si="15"/>
        <v>0</v>
      </c>
      <c r="AC8" s="34">
        <f t="shared" si="16"/>
        <v>3.9924142299088757E-2</v>
      </c>
      <c r="AD8" s="11">
        <f>ROUND($AB$26*(($Z8*$G8)/SUMPRODUCT($Z$7:$Z$23,$G$7:$G$23))*AC8,0)</f>
        <v>0</v>
      </c>
      <c r="AE8" s="40">
        <f t="shared" si="17"/>
        <v>0</v>
      </c>
      <c r="AF8" s="11">
        <f t="shared" si="9"/>
        <v>0</v>
      </c>
      <c r="AG8" s="35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4">
        <f t="shared" si="22"/>
        <v>0.32999311079100646</v>
      </c>
      <c r="AP8" s="11">
        <f>ROUND($AP$26*(($AN8*$H8)/SUMPRODUCT($AN$6:$AN$23,$H$6:$H$23))*AO8,0)</f>
        <v>0</v>
      </c>
      <c r="AQ8" s="34">
        <f t="shared" si="23"/>
        <v>0.67000688920899354</v>
      </c>
      <c r="AR8" s="40">
        <f>ROUND($AP$26*(($AN8*$H8)/SUMPRODUCT($AN$6:$AN$23,$H$6:$H$23))*AQ8,0)</f>
        <v>0</v>
      </c>
      <c r="AS8" s="40">
        <f t="shared" si="24"/>
        <v>0</v>
      </c>
      <c r="AT8" s="11">
        <f t="shared" si="10"/>
        <v>0</v>
      </c>
      <c r="AU8" s="35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39"/>
      <c r="BB8" s="43">
        <f>ROUND(Q8/1000,1)</f>
        <v>1967.4</v>
      </c>
      <c r="BC8" s="44">
        <f>ROUND(AE8/1000,1)</f>
        <v>0</v>
      </c>
      <c r="BD8" s="44">
        <f t="shared" si="11"/>
        <v>0</v>
      </c>
      <c r="BF8" s="26"/>
      <c r="BG8" s="26"/>
      <c r="BH8" s="26"/>
    </row>
    <row r="9" spans="1:1046" ht="15" x14ac:dyDescent="0.2">
      <c r="A9" s="69">
        <v>4</v>
      </c>
      <c r="B9" s="4" t="s">
        <v>6</v>
      </c>
      <c r="C9" s="1">
        <v>1.492</v>
      </c>
      <c r="D9" s="1">
        <v>1.492</v>
      </c>
      <c r="E9" s="1">
        <v>1.492</v>
      </c>
      <c r="F9" s="32">
        <f t="shared" si="0"/>
        <v>0.9</v>
      </c>
      <c r="G9" s="32">
        <f t="shared" si="1"/>
        <v>0.9</v>
      </c>
      <c r="H9" s="32">
        <f t="shared" si="1"/>
        <v>0.9</v>
      </c>
      <c r="I9" s="20">
        <v>0.1</v>
      </c>
      <c r="J9" s="20">
        <v>0.1</v>
      </c>
      <c r="K9" s="20">
        <v>0.1</v>
      </c>
      <c r="L9" s="12"/>
      <c r="M9" s="34">
        <f t="shared" si="2"/>
        <v>0.95590079318791554</v>
      </c>
      <c r="N9" s="11">
        <f t="shared" si="3"/>
        <v>0</v>
      </c>
      <c r="O9" s="34">
        <f t="shared" si="4"/>
        <v>4.409920681208445E-2</v>
      </c>
      <c r="P9" s="40">
        <f t="shared" si="5"/>
        <v>0</v>
      </c>
      <c r="Q9" s="40">
        <f t="shared" si="6"/>
        <v>0</v>
      </c>
      <c r="R9" s="11">
        <f t="shared" si="7"/>
        <v>0</v>
      </c>
      <c r="S9" s="35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4">
        <f t="shared" si="14"/>
        <v>0.96007585770091119</v>
      </c>
      <c r="AB9" s="11">
        <f t="shared" si="15"/>
        <v>0</v>
      </c>
      <c r="AC9" s="34">
        <f t="shared" si="16"/>
        <v>3.9924142299088757E-2</v>
      </c>
      <c r="AD9" s="11">
        <f>ROUND($AB$26*(($Z9*$G9)/SUMPRODUCT($Z$7:$Z$23,$G$7:$G$23))*AC9,0)</f>
        <v>0</v>
      </c>
      <c r="AE9" s="40">
        <f t="shared" si="17"/>
        <v>0</v>
      </c>
      <c r="AF9" s="11">
        <f t="shared" si="9"/>
        <v>0</v>
      </c>
      <c r="AG9" s="35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4">
        <f t="shared" si="22"/>
        <v>0.32999311079100646</v>
      </c>
      <c r="AP9" s="11">
        <f>ROUND($AP$26*(($AN9*$H9)/SUMPRODUCT($AN$6:$AN$23,$H$6:$H$23))*AO9,0)</f>
        <v>0</v>
      </c>
      <c r="AQ9" s="34">
        <f t="shared" si="23"/>
        <v>0.67000688920899354</v>
      </c>
      <c r="AR9" s="40">
        <f>ROUND($AP$26*(($AN9*$H9)/SUMPRODUCT($AN$6:$AN$23,$H$6:$H$23))*AQ9,0)</f>
        <v>0</v>
      </c>
      <c r="AS9" s="40">
        <f t="shared" si="24"/>
        <v>0</v>
      </c>
      <c r="AT9" s="11">
        <f t="shared" si="10"/>
        <v>0</v>
      </c>
      <c r="AU9" s="35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39"/>
      <c r="BB9" s="43">
        <f>ROUND(Q9/1000,1)</f>
        <v>0</v>
      </c>
      <c r="BC9" s="44">
        <f>ROUND(AE9/1000,1)</f>
        <v>0</v>
      </c>
      <c r="BD9" s="44">
        <f t="shared" si="11"/>
        <v>0</v>
      </c>
      <c r="BF9" s="26"/>
      <c r="BG9" s="26"/>
      <c r="BH9" s="26"/>
    </row>
    <row r="10" spans="1:1046" ht="15" x14ac:dyDescent="0.2">
      <c r="A10" s="69">
        <v>5</v>
      </c>
      <c r="B10" s="4" t="s">
        <v>7</v>
      </c>
      <c r="C10" s="1">
        <v>1.492</v>
      </c>
      <c r="D10" s="1">
        <v>1.492</v>
      </c>
      <c r="E10" s="1">
        <v>1.492</v>
      </c>
      <c r="F10" s="32">
        <f t="shared" si="0"/>
        <v>0.88</v>
      </c>
      <c r="G10" s="32">
        <f t="shared" si="1"/>
        <v>0.88</v>
      </c>
      <c r="H10" s="32">
        <f t="shared" si="1"/>
        <v>0.89</v>
      </c>
      <c r="I10" s="20">
        <v>0.12</v>
      </c>
      <c r="J10" s="20">
        <v>0.12</v>
      </c>
      <c r="K10" s="20">
        <v>0.11</v>
      </c>
      <c r="L10" s="12">
        <v>3</v>
      </c>
      <c r="M10" s="34">
        <f t="shared" si="2"/>
        <v>0.95590079318791554</v>
      </c>
      <c r="N10" s="11">
        <f t="shared" si="3"/>
        <v>5516401</v>
      </c>
      <c r="O10" s="34">
        <f t="shared" si="4"/>
        <v>4.409920681208445E-2</v>
      </c>
      <c r="P10" s="40">
        <f t="shared" si="5"/>
        <v>254492</v>
      </c>
      <c r="Q10" s="40">
        <f t="shared" si="6"/>
        <v>5770893</v>
      </c>
      <c r="R10" s="11">
        <f t="shared" si="7"/>
        <v>787000</v>
      </c>
      <c r="S10" s="35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4">
        <f t="shared" si="14"/>
        <v>0.96007585770091119</v>
      </c>
      <c r="AB10" s="11">
        <f t="shared" si="15"/>
        <v>0</v>
      </c>
      <c r="AC10" s="34">
        <f t="shared" si="16"/>
        <v>3.9924142299088757E-2</v>
      </c>
      <c r="AD10" s="11">
        <f>ROUND($AB$26*(($Z10*$G10)/SUMPRODUCT($Z$7:$Z$23,$G$7:$G$23))*AC10,0)</f>
        <v>0</v>
      </c>
      <c r="AE10" s="40">
        <f t="shared" si="17"/>
        <v>0</v>
      </c>
      <c r="AF10" s="11">
        <f t="shared" si="9"/>
        <v>0</v>
      </c>
      <c r="AG10" s="35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4">
        <f t="shared" si="22"/>
        <v>0.32999311079100646</v>
      </c>
      <c r="AP10" s="11">
        <f>ROUND($AP$26*(($AN10*$H10)/SUMPRODUCT($AN$6:$AN$23,$H$6:$H$23))*AO10,0)</f>
        <v>0</v>
      </c>
      <c r="AQ10" s="34">
        <f t="shared" si="23"/>
        <v>0.67000688920899354</v>
      </c>
      <c r="AR10" s="40">
        <f>ROUND($AP$26*(($AN10*$H10)/SUMPRODUCT($AN$6:$AN$23,$H$6:$H$23))*AQ10,0)</f>
        <v>0</v>
      </c>
      <c r="AS10" s="40">
        <f t="shared" si="24"/>
        <v>0</v>
      </c>
      <c r="AT10" s="11">
        <f t="shared" si="10"/>
        <v>0</v>
      </c>
      <c r="AU10" s="35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39"/>
      <c r="BB10" s="43">
        <f>ROUNDDOWN(Q10/1000,1)</f>
        <v>5770.8</v>
      </c>
      <c r="BC10" s="44">
        <f>ROUND(AE10/1000,1)</f>
        <v>0</v>
      </c>
      <c r="BD10" s="44">
        <f t="shared" si="11"/>
        <v>0</v>
      </c>
      <c r="BF10" s="26"/>
      <c r="BG10" s="26"/>
      <c r="BH10" s="26"/>
    </row>
    <row r="11" spans="1:1046" ht="15" x14ac:dyDescent="0.2">
      <c r="A11" s="69">
        <v>6</v>
      </c>
      <c r="B11" s="4" t="s">
        <v>8</v>
      </c>
      <c r="C11" s="1">
        <v>1.492</v>
      </c>
      <c r="D11" s="1">
        <v>1.492</v>
      </c>
      <c r="E11" s="1">
        <v>1.492</v>
      </c>
      <c r="F11" s="32">
        <f t="shared" si="0"/>
        <v>0.9</v>
      </c>
      <c r="G11" s="32">
        <f t="shared" si="1"/>
        <v>0.9</v>
      </c>
      <c r="H11" s="32">
        <f t="shared" si="1"/>
        <v>0.87</v>
      </c>
      <c r="I11" s="20">
        <v>0.1</v>
      </c>
      <c r="J11" s="20">
        <v>0.1</v>
      </c>
      <c r="K11" s="20">
        <v>0.13</v>
      </c>
      <c r="L11" s="12">
        <v>3</v>
      </c>
      <c r="M11" s="34">
        <f t="shared" si="2"/>
        <v>0.95590079318791554</v>
      </c>
      <c r="N11" s="11">
        <f t="shared" si="3"/>
        <v>5641774</v>
      </c>
      <c r="O11" s="34">
        <f t="shared" si="4"/>
        <v>4.409920681208445E-2</v>
      </c>
      <c r="P11" s="40">
        <f t="shared" si="5"/>
        <v>260276</v>
      </c>
      <c r="Q11" s="40">
        <f t="shared" si="6"/>
        <v>5902050</v>
      </c>
      <c r="R11" s="11">
        <f t="shared" si="7"/>
        <v>655800</v>
      </c>
      <c r="S11" s="35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4">
        <f t="shared" si="14"/>
        <v>0.96007585770091119</v>
      </c>
      <c r="AB11" s="11">
        <f t="shared" si="15"/>
        <v>5659813</v>
      </c>
      <c r="AC11" s="34">
        <f t="shared" si="16"/>
        <v>3.9924142299088757E-2</v>
      </c>
      <c r="AD11" s="11">
        <f>ROUND($AB$26*(($Z11*$G11)/SUMPRODUCT($Z$7:$Z$23,$G$7:$G$23))*AC11,0)</f>
        <v>235360</v>
      </c>
      <c r="AE11" s="40">
        <f t="shared" si="17"/>
        <v>5895173</v>
      </c>
      <c r="AF11" s="11">
        <f t="shared" si="9"/>
        <v>655100</v>
      </c>
      <c r="AG11" s="35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4">
        <f t="shared" si="22"/>
        <v>0.32999311079100646</v>
      </c>
      <c r="AP11" s="11">
        <f>ROUND($AP$26*(($AN11*$H11)/SUMPRODUCT($AN$6:$AN$23,$H$6:$H$23))*AO11,0)-1</f>
        <v>110192</v>
      </c>
      <c r="AQ11" s="34">
        <f t="shared" si="23"/>
        <v>0.67000688920899354</v>
      </c>
      <c r="AR11" s="40">
        <f>ROUND($AP$26*(($AN11*$H11)/SUMPRODUCT($AN$6:$AN$23,$H$6:$H$23))*AQ11,0)+1</f>
        <v>223733</v>
      </c>
      <c r="AS11" s="40">
        <f t="shared" si="24"/>
        <v>333925</v>
      </c>
      <c r="AT11" s="11">
        <f t="shared" si="10"/>
        <v>49900</v>
      </c>
      <c r="AU11" s="35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39"/>
      <c r="BB11" s="43">
        <f>ROUNDDOWN(Q11/1000,1)</f>
        <v>5902</v>
      </c>
      <c r="BC11" s="44">
        <f>ROUNDDOWN(AE11/1000,1)</f>
        <v>5895.1</v>
      </c>
      <c r="BD11" s="44">
        <f t="shared" si="11"/>
        <v>333.9</v>
      </c>
      <c r="BF11" s="26"/>
      <c r="BG11" s="26"/>
      <c r="BH11" s="26"/>
    </row>
    <row r="12" spans="1:1046" ht="15" x14ac:dyDescent="0.2">
      <c r="A12" s="69">
        <v>7</v>
      </c>
      <c r="B12" s="4" t="s">
        <v>9</v>
      </c>
      <c r="C12" s="1">
        <v>1.492</v>
      </c>
      <c r="D12" s="1">
        <v>1.492</v>
      </c>
      <c r="E12" s="1">
        <v>1.492</v>
      </c>
      <c r="F12" s="32">
        <f t="shared" si="0"/>
        <v>0.88</v>
      </c>
      <c r="G12" s="32">
        <f t="shared" si="1"/>
        <v>0.88</v>
      </c>
      <c r="H12" s="32">
        <f t="shared" si="1"/>
        <v>0.89</v>
      </c>
      <c r="I12" s="20">
        <v>0.12</v>
      </c>
      <c r="J12" s="20">
        <v>0.12</v>
      </c>
      <c r="K12" s="20">
        <v>0.11</v>
      </c>
      <c r="L12" s="12"/>
      <c r="M12" s="34">
        <f t="shared" si="2"/>
        <v>0.95590079318791554</v>
      </c>
      <c r="N12" s="11">
        <f t="shared" si="3"/>
        <v>0</v>
      </c>
      <c r="O12" s="34">
        <f t="shared" si="4"/>
        <v>4.409920681208445E-2</v>
      </c>
      <c r="P12" s="40">
        <f t="shared" si="5"/>
        <v>0</v>
      </c>
      <c r="Q12" s="40">
        <f t="shared" si="6"/>
        <v>0</v>
      </c>
      <c r="R12" s="11">
        <f t="shared" si="7"/>
        <v>0</v>
      </c>
      <c r="S12" s="35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4">
        <f t="shared" si="14"/>
        <v>0.96007585770091119</v>
      </c>
      <c r="AB12" s="11">
        <f t="shared" si="15"/>
        <v>5534039</v>
      </c>
      <c r="AC12" s="34">
        <f t="shared" si="16"/>
        <v>3.9924142299088757E-2</v>
      </c>
      <c r="AD12" s="11">
        <f>ROUND($AB$26*(($Z12*$G12)/SUMPRODUCT($Z$7:$Z$23,$G$7:$G$23))*AC12,0)+1</f>
        <v>230130</v>
      </c>
      <c r="AE12" s="40">
        <f t="shared" si="17"/>
        <v>5764169</v>
      </c>
      <c r="AF12" s="11">
        <f t="shared" si="9"/>
        <v>786100</v>
      </c>
      <c r="AG12" s="35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4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4">
        <f t="shared" si="23"/>
        <v>0.67000688920899354</v>
      </c>
      <c r="AR12" s="40">
        <f t="shared" ref="AR12:AR23" si="31">ROUND($AP$26*(($AN12*$H12)/SUMPRODUCT($AN$6:$AN$23,$H$6:$H$23))*AQ12,0)</f>
        <v>228875</v>
      </c>
      <c r="AS12" s="40">
        <f t="shared" si="24"/>
        <v>341601</v>
      </c>
      <c r="AT12" s="11">
        <f t="shared" si="10"/>
        <v>42300</v>
      </c>
      <c r="AU12" s="35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39"/>
      <c r="BB12" s="43">
        <f t="shared" ref="BB12:BB18" si="32">ROUND(Q12/1000,1)</f>
        <v>0</v>
      </c>
      <c r="BC12" s="44">
        <f>ROUNDDOWN(AE12/1000,1)</f>
        <v>5764.1</v>
      </c>
      <c r="BD12" s="44">
        <f t="shared" si="11"/>
        <v>341.6</v>
      </c>
      <c r="BF12" s="26"/>
      <c r="BG12" s="26"/>
      <c r="BH12" s="26"/>
    </row>
    <row r="13" spans="1:1046" ht="15" x14ac:dyDescent="0.2">
      <c r="A13" s="69">
        <v>8</v>
      </c>
      <c r="B13" s="4" t="s">
        <v>10</v>
      </c>
      <c r="C13" s="1">
        <v>1.492</v>
      </c>
      <c r="D13" s="1">
        <v>1.492</v>
      </c>
      <c r="E13" s="1">
        <v>1.492</v>
      </c>
      <c r="F13" s="32">
        <f t="shared" si="0"/>
        <v>0.87</v>
      </c>
      <c r="G13" s="32">
        <f t="shared" si="1"/>
        <v>0.87</v>
      </c>
      <c r="H13" s="32">
        <f t="shared" si="1"/>
        <v>0.89</v>
      </c>
      <c r="I13" s="20">
        <v>0.13</v>
      </c>
      <c r="J13" s="20">
        <v>0.13</v>
      </c>
      <c r="K13" s="20">
        <v>0.11</v>
      </c>
      <c r="L13" s="12"/>
      <c r="M13" s="34">
        <f t="shared" si="2"/>
        <v>0.95590079318791554</v>
      </c>
      <c r="N13" s="11">
        <f t="shared" si="3"/>
        <v>0</v>
      </c>
      <c r="O13" s="34">
        <f t="shared" si="4"/>
        <v>4.409920681208445E-2</v>
      </c>
      <c r="P13" s="40">
        <f t="shared" si="5"/>
        <v>0</v>
      </c>
      <c r="Q13" s="40">
        <f t="shared" si="6"/>
        <v>0</v>
      </c>
      <c r="R13" s="11">
        <f t="shared" si="7"/>
        <v>0</v>
      </c>
      <c r="S13" s="35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4">
        <f t="shared" si="14"/>
        <v>0.96007585770091119</v>
      </c>
      <c r="AB13" s="11">
        <f t="shared" si="15"/>
        <v>0</v>
      </c>
      <c r="AC13" s="34">
        <f t="shared" si="16"/>
        <v>3.9924142299088757E-2</v>
      </c>
      <c r="AD13" s="11">
        <f t="shared" ref="AD13:AD23" si="33">ROUND($AB$26*(($Z13*$G13)/SUMPRODUCT($Z$7:$Z$23,$G$7:$G$23))*AC13,0)</f>
        <v>0</v>
      </c>
      <c r="AE13" s="40">
        <f t="shared" si="17"/>
        <v>0</v>
      </c>
      <c r="AF13" s="11">
        <f t="shared" si="9"/>
        <v>0</v>
      </c>
      <c r="AG13" s="35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4">
        <f t="shared" si="22"/>
        <v>0.32999311079100646</v>
      </c>
      <c r="AP13" s="11">
        <f t="shared" si="30"/>
        <v>0</v>
      </c>
      <c r="AQ13" s="34">
        <f t="shared" si="23"/>
        <v>0.67000688920899354</v>
      </c>
      <c r="AR13" s="40">
        <f t="shared" si="31"/>
        <v>0</v>
      </c>
      <c r="AS13" s="40">
        <f t="shared" si="24"/>
        <v>0</v>
      </c>
      <c r="AT13" s="11">
        <f t="shared" si="10"/>
        <v>0</v>
      </c>
      <c r="AU13" s="35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39"/>
      <c r="BB13" s="43">
        <f t="shared" si="32"/>
        <v>0</v>
      </c>
      <c r="BC13" s="44">
        <f t="shared" ref="BC13:BC23" si="34">ROUND(AE13/1000,1)</f>
        <v>0</v>
      </c>
      <c r="BD13" s="44">
        <f t="shared" si="11"/>
        <v>0</v>
      </c>
      <c r="BF13" s="26"/>
      <c r="BG13" s="26"/>
      <c r="BH13" s="26"/>
    </row>
    <row r="14" spans="1:1046" ht="15" x14ac:dyDescent="0.2">
      <c r="A14" s="69">
        <v>9</v>
      </c>
      <c r="B14" s="4" t="s">
        <v>11</v>
      </c>
      <c r="C14" s="1">
        <v>1.492</v>
      </c>
      <c r="D14" s="1">
        <v>1.492</v>
      </c>
      <c r="E14" s="1">
        <v>1.492</v>
      </c>
      <c r="F14" s="32">
        <f t="shared" si="0"/>
        <v>0.9</v>
      </c>
      <c r="G14" s="32">
        <f t="shared" si="1"/>
        <v>0.9</v>
      </c>
      <c r="H14" s="32">
        <f t="shared" si="1"/>
        <v>0.9</v>
      </c>
      <c r="I14" s="20">
        <v>0.1</v>
      </c>
      <c r="J14" s="20">
        <v>0.1</v>
      </c>
      <c r="K14" s="20">
        <v>0.1</v>
      </c>
      <c r="L14" s="12"/>
      <c r="M14" s="34">
        <f t="shared" si="2"/>
        <v>0.95590079318791554</v>
      </c>
      <c r="N14" s="11">
        <f t="shared" si="3"/>
        <v>0</v>
      </c>
      <c r="O14" s="34">
        <f t="shared" si="4"/>
        <v>4.409920681208445E-2</v>
      </c>
      <c r="P14" s="40">
        <f t="shared" si="5"/>
        <v>0</v>
      </c>
      <c r="Q14" s="40">
        <f t="shared" si="6"/>
        <v>0</v>
      </c>
      <c r="R14" s="11">
        <f t="shared" si="7"/>
        <v>0</v>
      </c>
      <c r="S14" s="35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4">
        <f t="shared" si="14"/>
        <v>0.96007585770091119</v>
      </c>
      <c r="AB14" s="11">
        <f t="shared" si="15"/>
        <v>1886604</v>
      </c>
      <c r="AC14" s="34">
        <f t="shared" si="16"/>
        <v>3.9924142299088757E-2</v>
      </c>
      <c r="AD14" s="11">
        <f t="shared" si="33"/>
        <v>78453</v>
      </c>
      <c r="AE14" s="40">
        <f t="shared" si="17"/>
        <v>1965057</v>
      </c>
      <c r="AF14" s="11">
        <f t="shared" si="9"/>
        <v>218400</v>
      </c>
      <c r="AG14" s="35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4">
        <f t="shared" si="22"/>
        <v>0.32999311079100646</v>
      </c>
      <c r="AP14" s="11">
        <f t="shared" si="30"/>
        <v>37998</v>
      </c>
      <c r="AQ14" s="34">
        <f t="shared" si="23"/>
        <v>0.67000688920899354</v>
      </c>
      <c r="AR14" s="40">
        <f t="shared" si="31"/>
        <v>77149</v>
      </c>
      <c r="AS14" s="40">
        <f t="shared" si="24"/>
        <v>115147</v>
      </c>
      <c r="AT14" s="11">
        <f t="shared" si="10"/>
        <v>12800</v>
      </c>
      <c r="AU14" s="35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39"/>
      <c r="BB14" s="43">
        <f t="shared" si="32"/>
        <v>0</v>
      </c>
      <c r="BC14" s="44">
        <f t="shared" si="34"/>
        <v>1965.1</v>
      </c>
      <c r="BD14" s="44">
        <f t="shared" si="11"/>
        <v>115.1</v>
      </c>
      <c r="BF14" s="26"/>
      <c r="BG14" s="26"/>
      <c r="BH14" s="26"/>
    </row>
    <row r="15" spans="1:1046" ht="15" x14ac:dyDescent="0.2">
      <c r="A15" s="69">
        <v>10</v>
      </c>
      <c r="B15" s="4" t="s">
        <v>12</v>
      </c>
      <c r="C15" s="1">
        <v>1.492</v>
      </c>
      <c r="D15" s="1">
        <v>1.492</v>
      </c>
      <c r="E15" s="1">
        <v>1.492</v>
      </c>
      <c r="F15" s="32">
        <f t="shared" si="0"/>
        <v>0.9</v>
      </c>
      <c r="G15" s="32">
        <f t="shared" si="1"/>
        <v>0.9</v>
      </c>
      <c r="H15" s="32">
        <f t="shared" si="1"/>
        <v>0.9</v>
      </c>
      <c r="I15" s="20">
        <v>0.1</v>
      </c>
      <c r="J15" s="20">
        <v>0.1</v>
      </c>
      <c r="K15" s="20">
        <v>0.1</v>
      </c>
      <c r="L15" s="12">
        <v>1</v>
      </c>
      <c r="M15" s="34">
        <f t="shared" si="2"/>
        <v>0.95590079318791554</v>
      </c>
      <c r="N15" s="11">
        <f t="shared" si="3"/>
        <v>1880591</v>
      </c>
      <c r="O15" s="34">
        <f t="shared" si="4"/>
        <v>4.409920681208445E-2</v>
      </c>
      <c r="P15" s="40">
        <f t="shared" si="5"/>
        <v>86759</v>
      </c>
      <c r="Q15" s="40">
        <f t="shared" si="6"/>
        <v>1967350</v>
      </c>
      <c r="R15" s="11">
        <f t="shared" si="7"/>
        <v>218600</v>
      </c>
      <c r="S15" s="35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4">
        <f t="shared" si="14"/>
        <v>0.96007585770091119</v>
      </c>
      <c r="AB15" s="11">
        <f t="shared" si="15"/>
        <v>3773209</v>
      </c>
      <c r="AC15" s="34">
        <f t="shared" si="16"/>
        <v>3.9924142299088757E-2</v>
      </c>
      <c r="AD15" s="11">
        <f t="shared" si="33"/>
        <v>156906</v>
      </c>
      <c r="AE15" s="40">
        <f t="shared" si="17"/>
        <v>3930115</v>
      </c>
      <c r="AF15" s="11">
        <f t="shared" si="9"/>
        <v>436700</v>
      </c>
      <c r="AG15" s="35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4">
        <f t="shared" si="22"/>
        <v>0.32999311079100646</v>
      </c>
      <c r="AP15" s="11">
        <f t="shared" si="30"/>
        <v>75995</v>
      </c>
      <c r="AQ15" s="34">
        <f t="shared" si="23"/>
        <v>0.67000688920899354</v>
      </c>
      <c r="AR15" s="40">
        <f t="shared" si="31"/>
        <v>154298</v>
      </c>
      <c r="AS15" s="40">
        <f t="shared" si="24"/>
        <v>230293</v>
      </c>
      <c r="AT15" s="11">
        <f t="shared" si="10"/>
        <v>25600</v>
      </c>
      <c r="AU15" s="35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39"/>
      <c r="BB15" s="43">
        <f t="shared" si="32"/>
        <v>1967.4</v>
      </c>
      <c r="BC15" s="44">
        <f t="shared" si="34"/>
        <v>3930.1</v>
      </c>
      <c r="BD15" s="44">
        <f t="shared" si="11"/>
        <v>230.3</v>
      </c>
      <c r="BF15" s="26"/>
      <c r="BG15" s="26"/>
      <c r="BH15" s="26"/>
    </row>
    <row r="16" spans="1:1046" ht="15" x14ac:dyDescent="0.2">
      <c r="A16" s="69">
        <v>11</v>
      </c>
      <c r="B16" s="4" t="s">
        <v>13</v>
      </c>
      <c r="C16" s="1">
        <v>1.492</v>
      </c>
      <c r="D16" s="1">
        <v>1.492</v>
      </c>
      <c r="E16" s="1">
        <v>1.492</v>
      </c>
      <c r="F16" s="32">
        <f t="shared" si="0"/>
        <v>0.89</v>
      </c>
      <c r="G16" s="32">
        <f t="shared" si="1"/>
        <v>0.89</v>
      </c>
      <c r="H16" s="32">
        <f t="shared" si="1"/>
        <v>0.89</v>
      </c>
      <c r="I16" s="20">
        <v>0.11</v>
      </c>
      <c r="J16" s="20">
        <v>0.11</v>
      </c>
      <c r="K16" s="20">
        <v>0.11</v>
      </c>
      <c r="L16" s="12"/>
      <c r="M16" s="34">
        <f t="shared" si="2"/>
        <v>0.95590079318791554</v>
      </c>
      <c r="N16" s="11">
        <f t="shared" si="3"/>
        <v>0</v>
      </c>
      <c r="O16" s="34">
        <f t="shared" si="4"/>
        <v>4.409920681208445E-2</v>
      </c>
      <c r="P16" s="40">
        <f t="shared" si="5"/>
        <v>0</v>
      </c>
      <c r="Q16" s="40">
        <f t="shared" si="6"/>
        <v>0</v>
      </c>
      <c r="R16" s="11">
        <f t="shared" si="7"/>
        <v>0</v>
      </c>
      <c r="S16" s="35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4">
        <f t="shared" si="14"/>
        <v>0.96007585770091119</v>
      </c>
      <c r="AB16" s="11">
        <f t="shared" si="15"/>
        <v>0</v>
      </c>
      <c r="AC16" s="34">
        <f t="shared" si="16"/>
        <v>3.9924142299088757E-2</v>
      </c>
      <c r="AD16" s="11">
        <f t="shared" si="33"/>
        <v>0</v>
      </c>
      <c r="AE16" s="40">
        <f t="shared" si="17"/>
        <v>0</v>
      </c>
      <c r="AF16" s="11">
        <f t="shared" si="9"/>
        <v>0</v>
      </c>
      <c r="AG16" s="35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4">
        <f t="shared" si="22"/>
        <v>0.32999311079100646</v>
      </c>
      <c r="AP16" s="11">
        <f t="shared" si="30"/>
        <v>0</v>
      </c>
      <c r="AQ16" s="34">
        <f t="shared" si="23"/>
        <v>0.67000688920899354</v>
      </c>
      <c r="AR16" s="40">
        <f t="shared" si="31"/>
        <v>0</v>
      </c>
      <c r="AS16" s="40">
        <f t="shared" si="24"/>
        <v>0</v>
      </c>
      <c r="AT16" s="11">
        <f t="shared" si="10"/>
        <v>0</v>
      </c>
      <c r="AU16" s="35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39"/>
      <c r="BB16" s="43">
        <f t="shared" si="32"/>
        <v>0</v>
      </c>
      <c r="BC16" s="44">
        <f t="shared" si="34"/>
        <v>0</v>
      </c>
      <c r="BD16" s="44">
        <f t="shared" si="11"/>
        <v>0</v>
      </c>
      <c r="BF16" s="26"/>
      <c r="BG16" s="26"/>
      <c r="BH16" s="26"/>
    </row>
    <row r="17" spans="1:1046" ht="15" x14ac:dyDescent="0.2">
      <c r="A17" s="69">
        <v>12</v>
      </c>
      <c r="B17" s="4" t="s">
        <v>14</v>
      </c>
      <c r="C17" s="1">
        <v>1.492</v>
      </c>
      <c r="D17" s="1">
        <v>1.492</v>
      </c>
      <c r="E17" s="1">
        <v>1.492</v>
      </c>
      <c r="F17" s="32">
        <f t="shared" si="0"/>
        <v>0.91</v>
      </c>
      <c r="G17" s="32">
        <f t="shared" si="1"/>
        <v>0.91</v>
      </c>
      <c r="H17" s="32">
        <f t="shared" si="1"/>
        <v>0.9</v>
      </c>
      <c r="I17" s="20">
        <v>0.09</v>
      </c>
      <c r="J17" s="20">
        <v>0.09</v>
      </c>
      <c r="K17" s="20">
        <v>0.1</v>
      </c>
      <c r="L17" s="12">
        <v>1</v>
      </c>
      <c r="M17" s="34">
        <f t="shared" si="2"/>
        <v>0.95590079318791554</v>
      </c>
      <c r="N17" s="11">
        <f>ROUND($N$26*(($L17*$F17)/SUMPRODUCT($F$6:$F$23,$L$6:$L$23))*M17,0)</f>
        <v>1901487</v>
      </c>
      <c r="O17" s="34">
        <f>$N$28/$N$26</f>
        <v>4.409920681208445E-2</v>
      </c>
      <c r="P17" s="40">
        <f>ROUND($N$26*(($L17*$F17)/SUMPRODUCT($F$6:$F$23,$L$6:$L$23))*O17,0)-3</f>
        <v>87720</v>
      </c>
      <c r="Q17" s="40">
        <f t="shared" si="6"/>
        <v>1989207</v>
      </c>
      <c r="R17" s="11">
        <f t="shared" si="7"/>
        <v>196800</v>
      </c>
      <c r="S17" s="35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4">
        <f t="shared" si="14"/>
        <v>0.96007585770091119</v>
      </c>
      <c r="AB17" s="11">
        <f t="shared" si="15"/>
        <v>1907567</v>
      </c>
      <c r="AC17" s="34">
        <f t="shared" si="16"/>
        <v>3.9924142299088757E-2</v>
      </c>
      <c r="AD17" s="11">
        <f t="shared" si="33"/>
        <v>79325</v>
      </c>
      <c r="AE17" s="40">
        <f t="shared" si="17"/>
        <v>1986892</v>
      </c>
      <c r="AF17" s="11">
        <f t="shared" si="9"/>
        <v>196600</v>
      </c>
      <c r="AG17" s="35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4">
        <f t="shared" si="22"/>
        <v>0.32999311079100646</v>
      </c>
      <c r="AP17" s="11">
        <f t="shared" si="30"/>
        <v>37998</v>
      </c>
      <c r="AQ17" s="34">
        <f t="shared" si="23"/>
        <v>0.67000688920899354</v>
      </c>
      <c r="AR17" s="40">
        <f t="shared" si="31"/>
        <v>77149</v>
      </c>
      <c r="AS17" s="40">
        <f t="shared" si="24"/>
        <v>115147</v>
      </c>
      <c r="AT17" s="11">
        <f t="shared" si="10"/>
        <v>12800</v>
      </c>
      <c r="AU17" s="35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39"/>
      <c r="BB17" s="43">
        <f t="shared" si="32"/>
        <v>1989.2</v>
      </c>
      <c r="BC17" s="44">
        <f t="shared" si="34"/>
        <v>1986.9</v>
      </c>
      <c r="BD17" s="44">
        <f>ROUNDUP(AS17/1000,1)</f>
        <v>115.19999999999999</v>
      </c>
      <c r="BF17" s="26"/>
      <c r="BG17" s="26"/>
      <c r="BH17" s="26"/>
    </row>
    <row r="18" spans="1:1046" ht="15" x14ac:dyDescent="0.2">
      <c r="A18" s="69">
        <v>13</v>
      </c>
      <c r="B18" s="4" t="s">
        <v>15</v>
      </c>
      <c r="C18" s="1">
        <v>1.492</v>
      </c>
      <c r="D18" s="1">
        <v>1.492</v>
      </c>
      <c r="E18" s="1">
        <v>1.492</v>
      </c>
      <c r="F18" s="32">
        <f t="shared" si="0"/>
        <v>0.9</v>
      </c>
      <c r="G18" s="32">
        <f t="shared" si="1"/>
        <v>0.9</v>
      </c>
      <c r="H18" s="32">
        <f t="shared" si="1"/>
        <v>0.9</v>
      </c>
      <c r="I18" s="20">
        <v>0.1</v>
      </c>
      <c r="J18" s="20">
        <v>0.1</v>
      </c>
      <c r="K18" s="20">
        <v>0.1</v>
      </c>
      <c r="L18" s="12"/>
      <c r="M18" s="34">
        <f t="shared" si="2"/>
        <v>0.95590079318791554</v>
      </c>
      <c r="N18" s="11">
        <f t="shared" si="3"/>
        <v>0</v>
      </c>
      <c r="O18" s="34">
        <f t="shared" ref="O18:O23" si="35">$N$28/$N$26</f>
        <v>4.409920681208445E-2</v>
      </c>
      <c r="P18" s="40">
        <f t="shared" ref="P18:P23" si="36">ROUND($N$26*(($L18*$F18)/SUMPRODUCT($F$6:$F$23,$L$6:$L$23))*O18,0)</f>
        <v>0</v>
      </c>
      <c r="Q18" s="40">
        <f t="shared" si="6"/>
        <v>0</v>
      </c>
      <c r="R18" s="11">
        <f t="shared" si="7"/>
        <v>0</v>
      </c>
      <c r="S18" s="35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4">
        <f t="shared" si="14"/>
        <v>0.96007585770091119</v>
      </c>
      <c r="AB18" s="11">
        <f t="shared" si="15"/>
        <v>1886604</v>
      </c>
      <c r="AC18" s="34">
        <f t="shared" si="16"/>
        <v>3.9924142299088757E-2</v>
      </c>
      <c r="AD18" s="11">
        <f t="shared" si="33"/>
        <v>78453</v>
      </c>
      <c r="AE18" s="40">
        <f t="shared" si="17"/>
        <v>1965057</v>
      </c>
      <c r="AF18" s="11">
        <f t="shared" si="9"/>
        <v>218400</v>
      </c>
      <c r="AG18" s="35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4">
        <f t="shared" si="22"/>
        <v>0.32999311079100646</v>
      </c>
      <c r="AP18" s="11">
        <f t="shared" si="30"/>
        <v>37998</v>
      </c>
      <c r="AQ18" s="34">
        <f t="shared" si="23"/>
        <v>0.67000688920899354</v>
      </c>
      <c r="AR18" s="40">
        <f t="shared" si="31"/>
        <v>77149</v>
      </c>
      <c r="AS18" s="40">
        <f t="shared" si="24"/>
        <v>115147</v>
      </c>
      <c r="AT18" s="11">
        <f t="shared" si="10"/>
        <v>12800</v>
      </c>
      <c r="AU18" s="35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39"/>
      <c r="BB18" s="43">
        <f t="shared" si="32"/>
        <v>0</v>
      </c>
      <c r="BC18" s="44">
        <f t="shared" si="34"/>
        <v>1965.1</v>
      </c>
      <c r="BD18" s="44">
        <f>ROUNDUP(AS18/1000,1)</f>
        <v>115.19999999999999</v>
      </c>
      <c r="BF18" s="26"/>
      <c r="BG18" s="26"/>
      <c r="BH18" s="26"/>
    </row>
    <row r="19" spans="1:1046" ht="15" x14ac:dyDescent="0.2">
      <c r="A19" s="69">
        <v>14</v>
      </c>
      <c r="B19" s="4" t="s">
        <v>16</v>
      </c>
      <c r="C19" s="1">
        <v>1.492</v>
      </c>
      <c r="D19" s="1">
        <v>1.492</v>
      </c>
      <c r="E19" s="1">
        <v>1.492</v>
      </c>
      <c r="F19" s="32">
        <f t="shared" si="0"/>
        <v>0.9</v>
      </c>
      <c r="G19" s="32">
        <f t="shared" si="1"/>
        <v>0.9</v>
      </c>
      <c r="H19" s="32">
        <f t="shared" si="1"/>
        <v>0.9</v>
      </c>
      <c r="I19" s="20">
        <v>0.1</v>
      </c>
      <c r="J19" s="20">
        <v>0.1</v>
      </c>
      <c r="K19" s="20">
        <v>0.1</v>
      </c>
      <c r="L19" s="12">
        <v>3</v>
      </c>
      <c r="M19" s="34">
        <f t="shared" si="2"/>
        <v>0.95590079318791554</v>
      </c>
      <c r="N19" s="11">
        <f t="shared" si="3"/>
        <v>5641774</v>
      </c>
      <c r="O19" s="34">
        <f t="shared" si="35"/>
        <v>4.409920681208445E-2</v>
      </c>
      <c r="P19" s="40">
        <f t="shared" si="36"/>
        <v>260276</v>
      </c>
      <c r="Q19" s="40">
        <f t="shared" si="6"/>
        <v>5902050</v>
      </c>
      <c r="R19" s="11">
        <f t="shared" si="7"/>
        <v>655800</v>
      </c>
      <c r="S19" s="35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4">
        <f t="shared" si="14"/>
        <v>0.96007585770091119</v>
      </c>
      <c r="AB19" s="11">
        <f t="shared" si="15"/>
        <v>1886604</v>
      </c>
      <c r="AC19" s="34">
        <f t="shared" si="16"/>
        <v>3.9924142299088757E-2</v>
      </c>
      <c r="AD19" s="11">
        <f t="shared" si="33"/>
        <v>78453</v>
      </c>
      <c r="AE19" s="40">
        <f t="shared" si="17"/>
        <v>1965057</v>
      </c>
      <c r="AF19" s="11">
        <f t="shared" si="9"/>
        <v>218400</v>
      </c>
      <c r="AG19" s="35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4">
        <f t="shared" si="22"/>
        <v>0.32999311079100646</v>
      </c>
      <c r="AP19" s="11">
        <f t="shared" si="30"/>
        <v>37998</v>
      </c>
      <c r="AQ19" s="34">
        <f t="shared" si="23"/>
        <v>0.67000688920899354</v>
      </c>
      <c r="AR19" s="40">
        <f t="shared" si="31"/>
        <v>77149</v>
      </c>
      <c r="AS19" s="40">
        <f t="shared" si="24"/>
        <v>115147</v>
      </c>
      <c r="AT19" s="11">
        <f t="shared" si="10"/>
        <v>12800</v>
      </c>
      <c r="AU19" s="35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39"/>
      <c r="BB19" s="43">
        <f>ROUNDDOWN(Q19/1000,1)</f>
        <v>5902</v>
      </c>
      <c r="BC19" s="44">
        <f t="shared" si="34"/>
        <v>1965.1</v>
      </c>
      <c r="BD19" s="44">
        <f>ROUND(AS19/1000,1)</f>
        <v>115.1</v>
      </c>
      <c r="BF19" s="26"/>
      <c r="BG19" s="26"/>
      <c r="BH19" s="26"/>
    </row>
    <row r="20" spans="1:1046" ht="15" x14ac:dyDescent="0.2">
      <c r="A20" s="69">
        <v>15</v>
      </c>
      <c r="B20" s="4" t="s">
        <v>17</v>
      </c>
      <c r="C20" s="1">
        <v>1.492</v>
      </c>
      <c r="D20" s="1">
        <v>1.492</v>
      </c>
      <c r="E20" s="1">
        <v>1.492</v>
      </c>
      <c r="F20" s="32">
        <f t="shared" si="0"/>
        <v>0.88</v>
      </c>
      <c r="G20" s="32">
        <f t="shared" si="1"/>
        <v>0.88</v>
      </c>
      <c r="H20" s="32">
        <f t="shared" si="1"/>
        <v>0.9</v>
      </c>
      <c r="I20" s="20">
        <v>0.12</v>
      </c>
      <c r="J20" s="20">
        <v>0.12</v>
      </c>
      <c r="K20" s="20">
        <v>0.1</v>
      </c>
      <c r="L20" s="12"/>
      <c r="M20" s="34">
        <f t="shared" si="2"/>
        <v>0.95590079318791554</v>
      </c>
      <c r="N20" s="11">
        <f t="shared" si="3"/>
        <v>0</v>
      </c>
      <c r="O20" s="34">
        <f t="shared" si="35"/>
        <v>4.409920681208445E-2</v>
      </c>
      <c r="P20" s="40">
        <f t="shared" si="36"/>
        <v>0</v>
      </c>
      <c r="Q20" s="40">
        <f t="shared" si="6"/>
        <v>0</v>
      </c>
      <c r="R20" s="11">
        <f t="shared" si="7"/>
        <v>0</v>
      </c>
      <c r="S20" s="35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4">
        <f t="shared" si="14"/>
        <v>0.96007585770091119</v>
      </c>
      <c r="AB20" s="11">
        <f t="shared" si="15"/>
        <v>3689360</v>
      </c>
      <c r="AC20" s="34">
        <f t="shared" si="16"/>
        <v>3.9924142299088757E-2</v>
      </c>
      <c r="AD20" s="11">
        <f t="shared" si="33"/>
        <v>153420</v>
      </c>
      <c r="AE20" s="40">
        <f t="shared" si="17"/>
        <v>3842780</v>
      </c>
      <c r="AF20" s="11">
        <f t="shared" si="9"/>
        <v>524100</v>
      </c>
      <c r="AG20" s="35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4">
        <f t="shared" si="22"/>
        <v>0.32999311079100646</v>
      </c>
      <c r="AP20" s="11">
        <f t="shared" si="30"/>
        <v>75995</v>
      </c>
      <c r="AQ20" s="34">
        <f t="shared" si="23"/>
        <v>0.67000688920899354</v>
      </c>
      <c r="AR20" s="40">
        <f t="shared" si="31"/>
        <v>154298</v>
      </c>
      <c r="AS20" s="40">
        <f t="shared" si="24"/>
        <v>230293</v>
      </c>
      <c r="AT20" s="11">
        <f t="shared" si="10"/>
        <v>25600</v>
      </c>
      <c r="AU20" s="35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39"/>
      <c r="BB20" s="43">
        <f>ROUND(Q20/1000,1)</f>
        <v>0</v>
      </c>
      <c r="BC20" s="44">
        <f t="shared" si="34"/>
        <v>3842.8</v>
      </c>
      <c r="BD20" s="44">
        <f>ROUND(AS20/1000,1)</f>
        <v>230.3</v>
      </c>
      <c r="BF20" s="26"/>
      <c r="BG20" s="26"/>
      <c r="BH20" s="26"/>
    </row>
    <row r="21" spans="1:1046" ht="15" x14ac:dyDescent="0.2">
      <c r="A21" s="69">
        <v>16</v>
      </c>
      <c r="B21" s="4" t="s">
        <v>18</v>
      </c>
      <c r="C21" s="1">
        <v>1.492</v>
      </c>
      <c r="D21" s="1">
        <v>1.492</v>
      </c>
      <c r="E21" s="1">
        <v>1.492</v>
      </c>
      <c r="F21" s="32">
        <f t="shared" si="0"/>
        <v>0.91</v>
      </c>
      <c r="G21" s="32">
        <f t="shared" si="1"/>
        <v>0.91</v>
      </c>
      <c r="H21" s="32">
        <f t="shared" si="1"/>
        <v>0.9</v>
      </c>
      <c r="I21" s="20">
        <v>0.09</v>
      </c>
      <c r="J21" s="20">
        <v>0.09</v>
      </c>
      <c r="K21" s="20">
        <v>0.1</v>
      </c>
      <c r="L21" s="12"/>
      <c r="M21" s="34">
        <f t="shared" si="2"/>
        <v>0.95590079318791554</v>
      </c>
      <c r="N21" s="11">
        <f t="shared" si="3"/>
        <v>0</v>
      </c>
      <c r="O21" s="34">
        <f t="shared" si="35"/>
        <v>4.409920681208445E-2</v>
      </c>
      <c r="P21" s="40">
        <f t="shared" si="36"/>
        <v>0</v>
      </c>
      <c r="Q21" s="40">
        <f t="shared" si="6"/>
        <v>0</v>
      </c>
      <c r="R21" s="11">
        <f t="shared" si="7"/>
        <v>0</v>
      </c>
      <c r="S21" s="35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4">
        <f t="shared" si="14"/>
        <v>0.96007585770091119</v>
      </c>
      <c r="AB21" s="11">
        <f t="shared" si="15"/>
        <v>0</v>
      </c>
      <c r="AC21" s="34">
        <f t="shared" si="16"/>
        <v>3.9924142299088757E-2</v>
      </c>
      <c r="AD21" s="11">
        <f t="shared" si="33"/>
        <v>0</v>
      </c>
      <c r="AE21" s="40">
        <f t="shared" si="17"/>
        <v>0</v>
      </c>
      <c r="AF21" s="11">
        <f t="shared" si="9"/>
        <v>0</v>
      </c>
      <c r="AG21" s="35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4">
        <f t="shared" si="22"/>
        <v>0.32999311079100646</v>
      </c>
      <c r="AP21" s="11">
        <f t="shared" si="30"/>
        <v>0</v>
      </c>
      <c r="AQ21" s="34">
        <f t="shared" si="23"/>
        <v>0.67000688920899354</v>
      </c>
      <c r="AR21" s="40">
        <f t="shared" si="31"/>
        <v>0</v>
      </c>
      <c r="AS21" s="40">
        <f t="shared" si="24"/>
        <v>0</v>
      </c>
      <c r="AT21" s="11">
        <f t="shared" si="10"/>
        <v>0</v>
      </c>
      <c r="AU21" s="35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39"/>
      <c r="BB21" s="43">
        <f>ROUND(Q21/1000,1)</f>
        <v>0</v>
      </c>
      <c r="BC21" s="44">
        <f t="shared" si="34"/>
        <v>0</v>
      </c>
      <c r="BD21" s="44">
        <f>ROUND(AS21/1000,1)</f>
        <v>0</v>
      </c>
      <c r="BF21" s="26"/>
      <c r="BG21" s="26"/>
      <c r="BH21" s="26"/>
    </row>
    <row r="22" spans="1:1046" ht="15" x14ac:dyDescent="0.2">
      <c r="A22" s="69">
        <v>17</v>
      </c>
      <c r="B22" s="4" t="s">
        <v>19</v>
      </c>
      <c r="C22" s="1">
        <v>1.492</v>
      </c>
      <c r="D22" s="1">
        <v>1.492</v>
      </c>
      <c r="E22" s="1">
        <v>1.492</v>
      </c>
      <c r="F22" s="32">
        <f t="shared" si="0"/>
        <v>0.9</v>
      </c>
      <c r="G22" s="32">
        <f>100%-J22</f>
        <v>0.9</v>
      </c>
      <c r="H22" s="32">
        <f>100%-K22</f>
        <v>0.9</v>
      </c>
      <c r="I22" s="20">
        <v>0.1</v>
      </c>
      <c r="J22" s="20">
        <v>0.1</v>
      </c>
      <c r="K22" s="20">
        <v>0.1</v>
      </c>
      <c r="L22" s="12">
        <v>1</v>
      </c>
      <c r="M22" s="34">
        <f t="shared" si="2"/>
        <v>0.95590079318791554</v>
      </c>
      <c r="N22" s="11">
        <f t="shared" si="3"/>
        <v>1880591</v>
      </c>
      <c r="O22" s="34">
        <f t="shared" si="35"/>
        <v>4.409920681208445E-2</v>
      </c>
      <c r="P22" s="40">
        <f t="shared" si="36"/>
        <v>86759</v>
      </c>
      <c r="Q22" s="40">
        <f t="shared" si="6"/>
        <v>1967350</v>
      </c>
      <c r="R22" s="11">
        <f t="shared" si="7"/>
        <v>218600</v>
      </c>
      <c r="S22" s="35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4">
        <f t="shared" si="14"/>
        <v>0.96007585770091119</v>
      </c>
      <c r="AB22" s="11">
        <f t="shared" si="15"/>
        <v>0</v>
      </c>
      <c r="AC22" s="34">
        <f t="shared" si="16"/>
        <v>3.9924142299088757E-2</v>
      </c>
      <c r="AD22" s="11">
        <f t="shared" si="33"/>
        <v>0</v>
      </c>
      <c r="AE22" s="40">
        <f t="shared" si="17"/>
        <v>0</v>
      </c>
      <c r="AF22" s="11">
        <f t="shared" si="9"/>
        <v>0</v>
      </c>
      <c r="AG22" s="35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4">
        <f t="shared" si="22"/>
        <v>0.32999311079100646</v>
      </c>
      <c r="AP22" s="11">
        <f t="shared" si="30"/>
        <v>0</v>
      </c>
      <c r="AQ22" s="34">
        <f t="shared" si="23"/>
        <v>0.67000688920899354</v>
      </c>
      <c r="AR22" s="40">
        <f t="shared" si="31"/>
        <v>0</v>
      </c>
      <c r="AS22" s="40">
        <f t="shared" si="24"/>
        <v>0</v>
      </c>
      <c r="AT22" s="11">
        <f t="shared" si="10"/>
        <v>0</v>
      </c>
      <c r="AU22" s="35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39"/>
      <c r="BB22" s="43">
        <f>ROUND(Q22/1000,1)</f>
        <v>1967.4</v>
      </c>
      <c r="BC22" s="44">
        <f t="shared" si="34"/>
        <v>0</v>
      </c>
      <c r="BD22" s="44">
        <f>ROUND(AS22/1000,1)</f>
        <v>0</v>
      </c>
      <c r="BF22" s="26"/>
      <c r="BG22" s="26"/>
      <c r="BH22" s="26"/>
    </row>
    <row r="23" spans="1:1046" ht="15" x14ac:dyDescent="0.2">
      <c r="A23" s="69">
        <v>18</v>
      </c>
      <c r="B23" s="4" t="s">
        <v>20</v>
      </c>
      <c r="C23" s="1">
        <v>2.113</v>
      </c>
      <c r="D23" s="1">
        <v>2.1240000000000001</v>
      </c>
      <c r="E23" s="1">
        <v>2.1240000000000001</v>
      </c>
      <c r="F23" s="32">
        <f t="shared" si="0"/>
        <v>0.75</v>
      </c>
      <c r="G23" s="32">
        <f>100%-J23</f>
        <v>0.75</v>
      </c>
      <c r="H23" s="32">
        <f>100%-K23</f>
        <v>0.77</v>
      </c>
      <c r="I23" s="20">
        <v>0.25</v>
      </c>
      <c r="J23" s="20">
        <v>0.25</v>
      </c>
      <c r="K23" s="20">
        <v>0.23</v>
      </c>
      <c r="L23" s="12"/>
      <c r="M23" s="34">
        <f t="shared" si="2"/>
        <v>0.95590079318791554</v>
      </c>
      <c r="N23" s="11">
        <f t="shared" si="3"/>
        <v>0</v>
      </c>
      <c r="O23" s="34">
        <f t="shared" si="35"/>
        <v>4.409920681208445E-2</v>
      </c>
      <c r="P23" s="40">
        <f t="shared" si="36"/>
        <v>0</v>
      </c>
      <c r="Q23" s="40">
        <f t="shared" si="6"/>
        <v>0</v>
      </c>
      <c r="R23" s="11">
        <f t="shared" si="7"/>
        <v>0</v>
      </c>
      <c r="S23" s="30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4">
        <f t="shared" si="14"/>
        <v>0.96007585770091119</v>
      </c>
      <c r="AB23" s="11">
        <f t="shared" si="15"/>
        <v>0</v>
      </c>
      <c r="AC23" s="34">
        <f t="shared" si="16"/>
        <v>3.9924142299088757E-2</v>
      </c>
      <c r="AD23" s="11">
        <f t="shared" si="33"/>
        <v>0</v>
      </c>
      <c r="AE23" s="40">
        <f t="shared" si="17"/>
        <v>0</v>
      </c>
      <c r="AF23" s="11">
        <f t="shared" si="9"/>
        <v>0</v>
      </c>
      <c r="AG23" s="35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4">
        <f t="shared" si="22"/>
        <v>0.32999311079100646</v>
      </c>
      <c r="AP23" s="11">
        <f t="shared" si="30"/>
        <v>0</v>
      </c>
      <c r="AQ23" s="34">
        <f t="shared" si="23"/>
        <v>0.67000688920899354</v>
      </c>
      <c r="AR23" s="40">
        <f t="shared" si="31"/>
        <v>0</v>
      </c>
      <c r="AS23" s="40">
        <f t="shared" si="24"/>
        <v>0</v>
      </c>
      <c r="AT23" s="11">
        <f t="shared" si="10"/>
        <v>0</v>
      </c>
      <c r="AU23" s="35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39"/>
      <c r="BB23" s="43">
        <f>ROUND(Q23/1000,1)</f>
        <v>0</v>
      </c>
      <c r="BC23" s="44">
        <f t="shared" si="34"/>
        <v>0</v>
      </c>
      <c r="BD23" s="44">
        <f>ROUND(AS23/1000,1)</f>
        <v>0</v>
      </c>
      <c r="BF23" s="26"/>
      <c r="BG23" s="26"/>
      <c r="BH23" s="26"/>
    </row>
    <row r="24" spans="1:1046" s="24" customFormat="1" ht="14.25" x14ac:dyDescent="0.2">
      <c r="A24" s="5"/>
      <c r="B24" s="5" t="s">
        <v>21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7"/>
      <c r="J24" s="17"/>
      <c r="K24" s="17"/>
      <c r="L24" s="13">
        <f>SUM(L6:L23)</f>
        <v>14</v>
      </c>
      <c r="M24" s="14"/>
      <c r="N24" s="14">
        <f>SUM(N6:N23)</f>
        <v>26223800</v>
      </c>
      <c r="O24" s="14"/>
      <c r="P24" s="22">
        <f t="shared" ref="P24:Z24" si="37">SUM(P6:P23)</f>
        <v>1209800</v>
      </c>
      <c r="Q24" s="22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62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1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62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1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62">
        <f>SUM(AY6:AY23)</f>
        <v>1069800</v>
      </c>
      <c r="AZ24" s="14">
        <f>SUM(AZ6:AZ23)</f>
        <v>526900</v>
      </c>
      <c r="BA24" s="66"/>
      <c r="BB24" s="45">
        <f>SUM(BB6:BB23)</f>
        <v>27433.600000000002</v>
      </c>
      <c r="BC24" s="45">
        <f>SUM(BC6:BC23)</f>
        <v>27314.3</v>
      </c>
      <c r="BD24" s="45">
        <f>SUM(BD6:BD23)</f>
        <v>1596.7</v>
      </c>
      <c r="BE24" s="23"/>
      <c r="BF24" s="27"/>
      <c r="BG24" s="27"/>
      <c r="BH24" s="27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  <c r="RK24" s="23"/>
      <c r="RL24" s="23"/>
      <c r="RM24" s="23"/>
      <c r="RN24" s="23"/>
      <c r="RO24" s="23"/>
      <c r="RP24" s="23"/>
      <c r="RQ24" s="23"/>
      <c r="RR24" s="23"/>
      <c r="RS24" s="23"/>
      <c r="RT24" s="23"/>
      <c r="RU24" s="23"/>
      <c r="RV24" s="23"/>
      <c r="RW24" s="23"/>
      <c r="RX24" s="23"/>
      <c r="RY24" s="23"/>
      <c r="RZ24" s="23"/>
      <c r="SA24" s="23"/>
      <c r="SB24" s="23"/>
      <c r="SC24" s="23"/>
      <c r="SD24" s="23"/>
      <c r="SE24" s="23"/>
      <c r="SF24" s="23"/>
      <c r="SG24" s="23"/>
      <c r="SH24" s="23"/>
      <c r="SI24" s="23"/>
      <c r="SJ24" s="23"/>
      <c r="SK24" s="23"/>
      <c r="SL24" s="23"/>
      <c r="SM24" s="23"/>
      <c r="SN24" s="23"/>
      <c r="SO24" s="23"/>
      <c r="SP24" s="23"/>
      <c r="SQ24" s="23"/>
      <c r="SR24" s="23"/>
      <c r="SS24" s="23"/>
      <c r="ST24" s="23"/>
      <c r="SU24" s="23"/>
      <c r="SV24" s="23"/>
      <c r="SW24" s="23"/>
      <c r="SX24" s="23"/>
      <c r="SY24" s="23"/>
      <c r="SZ24" s="23"/>
      <c r="TA24" s="23"/>
      <c r="TB24" s="23"/>
      <c r="TC24" s="23"/>
      <c r="TD24" s="23"/>
      <c r="TE24" s="23"/>
      <c r="TF24" s="23"/>
      <c r="TG24" s="23"/>
      <c r="TH24" s="23"/>
      <c r="TI24" s="23"/>
      <c r="TJ24" s="23"/>
      <c r="TK24" s="23"/>
      <c r="TL24" s="23"/>
      <c r="TM24" s="23"/>
      <c r="TN24" s="23"/>
      <c r="TO24" s="23"/>
      <c r="TP24" s="23"/>
      <c r="TQ24" s="23"/>
      <c r="TR24" s="23"/>
      <c r="TS24" s="23"/>
      <c r="TT24" s="23"/>
      <c r="TU24" s="23"/>
      <c r="TV24" s="23"/>
      <c r="TW24" s="23"/>
      <c r="TX24" s="23"/>
      <c r="TY24" s="23"/>
      <c r="TZ24" s="23"/>
      <c r="UA24" s="23"/>
      <c r="UB24" s="23"/>
      <c r="UC24" s="23"/>
      <c r="UD24" s="23"/>
      <c r="UE24" s="23"/>
      <c r="UF24" s="23"/>
      <c r="UG24" s="23"/>
      <c r="UH24" s="23"/>
      <c r="UI24" s="23"/>
      <c r="UJ24" s="23"/>
      <c r="UK24" s="23"/>
      <c r="UL24" s="23"/>
      <c r="UM24" s="23"/>
      <c r="UN24" s="23"/>
      <c r="UO24" s="23"/>
      <c r="UP24" s="23"/>
      <c r="UQ24" s="23"/>
      <c r="UR24" s="23"/>
      <c r="US24" s="23"/>
      <c r="UT24" s="23"/>
      <c r="UU24" s="23"/>
      <c r="UV24" s="23"/>
      <c r="UW24" s="23"/>
      <c r="UX24" s="23"/>
      <c r="UY24" s="23"/>
      <c r="UZ24" s="23"/>
      <c r="VA24" s="23"/>
      <c r="VB24" s="23"/>
      <c r="VC24" s="23"/>
      <c r="VD24" s="23"/>
      <c r="VE24" s="23"/>
      <c r="VF24" s="23"/>
      <c r="VG24" s="23"/>
      <c r="VH24" s="23"/>
      <c r="VI24" s="23"/>
      <c r="VJ24" s="23"/>
      <c r="VK24" s="23"/>
      <c r="VL24" s="23"/>
      <c r="VM24" s="23"/>
      <c r="VN24" s="23"/>
      <c r="VO24" s="23"/>
      <c r="VP24" s="23"/>
      <c r="VQ24" s="23"/>
      <c r="VR24" s="23"/>
      <c r="VS24" s="23"/>
      <c r="VT24" s="23"/>
      <c r="VU24" s="23"/>
      <c r="VV24" s="23"/>
      <c r="VW24" s="23"/>
      <c r="VX24" s="23"/>
      <c r="VY24" s="23"/>
      <c r="VZ24" s="23"/>
      <c r="WA24" s="23"/>
      <c r="WB24" s="23"/>
      <c r="WC24" s="23"/>
      <c r="WD24" s="23"/>
      <c r="WE24" s="23"/>
      <c r="WF24" s="23"/>
      <c r="WG24" s="23"/>
      <c r="WH24" s="23"/>
      <c r="WI24" s="23"/>
      <c r="WJ24" s="23"/>
      <c r="WK24" s="23"/>
      <c r="WL24" s="23"/>
      <c r="WM24" s="23"/>
      <c r="WN24" s="23"/>
      <c r="WO24" s="23"/>
      <c r="WP24" s="23"/>
      <c r="WQ24" s="23"/>
      <c r="WR24" s="23"/>
      <c r="WS24" s="23"/>
      <c r="WT24" s="23"/>
      <c r="WU24" s="23"/>
      <c r="WV24" s="23"/>
      <c r="WW24" s="23"/>
      <c r="WX24" s="23"/>
      <c r="WY24" s="23"/>
      <c r="WZ24" s="23"/>
      <c r="XA24" s="23"/>
      <c r="XB24" s="23"/>
      <c r="XC24" s="23"/>
      <c r="XD24" s="23"/>
      <c r="XE24" s="23"/>
      <c r="XF24" s="23"/>
      <c r="XG24" s="23"/>
      <c r="XH24" s="23"/>
      <c r="XI24" s="23"/>
      <c r="XJ24" s="23"/>
      <c r="XK24" s="23"/>
      <c r="XL24" s="23"/>
      <c r="XM24" s="23"/>
      <c r="XN24" s="23"/>
      <c r="XO24" s="23"/>
      <c r="XP24" s="23"/>
      <c r="XQ24" s="23"/>
      <c r="XR24" s="23"/>
      <c r="XS24" s="23"/>
      <c r="XT24" s="23"/>
      <c r="XU24" s="23"/>
      <c r="XV24" s="23"/>
      <c r="XW24" s="23"/>
      <c r="XX24" s="23"/>
      <c r="XY24" s="23"/>
      <c r="XZ24" s="23"/>
      <c r="YA24" s="23"/>
      <c r="YB24" s="23"/>
      <c r="YC24" s="23"/>
      <c r="YD24" s="23"/>
      <c r="YE24" s="23"/>
      <c r="YF24" s="23"/>
      <c r="YG24" s="23"/>
      <c r="YH24" s="23"/>
      <c r="YI24" s="23"/>
      <c r="YJ24" s="23"/>
      <c r="YK24" s="23"/>
      <c r="YL24" s="23"/>
      <c r="YM24" s="23"/>
      <c r="YN24" s="23"/>
      <c r="YO24" s="23"/>
      <c r="YP24" s="23"/>
      <c r="YQ24" s="23"/>
      <c r="YR24" s="23"/>
      <c r="YS24" s="23"/>
      <c r="YT24" s="23"/>
      <c r="YU24" s="23"/>
      <c r="YV24" s="23"/>
      <c r="YW24" s="23"/>
      <c r="YX24" s="23"/>
      <c r="YY24" s="23"/>
      <c r="YZ24" s="23"/>
      <c r="ZA24" s="23"/>
      <c r="ZB24" s="23"/>
      <c r="ZC24" s="23"/>
      <c r="ZD24" s="23"/>
      <c r="ZE24" s="23"/>
      <c r="ZF24" s="23"/>
      <c r="ZG24" s="23"/>
      <c r="ZH24" s="23"/>
      <c r="ZI24" s="23"/>
      <c r="ZJ24" s="23"/>
      <c r="ZK24" s="23"/>
      <c r="ZL24" s="23"/>
      <c r="ZM24" s="23"/>
      <c r="ZN24" s="23"/>
      <c r="ZO24" s="23"/>
      <c r="ZP24" s="23"/>
      <c r="ZQ24" s="23"/>
      <c r="ZR24" s="23"/>
      <c r="ZS24" s="23"/>
      <c r="ZT24" s="23"/>
      <c r="ZU24" s="23"/>
      <c r="ZV24" s="23"/>
      <c r="ZW24" s="23"/>
      <c r="ZX24" s="23"/>
      <c r="ZY24" s="23"/>
      <c r="ZZ24" s="23"/>
      <c r="AAA24" s="23"/>
      <c r="AAB24" s="23"/>
      <c r="AAC24" s="23"/>
      <c r="AAD24" s="23"/>
      <c r="AAE24" s="23"/>
      <c r="AAF24" s="23"/>
      <c r="AAG24" s="23"/>
      <c r="AAH24" s="23"/>
      <c r="AAI24" s="23"/>
      <c r="AAJ24" s="23"/>
      <c r="AAK24" s="23"/>
      <c r="AAL24" s="23"/>
      <c r="AAM24" s="23"/>
      <c r="AAN24" s="23"/>
      <c r="AAO24" s="23"/>
      <c r="AAP24" s="23"/>
      <c r="AAQ24" s="23"/>
      <c r="AAR24" s="23"/>
      <c r="AAS24" s="23"/>
      <c r="AAT24" s="23"/>
      <c r="AAU24" s="23"/>
      <c r="AAV24" s="23"/>
      <c r="AAW24" s="23"/>
      <c r="AAX24" s="23"/>
      <c r="AAY24" s="23"/>
      <c r="AAZ24" s="23"/>
      <c r="ABA24" s="23"/>
      <c r="ABB24" s="23"/>
      <c r="ABC24" s="23"/>
      <c r="ABD24" s="23"/>
      <c r="ABE24" s="23"/>
      <c r="ABF24" s="23"/>
      <c r="ABG24" s="23"/>
      <c r="ABH24" s="23"/>
      <c r="ABI24" s="23"/>
      <c r="ABJ24" s="23"/>
      <c r="ABK24" s="23"/>
      <c r="ABL24" s="23"/>
      <c r="ABM24" s="23"/>
      <c r="ABN24" s="23"/>
      <c r="ABO24" s="23"/>
      <c r="ABP24" s="23"/>
      <c r="ABQ24" s="23"/>
      <c r="ABR24" s="23"/>
      <c r="ABS24" s="23"/>
      <c r="ABT24" s="23"/>
      <c r="ABU24" s="23"/>
      <c r="ABV24" s="23"/>
      <c r="ABW24" s="23"/>
      <c r="ABX24" s="23"/>
      <c r="ABY24" s="23"/>
      <c r="ABZ24" s="23"/>
      <c r="ACA24" s="23"/>
      <c r="ACB24" s="23"/>
      <c r="ACC24" s="23"/>
      <c r="ACD24" s="23"/>
      <c r="ACE24" s="23"/>
      <c r="ACF24" s="23"/>
      <c r="ACG24" s="23"/>
      <c r="ACH24" s="23"/>
      <c r="ACI24" s="23"/>
      <c r="ACJ24" s="23"/>
      <c r="ACK24" s="23"/>
      <c r="ACL24" s="23"/>
      <c r="ACM24" s="23"/>
      <c r="ACN24" s="23"/>
      <c r="ACO24" s="23"/>
      <c r="ACP24" s="23"/>
      <c r="ACQ24" s="23"/>
      <c r="ACR24" s="23"/>
      <c r="ACS24" s="23"/>
      <c r="ACT24" s="23"/>
      <c r="ACU24" s="23"/>
      <c r="ACV24" s="23"/>
      <c r="ACW24" s="23"/>
      <c r="ACX24" s="23"/>
      <c r="ACY24" s="23"/>
      <c r="ACZ24" s="23"/>
      <c r="ADA24" s="23"/>
      <c r="ADB24" s="23"/>
      <c r="ADC24" s="23"/>
      <c r="ADD24" s="23"/>
      <c r="ADE24" s="23"/>
      <c r="ADF24" s="23"/>
      <c r="ADG24" s="23"/>
      <c r="ADH24" s="23"/>
      <c r="ADI24" s="23"/>
      <c r="ADJ24" s="23"/>
      <c r="ADK24" s="23"/>
      <c r="ADL24" s="23"/>
      <c r="ADM24" s="23"/>
      <c r="ADN24" s="23"/>
      <c r="ADO24" s="23"/>
      <c r="ADP24" s="23"/>
      <c r="ADQ24" s="23"/>
      <c r="ADR24" s="23"/>
      <c r="ADS24" s="23"/>
      <c r="ADT24" s="23"/>
      <c r="ADU24" s="23"/>
      <c r="ADV24" s="23"/>
      <c r="ADW24" s="23"/>
      <c r="ADX24" s="23"/>
      <c r="ADY24" s="23"/>
      <c r="ADZ24" s="23"/>
      <c r="AEA24" s="23"/>
      <c r="AEB24" s="23"/>
      <c r="AEC24" s="23"/>
      <c r="AED24" s="23"/>
      <c r="AEE24" s="23"/>
      <c r="AEF24" s="23"/>
      <c r="AEG24" s="23"/>
      <c r="AEH24" s="23"/>
      <c r="AEI24" s="23"/>
      <c r="AEJ24" s="23"/>
      <c r="AEK24" s="23"/>
      <c r="AEL24" s="23"/>
      <c r="AEM24" s="23"/>
      <c r="AEN24" s="23"/>
      <c r="AEO24" s="23"/>
      <c r="AEP24" s="23"/>
      <c r="AEQ24" s="23"/>
      <c r="AER24" s="23"/>
      <c r="AES24" s="23"/>
      <c r="AET24" s="23"/>
      <c r="AEU24" s="23"/>
      <c r="AEV24" s="23"/>
      <c r="AEW24" s="23"/>
      <c r="AEX24" s="23"/>
      <c r="AEY24" s="23"/>
      <c r="AEZ24" s="23"/>
      <c r="AFA24" s="23"/>
      <c r="AFB24" s="23"/>
      <c r="AFC24" s="23"/>
      <c r="AFD24" s="23"/>
      <c r="AFE24" s="23"/>
      <c r="AFF24" s="23"/>
      <c r="AFG24" s="23"/>
      <c r="AFH24" s="23"/>
      <c r="AFI24" s="23"/>
      <c r="AFJ24" s="23"/>
      <c r="AFK24" s="23"/>
      <c r="AFL24" s="23"/>
      <c r="AFM24" s="23"/>
      <c r="AFN24" s="23"/>
      <c r="AFO24" s="23"/>
      <c r="AFP24" s="23"/>
      <c r="AFQ24" s="23"/>
      <c r="AFR24" s="23"/>
      <c r="AFS24" s="23"/>
      <c r="AFT24" s="23"/>
      <c r="AFU24" s="23"/>
      <c r="AFV24" s="23"/>
      <c r="AFW24" s="23"/>
      <c r="AFX24" s="23"/>
      <c r="AFY24" s="23"/>
      <c r="AFZ24" s="23"/>
      <c r="AGA24" s="23"/>
      <c r="AGB24" s="23"/>
      <c r="AGC24" s="23"/>
      <c r="AGD24" s="23"/>
      <c r="AGE24" s="23"/>
      <c r="AGF24" s="23"/>
      <c r="AGG24" s="23"/>
      <c r="AGH24" s="23"/>
      <c r="AGI24" s="23"/>
      <c r="AGJ24" s="23"/>
      <c r="AGK24" s="23"/>
      <c r="AGL24" s="23"/>
      <c r="AGM24" s="23"/>
      <c r="AGN24" s="23"/>
      <c r="AGO24" s="23"/>
      <c r="AGP24" s="23"/>
      <c r="AGQ24" s="23"/>
      <c r="AGR24" s="23"/>
      <c r="AGS24" s="23"/>
      <c r="AGT24" s="23"/>
      <c r="AGU24" s="23"/>
      <c r="AGV24" s="23"/>
      <c r="AGW24" s="23"/>
      <c r="AGX24" s="23"/>
      <c r="AGY24" s="23"/>
      <c r="AGZ24" s="23"/>
      <c r="AHA24" s="23"/>
      <c r="AHB24" s="23"/>
      <c r="AHC24" s="23"/>
      <c r="AHD24" s="23"/>
      <c r="AHE24" s="23"/>
      <c r="AHF24" s="23"/>
      <c r="AHG24" s="23"/>
      <c r="AHH24" s="23"/>
      <c r="AHI24" s="23"/>
      <c r="AHJ24" s="23"/>
      <c r="AHK24" s="23"/>
      <c r="AHL24" s="23"/>
      <c r="AHM24" s="23"/>
      <c r="AHN24" s="23"/>
      <c r="AHO24" s="23"/>
      <c r="AHP24" s="23"/>
      <c r="AHQ24" s="23"/>
      <c r="AHR24" s="23"/>
      <c r="AHS24" s="23"/>
      <c r="AHT24" s="23"/>
      <c r="AHU24" s="23"/>
      <c r="AHV24" s="23"/>
      <c r="AHW24" s="23"/>
      <c r="AHX24" s="23"/>
      <c r="AHY24" s="23"/>
      <c r="AHZ24" s="23"/>
      <c r="AIA24" s="23"/>
      <c r="AIB24" s="23"/>
      <c r="AIC24" s="23"/>
      <c r="AID24" s="23"/>
      <c r="AIE24" s="23"/>
      <c r="AIF24" s="23"/>
      <c r="AIG24" s="23"/>
      <c r="AIH24" s="23"/>
      <c r="AII24" s="23"/>
      <c r="AIJ24" s="23"/>
      <c r="AIK24" s="23"/>
      <c r="AIL24" s="23"/>
      <c r="AIM24" s="23"/>
      <c r="AIN24" s="23"/>
      <c r="AIO24" s="23"/>
      <c r="AIP24" s="23"/>
      <c r="AIQ24" s="23"/>
      <c r="AIR24" s="23"/>
      <c r="AIS24" s="23"/>
      <c r="AIT24" s="23"/>
      <c r="AIU24" s="23"/>
      <c r="AIV24" s="23"/>
      <c r="AIW24" s="23"/>
      <c r="AIX24" s="23"/>
      <c r="AIY24" s="23"/>
      <c r="AIZ24" s="23"/>
      <c r="AJA24" s="23"/>
      <c r="AJB24" s="23"/>
      <c r="AJC24" s="23"/>
      <c r="AJD24" s="23"/>
      <c r="AJE24" s="23"/>
      <c r="AJF24" s="23"/>
      <c r="AJG24" s="23"/>
      <c r="AJH24" s="23"/>
      <c r="AJI24" s="23"/>
      <c r="AJJ24" s="23"/>
      <c r="AJK24" s="23"/>
      <c r="AJL24" s="23"/>
      <c r="AJM24" s="23"/>
      <c r="AJN24" s="23"/>
      <c r="AJO24" s="23"/>
      <c r="AJP24" s="23"/>
      <c r="AJQ24" s="23"/>
      <c r="AJR24" s="23"/>
      <c r="AJS24" s="23"/>
      <c r="AJT24" s="23"/>
      <c r="AJU24" s="23"/>
      <c r="AJV24" s="23"/>
      <c r="AJW24" s="23"/>
      <c r="AJX24" s="23"/>
      <c r="AJY24" s="23"/>
      <c r="AJZ24" s="23"/>
      <c r="AKA24" s="23"/>
      <c r="AKB24" s="23"/>
      <c r="AKC24" s="23"/>
      <c r="AKD24" s="23"/>
      <c r="AKE24" s="23"/>
      <c r="AKF24" s="23"/>
      <c r="AKG24" s="23"/>
      <c r="AKH24" s="23"/>
      <c r="AKI24" s="23"/>
      <c r="AKJ24" s="23"/>
      <c r="AKK24" s="23"/>
      <c r="AKL24" s="23"/>
      <c r="AKM24" s="23"/>
      <c r="AKN24" s="23"/>
      <c r="AKO24" s="23"/>
      <c r="AKP24" s="23"/>
      <c r="AKQ24" s="23"/>
      <c r="AKR24" s="23"/>
      <c r="AKS24" s="23"/>
      <c r="AKT24" s="23"/>
      <c r="AKU24" s="23"/>
      <c r="AKV24" s="23"/>
      <c r="AKW24" s="23"/>
      <c r="AKX24" s="23"/>
      <c r="AKY24" s="23"/>
      <c r="AKZ24" s="23"/>
      <c r="ALA24" s="23"/>
      <c r="ALB24" s="23"/>
      <c r="ALC24" s="23"/>
      <c r="ALD24" s="23"/>
      <c r="ALE24" s="23"/>
      <c r="ALF24" s="23"/>
      <c r="ALG24" s="23"/>
      <c r="ALH24" s="23"/>
      <c r="ALI24" s="23"/>
      <c r="ALJ24" s="23"/>
      <c r="ALK24" s="23"/>
      <c r="ALL24" s="23"/>
      <c r="ALM24" s="23"/>
      <c r="ALN24" s="23"/>
      <c r="ALO24" s="23"/>
      <c r="ALP24" s="23"/>
      <c r="ALQ24" s="23"/>
      <c r="ALR24" s="23"/>
      <c r="ALS24" s="23"/>
      <c r="ALT24" s="23"/>
      <c r="ALU24" s="23"/>
      <c r="ALV24" s="23"/>
      <c r="ALW24" s="23"/>
      <c r="ALX24" s="23"/>
      <c r="ALY24" s="23"/>
      <c r="ALZ24" s="23"/>
      <c r="AMA24" s="23"/>
      <c r="AMB24" s="23"/>
      <c r="AMC24" s="23"/>
      <c r="AMD24" s="23"/>
      <c r="AME24" s="23"/>
      <c r="AMF24" s="23"/>
      <c r="AMG24" s="23"/>
      <c r="AMH24" s="23"/>
      <c r="AMI24" s="23"/>
      <c r="AMJ24" s="23"/>
      <c r="AMK24" s="23"/>
      <c r="AML24" s="23"/>
      <c r="AMM24" s="23"/>
      <c r="AMN24" s="23"/>
      <c r="AMO24" s="23"/>
      <c r="AMP24" s="23"/>
      <c r="AMQ24" s="23"/>
      <c r="AMR24" s="23"/>
      <c r="AMS24" s="23"/>
      <c r="AMT24" s="23"/>
      <c r="AMU24" s="23"/>
      <c r="AMV24" s="23"/>
      <c r="AMW24" s="23"/>
      <c r="AMX24" s="23"/>
      <c r="AMY24" s="23"/>
      <c r="AMZ24" s="23"/>
      <c r="ANA24" s="23"/>
      <c r="ANB24" s="23"/>
      <c r="ANC24" s="23"/>
      <c r="AND24" s="23"/>
      <c r="ANE24" s="23"/>
      <c r="ANF24" s="23"/>
    </row>
    <row r="25" spans="1:1046" s="56" customFormat="1" x14ac:dyDescent="0.2">
      <c r="A25" s="50"/>
      <c r="B25" s="50"/>
      <c r="C25" s="51"/>
      <c r="D25" s="51"/>
      <c r="E25" s="51"/>
      <c r="F25" s="51"/>
      <c r="G25" s="51"/>
      <c r="H25" s="51"/>
      <c r="I25" s="59"/>
      <c r="J25" s="59"/>
      <c r="K25" s="59"/>
      <c r="L25" s="52"/>
      <c r="M25" s="53"/>
      <c r="N25" s="39"/>
      <c r="O25" s="53"/>
      <c r="P25" s="39"/>
      <c r="Q25" s="39"/>
      <c r="R25" s="53"/>
      <c r="S25" s="53"/>
      <c r="T25" s="53"/>
      <c r="U25" s="53"/>
      <c r="V25" s="53"/>
      <c r="W25" s="53"/>
      <c r="X25" s="53"/>
      <c r="Y25" s="53"/>
      <c r="Z25" s="54"/>
      <c r="AA25" s="54"/>
      <c r="AB25" s="54"/>
      <c r="AC25" s="55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7">
        <f>Q24</f>
        <v>27433600</v>
      </c>
      <c r="BC25" s="57">
        <f>AE24</f>
        <v>27314300</v>
      </c>
      <c r="BD25" s="57">
        <f>AS24</f>
        <v>1596700</v>
      </c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54"/>
      <c r="HJ25" s="54"/>
      <c r="HK25" s="54"/>
      <c r="HL25" s="54"/>
      <c r="HM25" s="54"/>
      <c r="HN25" s="54"/>
      <c r="HO25" s="54"/>
      <c r="HP25" s="54"/>
      <c r="HQ25" s="54"/>
      <c r="HR25" s="54"/>
      <c r="HS25" s="54"/>
      <c r="HT25" s="54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54"/>
      <c r="IF25" s="54"/>
      <c r="IG25" s="54"/>
      <c r="IH25" s="54"/>
      <c r="II25" s="54"/>
      <c r="IJ25" s="54"/>
      <c r="IK25" s="54"/>
      <c r="IL25" s="54"/>
      <c r="IM25" s="54"/>
      <c r="IN25" s="54"/>
      <c r="IO25" s="54"/>
      <c r="IP25" s="54"/>
      <c r="IQ25" s="54"/>
      <c r="IR25" s="54"/>
      <c r="IS25" s="54"/>
      <c r="IT25" s="54"/>
      <c r="IU25" s="54"/>
      <c r="IV25" s="54"/>
      <c r="IW25" s="54"/>
      <c r="IX25" s="54"/>
      <c r="IY25" s="54"/>
      <c r="IZ25" s="54"/>
      <c r="JA25" s="54"/>
      <c r="JB25" s="54"/>
      <c r="JC25" s="54"/>
      <c r="JD25" s="54"/>
      <c r="JE25" s="54"/>
      <c r="JF25" s="54"/>
      <c r="JG25" s="54"/>
      <c r="JH25" s="54"/>
      <c r="JI25" s="54"/>
      <c r="JJ25" s="54"/>
      <c r="JK25" s="54"/>
      <c r="JL25" s="54"/>
      <c r="JM25" s="54"/>
      <c r="JN25" s="54"/>
      <c r="JO25" s="54"/>
      <c r="JP25" s="54"/>
      <c r="JQ25" s="54"/>
      <c r="JR25" s="54"/>
      <c r="JS25" s="54"/>
      <c r="JT25" s="54"/>
      <c r="JU25" s="54"/>
      <c r="JV25" s="54"/>
      <c r="JW25" s="54"/>
      <c r="JX25" s="54"/>
      <c r="JY25" s="54"/>
      <c r="JZ25" s="54"/>
      <c r="KA25" s="54"/>
      <c r="KB25" s="54"/>
      <c r="KC25" s="54"/>
      <c r="KD25" s="54"/>
      <c r="KE25" s="54"/>
      <c r="KF25" s="54"/>
      <c r="KG25" s="54"/>
      <c r="KH25" s="54"/>
      <c r="KI25" s="54"/>
      <c r="KJ25" s="54"/>
      <c r="KK25" s="54"/>
      <c r="KL25" s="54"/>
      <c r="KM25" s="54"/>
      <c r="KN25" s="54"/>
      <c r="KO25" s="54"/>
      <c r="KP25" s="54"/>
      <c r="KQ25" s="54"/>
      <c r="KR25" s="54"/>
      <c r="KS25" s="54"/>
      <c r="KT25" s="54"/>
      <c r="KU25" s="54"/>
      <c r="KV25" s="54"/>
      <c r="KW25" s="54"/>
      <c r="KX25" s="54"/>
      <c r="KY25" s="54"/>
      <c r="KZ25" s="54"/>
      <c r="LA25" s="54"/>
      <c r="LB25" s="54"/>
      <c r="LC25" s="54"/>
      <c r="LD25" s="54"/>
      <c r="LE25" s="54"/>
      <c r="LF25" s="54"/>
      <c r="LG25" s="54"/>
      <c r="LH25" s="54"/>
      <c r="LI25" s="54"/>
      <c r="LJ25" s="54"/>
      <c r="LK25" s="54"/>
      <c r="LL25" s="54"/>
      <c r="LM25" s="54"/>
      <c r="LN25" s="54"/>
      <c r="LO25" s="54"/>
      <c r="LP25" s="54"/>
      <c r="LQ25" s="54"/>
      <c r="LR25" s="54"/>
      <c r="LS25" s="54"/>
      <c r="LT25" s="54"/>
      <c r="LU25" s="54"/>
      <c r="LV25" s="54"/>
      <c r="LW25" s="54"/>
      <c r="LX25" s="54"/>
      <c r="LY25" s="54"/>
      <c r="LZ25" s="54"/>
      <c r="MA25" s="54"/>
      <c r="MB25" s="54"/>
      <c r="MC25" s="54"/>
      <c r="MD25" s="54"/>
      <c r="ME25" s="54"/>
      <c r="MF25" s="54"/>
      <c r="MG25" s="54"/>
      <c r="MH25" s="54"/>
      <c r="MI25" s="54"/>
      <c r="MJ25" s="54"/>
      <c r="MK25" s="54"/>
      <c r="ML25" s="54"/>
      <c r="MM25" s="54"/>
      <c r="MN25" s="54"/>
      <c r="MO25" s="54"/>
      <c r="MP25" s="54"/>
      <c r="MQ25" s="54"/>
      <c r="MR25" s="54"/>
      <c r="MS25" s="54"/>
      <c r="MT25" s="54"/>
      <c r="MU25" s="54"/>
      <c r="MV25" s="54"/>
      <c r="MW25" s="54"/>
      <c r="MX25" s="54"/>
      <c r="MY25" s="54"/>
      <c r="MZ25" s="54"/>
      <c r="NA25" s="54"/>
      <c r="NB25" s="54"/>
      <c r="NC25" s="54"/>
      <c r="ND25" s="54"/>
      <c r="NE25" s="54"/>
      <c r="NF25" s="54"/>
      <c r="NG25" s="54"/>
      <c r="NH25" s="54"/>
      <c r="NI25" s="54"/>
      <c r="NJ25" s="54"/>
      <c r="NK25" s="54"/>
      <c r="NL25" s="54"/>
      <c r="NM25" s="54"/>
      <c r="NN25" s="54"/>
      <c r="NO25" s="54"/>
      <c r="NP25" s="54"/>
      <c r="NQ25" s="54"/>
      <c r="NR25" s="54"/>
      <c r="NS25" s="54"/>
      <c r="NT25" s="54"/>
      <c r="NU25" s="54"/>
      <c r="NV25" s="54"/>
      <c r="NW25" s="54"/>
      <c r="NX25" s="54"/>
      <c r="NY25" s="54"/>
      <c r="NZ25" s="54"/>
      <c r="OA25" s="54"/>
      <c r="OB25" s="54"/>
      <c r="OC25" s="54"/>
      <c r="OD25" s="54"/>
      <c r="OE25" s="54"/>
      <c r="OF25" s="54"/>
      <c r="OG25" s="54"/>
      <c r="OH25" s="54"/>
      <c r="OI25" s="54"/>
      <c r="OJ25" s="54"/>
      <c r="OK25" s="54"/>
      <c r="OL25" s="54"/>
      <c r="OM25" s="54"/>
      <c r="ON25" s="54"/>
      <c r="OO25" s="54"/>
      <c r="OP25" s="54"/>
      <c r="OQ25" s="54"/>
      <c r="OR25" s="54"/>
      <c r="OS25" s="54"/>
      <c r="OT25" s="54"/>
      <c r="OU25" s="54"/>
      <c r="OV25" s="54"/>
      <c r="OW25" s="54"/>
      <c r="OX25" s="54"/>
      <c r="OY25" s="54"/>
      <c r="OZ25" s="54"/>
      <c r="PA25" s="54"/>
      <c r="PB25" s="54"/>
      <c r="PC25" s="54"/>
      <c r="PD25" s="54"/>
      <c r="PE25" s="54"/>
      <c r="PF25" s="54"/>
      <c r="PG25" s="54"/>
      <c r="PH25" s="54"/>
      <c r="PI25" s="54"/>
      <c r="PJ25" s="54"/>
      <c r="PK25" s="54"/>
      <c r="PL25" s="54"/>
      <c r="PM25" s="54"/>
      <c r="PN25" s="54"/>
      <c r="PO25" s="54"/>
      <c r="PP25" s="54"/>
      <c r="PQ25" s="54"/>
      <c r="PR25" s="54"/>
      <c r="PS25" s="54"/>
      <c r="PT25" s="54"/>
      <c r="PU25" s="54"/>
      <c r="PV25" s="54"/>
      <c r="PW25" s="54"/>
      <c r="PX25" s="54"/>
      <c r="PY25" s="54"/>
      <c r="PZ25" s="54"/>
      <c r="QA25" s="54"/>
      <c r="QB25" s="54"/>
      <c r="QC25" s="54"/>
      <c r="QD25" s="54"/>
      <c r="QE25" s="54"/>
      <c r="QF25" s="54"/>
      <c r="QG25" s="54"/>
      <c r="QH25" s="54"/>
      <c r="QI25" s="54"/>
      <c r="QJ25" s="54"/>
      <c r="QK25" s="54"/>
      <c r="QL25" s="54"/>
      <c r="QM25" s="54"/>
      <c r="QN25" s="54"/>
      <c r="QO25" s="54"/>
      <c r="QP25" s="54"/>
      <c r="QQ25" s="54"/>
      <c r="QR25" s="54"/>
      <c r="QS25" s="54"/>
      <c r="QT25" s="54"/>
      <c r="QU25" s="54"/>
      <c r="QV25" s="54"/>
      <c r="QW25" s="54"/>
      <c r="QX25" s="54"/>
      <c r="QY25" s="54"/>
      <c r="QZ25" s="54"/>
      <c r="RA25" s="54"/>
      <c r="RB25" s="54"/>
      <c r="RC25" s="54"/>
      <c r="RD25" s="54"/>
      <c r="RE25" s="54"/>
      <c r="RF25" s="54"/>
      <c r="RG25" s="54"/>
      <c r="RH25" s="54"/>
      <c r="RI25" s="54"/>
      <c r="RJ25" s="54"/>
      <c r="RK25" s="54"/>
      <c r="RL25" s="54"/>
      <c r="RM25" s="54"/>
      <c r="RN25" s="54"/>
      <c r="RO25" s="54"/>
      <c r="RP25" s="54"/>
      <c r="RQ25" s="54"/>
      <c r="RR25" s="54"/>
      <c r="RS25" s="54"/>
      <c r="RT25" s="54"/>
      <c r="RU25" s="54"/>
      <c r="RV25" s="54"/>
      <c r="RW25" s="54"/>
      <c r="RX25" s="54"/>
      <c r="RY25" s="54"/>
      <c r="RZ25" s="54"/>
      <c r="SA25" s="54"/>
      <c r="SB25" s="54"/>
      <c r="SC25" s="54"/>
      <c r="SD25" s="54"/>
      <c r="SE25" s="54"/>
      <c r="SF25" s="54"/>
      <c r="SG25" s="54"/>
      <c r="SH25" s="54"/>
      <c r="SI25" s="54"/>
      <c r="SJ25" s="54"/>
      <c r="SK25" s="54"/>
      <c r="SL25" s="54"/>
      <c r="SM25" s="54"/>
      <c r="SN25" s="54"/>
      <c r="SO25" s="54"/>
      <c r="SP25" s="54"/>
      <c r="SQ25" s="54"/>
      <c r="SR25" s="54"/>
      <c r="SS25" s="54"/>
      <c r="ST25" s="54"/>
      <c r="SU25" s="54"/>
      <c r="SV25" s="54"/>
      <c r="SW25" s="54"/>
      <c r="SX25" s="54"/>
      <c r="SY25" s="54"/>
      <c r="SZ25" s="54"/>
      <c r="TA25" s="54"/>
      <c r="TB25" s="54"/>
      <c r="TC25" s="54"/>
      <c r="TD25" s="54"/>
      <c r="TE25" s="54"/>
      <c r="TF25" s="54"/>
      <c r="TG25" s="54"/>
      <c r="TH25" s="54"/>
      <c r="TI25" s="54"/>
      <c r="TJ25" s="54"/>
      <c r="TK25" s="54"/>
      <c r="TL25" s="54"/>
      <c r="TM25" s="54"/>
      <c r="TN25" s="54"/>
      <c r="TO25" s="54"/>
      <c r="TP25" s="54"/>
      <c r="TQ25" s="54"/>
      <c r="TR25" s="54"/>
      <c r="TS25" s="54"/>
      <c r="TT25" s="54"/>
      <c r="TU25" s="54"/>
      <c r="TV25" s="54"/>
      <c r="TW25" s="54"/>
      <c r="TX25" s="54"/>
      <c r="TY25" s="54"/>
      <c r="TZ25" s="54"/>
      <c r="UA25" s="54"/>
      <c r="UB25" s="54"/>
      <c r="UC25" s="54"/>
      <c r="UD25" s="54"/>
      <c r="UE25" s="54"/>
      <c r="UF25" s="54"/>
      <c r="UG25" s="54"/>
      <c r="UH25" s="54"/>
      <c r="UI25" s="54"/>
      <c r="UJ25" s="54"/>
      <c r="UK25" s="54"/>
      <c r="UL25" s="54"/>
      <c r="UM25" s="54"/>
      <c r="UN25" s="54"/>
      <c r="UO25" s="54"/>
      <c r="UP25" s="54"/>
      <c r="UQ25" s="54"/>
      <c r="UR25" s="54"/>
      <c r="US25" s="54"/>
      <c r="UT25" s="54"/>
      <c r="UU25" s="54"/>
      <c r="UV25" s="54"/>
      <c r="UW25" s="54"/>
      <c r="UX25" s="54"/>
      <c r="UY25" s="54"/>
      <c r="UZ25" s="54"/>
      <c r="VA25" s="54"/>
      <c r="VB25" s="54"/>
      <c r="VC25" s="54"/>
      <c r="VD25" s="54"/>
      <c r="VE25" s="54"/>
      <c r="VF25" s="54"/>
      <c r="VG25" s="54"/>
      <c r="VH25" s="54"/>
      <c r="VI25" s="54"/>
      <c r="VJ25" s="54"/>
      <c r="VK25" s="54"/>
      <c r="VL25" s="54"/>
      <c r="VM25" s="54"/>
      <c r="VN25" s="54"/>
      <c r="VO25" s="54"/>
      <c r="VP25" s="54"/>
      <c r="VQ25" s="54"/>
      <c r="VR25" s="54"/>
      <c r="VS25" s="54"/>
      <c r="VT25" s="54"/>
      <c r="VU25" s="54"/>
      <c r="VV25" s="54"/>
      <c r="VW25" s="54"/>
      <c r="VX25" s="54"/>
      <c r="VY25" s="54"/>
      <c r="VZ25" s="54"/>
      <c r="WA25" s="54"/>
      <c r="WB25" s="54"/>
      <c r="WC25" s="54"/>
      <c r="WD25" s="54"/>
      <c r="WE25" s="54"/>
      <c r="WF25" s="54"/>
      <c r="WG25" s="54"/>
      <c r="WH25" s="54"/>
      <c r="WI25" s="54"/>
      <c r="WJ25" s="54"/>
      <c r="WK25" s="54"/>
      <c r="WL25" s="54"/>
      <c r="WM25" s="54"/>
      <c r="WN25" s="54"/>
      <c r="WO25" s="54"/>
      <c r="WP25" s="54"/>
      <c r="WQ25" s="54"/>
      <c r="WR25" s="54"/>
      <c r="WS25" s="54"/>
      <c r="WT25" s="54"/>
      <c r="WU25" s="54"/>
      <c r="WV25" s="54"/>
      <c r="WW25" s="54"/>
      <c r="WX25" s="54"/>
      <c r="WY25" s="54"/>
      <c r="WZ25" s="54"/>
      <c r="XA25" s="54"/>
      <c r="XB25" s="54"/>
      <c r="XC25" s="54"/>
      <c r="XD25" s="54"/>
      <c r="XE25" s="54"/>
      <c r="XF25" s="54"/>
      <c r="XG25" s="54"/>
      <c r="XH25" s="54"/>
      <c r="XI25" s="54"/>
      <c r="XJ25" s="54"/>
      <c r="XK25" s="54"/>
      <c r="XL25" s="54"/>
      <c r="XM25" s="54"/>
      <c r="XN25" s="54"/>
      <c r="XO25" s="54"/>
      <c r="XP25" s="54"/>
      <c r="XQ25" s="54"/>
      <c r="XR25" s="54"/>
      <c r="XS25" s="54"/>
      <c r="XT25" s="54"/>
      <c r="XU25" s="54"/>
      <c r="XV25" s="54"/>
      <c r="XW25" s="54"/>
      <c r="XX25" s="54"/>
      <c r="XY25" s="54"/>
      <c r="XZ25" s="54"/>
      <c r="YA25" s="54"/>
      <c r="YB25" s="54"/>
      <c r="YC25" s="54"/>
      <c r="YD25" s="54"/>
      <c r="YE25" s="54"/>
      <c r="YF25" s="54"/>
      <c r="YG25" s="54"/>
      <c r="YH25" s="54"/>
      <c r="YI25" s="54"/>
      <c r="YJ25" s="54"/>
      <c r="YK25" s="54"/>
      <c r="YL25" s="54"/>
      <c r="YM25" s="54"/>
      <c r="YN25" s="54"/>
      <c r="YO25" s="54"/>
      <c r="YP25" s="54"/>
      <c r="YQ25" s="54"/>
      <c r="YR25" s="54"/>
      <c r="YS25" s="54"/>
      <c r="YT25" s="54"/>
      <c r="YU25" s="54"/>
      <c r="YV25" s="54"/>
      <c r="YW25" s="54"/>
      <c r="YX25" s="54"/>
      <c r="YY25" s="54"/>
      <c r="YZ25" s="54"/>
      <c r="ZA25" s="54"/>
      <c r="ZB25" s="54"/>
      <c r="ZC25" s="54"/>
      <c r="ZD25" s="54"/>
      <c r="ZE25" s="54"/>
      <c r="ZF25" s="54"/>
      <c r="ZG25" s="54"/>
      <c r="ZH25" s="54"/>
      <c r="ZI25" s="54"/>
      <c r="ZJ25" s="54"/>
      <c r="ZK25" s="54"/>
      <c r="ZL25" s="54"/>
      <c r="ZM25" s="54"/>
      <c r="ZN25" s="54"/>
      <c r="ZO25" s="54"/>
      <c r="ZP25" s="54"/>
      <c r="ZQ25" s="54"/>
      <c r="ZR25" s="54"/>
      <c r="ZS25" s="54"/>
      <c r="ZT25" s="54"/>
      <c r="ZU25" s="54"/>
      <c r="ZV25" s="54"/>
      <c r="ZW25" s="54"/>
      <c r="ZX25" s="54"/>
      <c r="ZY25" s="54"/>
      <c r="ZZ25" s="54"/>
      <c r="AAA25" s="54"/>
      <c r="AAB25" s="54"/>
      <c r="AAC25" s="54"/>
      <c r="AAD25" s="54"/>
      <c r="AAE25" s="54"/>
      <c r="AAF25" s="54"/>
      <c r="AAG25" s="54"/>
      <c r="AAH25" s="54"/>
      <c r="AAI25" s="54"/>
      <c r="AAJ25" s="54"/>
      <c r="AAK25" s="54"/>
      <c r="AAL25" s="54"/>
      <c r="AAM25" s="54"/>
      <c r="AAN25" s="54"/>
      <c r="AAO25" s="54"/>
      <c r="AAP25" s="54"/>
      <c r="AAQ25" s="54"/>
      <c r="AAR25" s="54"/>
      <c r="AAS25" s="54"/>
      <c r="AAT25" s="54"/>
      <c r="AAU25" s="54"/>
      <c r="AAV25" s="54"/>
      <c r="AAW25" s="54"/>
      <c r="AAX25" s="54"/>
      <c r="AAY25" s="54"/>
      <c r="AAZ25" s="54"/>
      <c r="ABA25" s="54"/>
      <c r="ABB25" s="54"/>
      <c r="ABC25" s="54"/>
      <c r="ABD25" s="54"/>
      <c r="ABE25" s="54"/>
      <c r="ABF25" s="54"/>
      <c r="ABG25" s="54"/>
      <c r="ABH25" s="54"/>
      <c r="ABI25" s="54"/>
      <c r="ABJ25" s="54"/>
      <c r="ABK25" s="54"/>
      <c r="ABL25" s="54"/>
      <c r="ABM25" s="54"/>
      <c r="ABN25" s="54"/>
      <c r="ABO25" s="54"/>
      <c r="ABP25" s="54"/>
      <c r="ABQ25" s="54"/>
      <c r="ABR25" s="54"/>
      <c r="ABS25" s="54"/>
      <c r="ABT25" s="54"/>
      <c r="ABU25" s="54"/>
      <c r="ABV25" s="54"/>
      <c r="ABW25" s="54"/>
      <c r="ABX25" s="54"/>
      <c r="ABY25" s="54"/>
      <c r="ABZ25" s="54"/>
      <c r="ACA25" s="54"/>
      <c r="ACB25" s="54"/>
      <c r="ACC25" s="54"/>
      <c r="ACD25" s="54"/>
      <c r="ACE25" s="54"/>
      <c r="ACF25" s="54"/>
      <c r="ACG25" s="54"/>
      <c r="ACH25" s="54"/>
      <c r="ACI25" s="54"/>
      <c r="ACJ25" s="54"/>
      <c r="ACK25" s="54"/>
      <c r="ACL25" s="54"/>
      <c r="ACM25" s="54"/>
      <c r="ACN25" s="54"/>
      <c r="ACO25" s="54"/>
      <c r="ACP25" s="54"/>
      <c r="ACQ25" s="54"/>
      <c r="ACR25" s="54"/>
      <c r="ACS25" s="54"/>
      <c r="ACT25" s="54"/>
      <c r="ACU25" s="54"/>
      <c r="ACV25" s="54"/>
      <c r="ACW25" s="54"/>
      <c r="ACX25" s="54"/>
      <c r="ACY25" s="54"/>
      <c r="ACZ25" s="54"/>
      <c r="ADA25" s="54"/>
      <c r="ADB25" s="54"/>
      <c r="ADC25" s="54"/>
      <c r="ADD25" s="54"/>
      <c r="ADE25" s="54"/>
      <c r="ADF25" s="54"/>
      <c r="ADG25" s="54"/>
      <c r="ADH25" s="54"/>
      <c r="ADI25" s="54"/>
      <c r="ADJ25" s="54"/>
      <c r="ADK25" s="54"/>
      <c r="ADL25" s="54"/>
      <c r="ADM25" s="54"/>
      <c r="ADN25" s="54"/>
      <c r="ADO25" s="54"/>
      <c r="ADP25" s="54"/>
      <c r="ADQ25" s="54"/>
      <c r="ADR25" s="54"/>
      <c r="ADS25" s="54"/>
      <c r="ADT25" s="54"/>
      <c r="ADU25" s="54"/>
      <c r="ADV25" s="54"/>
      <c r="ADW25" s="54"/>
      <c r="ADX25" s="54"/>
      <c r="ADY25" s="54"/>
      <c r="ADZ25" s="54"/>
      <c r="AEA25" s="54"/>
      <c r="AEB25" s="54"/>
      <c r="AEC25" s="54"/>
      <c r="AED25" s="54"/>
      <c r="AEE25" s="54"/>
      <c r="AEF25" s="54"/>
      <c r="AEG25" s="54"/>
      <c r="AEH25" s="54"/>
      <c r="AEI25" s="54"/>
      <c r="AEJ25" s="54"/>
      <c r="AEK25" s="54"/>
      <c r="AEL25" s="54"/>
      <c r="AEM25" s="54"/>
      <c r="AEN25" s="54"/>
      <c r="AEO25" s="54"/>
      <c r="AEP25" s="54"/>
      <c r="AEQ25" s="54"/>
      <c r="AER25" s="54"/>
      <c r="AES25" s="54"/>
      <c r="AET25" s="54"/>
      <c r="AEU25" s="54"/>
      <c r="AEV25" s="54"/>
      <c r="AEW25" s="54"/>
      <c r="AEX25" s="54"/>
      <c r="AEY25" s="54"/>
      <c r="AEZ25" s="54"/>
      <c r="AFA25" s="54"/>
      <c r="AFB25" s="54"/>
      <c r="AFC25" s="54"/>
      <c r="AFD25" s="54"/>
      <c r="AFE25" s="54"/>
      <c r="AFF25" s="54"/>
      <c r="AFG25" s="54"/>
      <c r="AFH25" s="54"/>
      <c r="AFI25" s="54"/>
      <c r="AFJ25" s="54"/>
      <c r="AFK25" s="54"/>
      <c r="AFL25" s="54"/>
      <c r="AFM25" s="54"/>
      <c r="AFN25" s="54"/>
      <c r="AFO25" s="54"/>
      <c r="AFP25" s="54"/>
      <c r="AFQ25" s="54"/>
      <c r="AFR25" s="54"/>
      <c r="AFS25" s="54"/>
      <c r="AFT25" s="54"/>
      <c r="AFU25" s="54"/>
      <c r="AFV25" s="54"/>
      <c r="AFW25" s="54"/>
      <c r="AFX25" s="54"/>
      <c r="AFY25" s="54"/>
      <c r="AFZ25" s="54"/>
      <c r="AGA25" s="54"/>
      <c r="AGB25" s="54"/>
      <c r="AGC25" s="54"/>
      <c r="AGD25" s="54"/>
      <c r="AGE25" s="54"/>
      <c r="AGF25" s="54"/>
      <c r="AGG25" s="54"/>
      <c r="AGH25" s="54"/>
      <c r="AGI25" s="54"/>
      <c r="AGJ25" s="54"/>
      <c r="AGK25" s="54"/>
      <c r="AGL25" s="54"/>
      <c r="AGM25" s="54"/>
      <c r="AGN25" s="54"/>
      <c r="AGO25" s="54"/>
      <c r="AGP25" s="54"/>
      <c r="AGQ25" s="54"/>
      <c r="AGR25" s="54"/>
      <c r="AGS25" s="54"/>
      <c r="AGT25" s="54"/>
      <c r="AGU25" s="54"/>
      <c r="AGV25" s="54"/>
      <c r="AGW25" s="54"/>
      <c r="AGX25" s="54"/>
      <c r="AGY25" s="54"/>
      <c r="AGZ25" s="54"/>
      <c r="AHA25" s="54"/>
      <c r="AHB25" s="54"/>
      <c r="AHC25" s="54"/>
      <c r="AHD25" s="54"/>
      <c r="AHE25" s="54"/>
      <c r="AHF25" s="54"/>
      <c r="AHG25" s="54"/>
      <c r="AHH25" s="54"/>
      <c r="AHI25" s="54"/>
      <c r="AHJ25" s="54"/>
      <c r="AHK25" s="54"/>
      <c r="AHL25" s="54"/>
      <c r="AHM25" s="54"/>
      <c r="AHN25" s="54"/>
      <c r="AHO25" s="54"/>
      <c r="AHP25" s="54"/>
      <c r="AHQ25" s="54"/>
      <c r="AHR25" s="54"/>
      <c r="AHS25" s="54"/>
      <c r="AHT25" s="54"/>
      <c r="AHU25" s="54"/>
      <c r="AHV25" s="54"/>
      <c r="AHW25" s="54"/>
      <c r="AHX25" s="54"/>
      <c r="AHY25" s="54"/>
      <c r="AHZ25" s="54"/>
      <c r="AIA25" s="54"/>
      <c r="AIB25" s="54"/>
      <c r="AIC25" s="54"/>
      <c r="AID25" s="54"/>
      <c r="AIE25" s="54"/>
      <c r="AIF25" s="54"/>
      <c r="AIG25" s="54"/>
      <c r="AIH25" s="54"/>
      <c r="AII25" s="54"/>
      <c r="AIJ25" s="54"/>
      <c r="AIK25" s="54"/>
      <c r="AIL25" s="54"/>
      <c r="AIM25" s="54"/>
      <c r="AIN25" s="54"/>
      <c r="AIO25" s="54"/>
      <c r="AIP25" s="54"/>
      <c r="AIQ25" s="54"/>
      <c r="AIR25" s="54"/>
      <c r="AIS25" s="54"/>
      <c r="AIT25" s="54"/>
      <c r="AIU25" s="54"/>
      <c r="AIV25" s="54"/>
      <c r="AIW25" s="54"/>
      <c r="AIX25" s="54"/>
      <c r="AIY25" s="54"/>
      <c r="AIZ25" s="54"/>
      <c r="AJA25" s="54"/>
      <c r="AJB25" s="54"/>
      <c r="AJC25" s="54"/>
      <c r="AJD25" s="54"/>
      <c r="AJE25" s="54"/>
      <c r="AJF25" s="54"/>
      <c r="AJG25" s="54"/>
      <c r="AJH25" s="54"/>
      <c r="AJI25" s="54"/>
      <c r="AJJ25" s="54"/>
      <c r="AJK25" s="54"/>
      <c r="AJL25" s="54"/>
      <c r="AJM25" s="54"/>
      <c r="AJN25" s="54"/>
      <c r="AJO25" s="54"/>
      <c r="AJP25" s="54"/>
      <c r="AJQ25" s="54"/>
      <c r="AJR25" s="54"/>
      <c r="AJS25" s="54"/>
      <c r="AJT25" s="54"/>
      <c r="AJU25" s="54"/>
      <c r="AJV25" s="54"/>
      <c r="AJW25" s="54"/>
      <c r="AJX25" s="54"/>
      <c r="AJY25" s="54"/>
      <c r="AJZ25" s="54"/>
      <c r="AKA25" s="54"/>
      <c r="AKB25" s="54"/>
      <c r="AKC25" s="54"/>
      <c r="AKD25" s="54"/>
      <c r="AKE25" s="54"/>
      <c r="AKF25" s="54"/>
      <c r="AKG25" s="54"/>
      <c r="AKH25" s="54"/>
      <c r="AKI25" s="54"/>
      <c r="AKJ25" s="54"/>
      <c r="AKK25" s="54"/>
      <c r="AKL25" s="54"/>
      <c r="AKM25" s="54"/>
      <c r="AKN25" s="54"/>
      <c r="AKO25" s="54"/>
      <c r="AKP25" s="54"/>
      <c r="AKQ25" s="54"/>
      <c r="AKR25" s="54"/>
      <c r="AKS25" s="54"/>
      <c r="AKT25" s="54"/>
      <c r="AKU25" s="54"/>
      <c r="AKV25" s="54"/>
      <c r="AKW25" s="54"/>
      <c r="AKX25" s="54"/>
      <c r="AKY25" s="54"/>
      <c r="AKZ25" s="54"/>
      <c r="ALA25" s="54"/>
      <c r="ALB25" s="54"/>
      <c r="ALC25" s="54"/>
      <c r="ALD25" s="54"/>
      <c r="ALE25" s="54"/>
      <c r="ALF25" s="54"/>
      <c r="ALG25" s="54"/>
      <c r="ALH25" s="54"/>
      <c r="ALI25" s="54"/>
      <c r="ALJ25" s="54"/>
      <c r="ALK25" s="54"/>
      <c r="ALL25" s="54"/>
      <c r="ALM25" s="54"/>
      <c r="ALN25" s="54"/>
      <c r="ALO25" s="54"/>
      <c r="ALP25" s="54"/>
      <c r="ALQ25" s="54"/>
      <c r="ALR25" s="54"/>
      <c r="ALS25" s="54"/>
      <c r="ALT25" s="54"/>
      <c r="ALU25" s="54"/>
      <c r="ALV25" s="54"/>
      <c r="ALW25" s="54"/>
      <c r="ALX25" s="54"/>
      <c r="ALY25" s="54"/>
      <c r="ALZ25" s="54"/>
      <c r="AMA25" s="54"/>
      <c r="AMB25" s="54"/>
      <c r="AMC25" s="54"/>
      <c r="AMD25" s="54"/>
      <c r="AME25" s="54"/>
      <c r="AMF25" s="54"/>
      <c r="AMG25" s="54"/>
      <c r="AMH25" s="54"/>
      <c r="AMI25" s="54"/>
      <c r="AMJ25" s="54"/>
      <c r="AMK25" s="54"/>
      <c r="AML25" s="54"/>
      <c r="AMM25" s="54"/>
      <c r="AMN25" s="54"/>
      <c r="AMO25" s="54"/>
      <c r="AMP25" s="54"/>
      <c r="AMQ25" s="54"/>
      <c r="AMR25" s="54"/>
      <c r="AMS25" s="54"/>
      <c r="AMT25" s="54"/>
      <c r="AMU25" s="54"/>
      <c r="AMV25" s="54"/>
      <c r="AMW25" s="54"/>
      <c r="AMX25" s="54"/>
      <c r="AMY25" s="54"/>
      <c r="AMZ25" s="54"/>
      <c r="ANA25" s="54"/>
      <c r="ANB25" s="54"/>
      <c r="ANC25" s="54"/>
      <c r="AND25" s="54"/>
      <c r="ANE25" s="54"/>
      <c r="ANF25" s="54"/>
    </row>
    <row r="26" spans="1:1046" s="49" customFormat="1" x14ac:dyDescent="0.2">
      <c r="A26" s="15"/>
      <c r="B26" s="15"/>
      <c r="C26" s="15"/>
      <c r="D26" s="15"/>
      <c r="E26" s="15"/>
      <c r="F26" s="15"/>
      <c r="G26" s="15"/>
      <c r="H26" s="15"/>
      <c r="I26" s="60"/>
      <c r="J26" s="60"/>
      <c r="K26" s="60"/>
      <c r="L26" s="15"/>
      <c r="M26" s="47"/>
      <c r="N26" s="33">
        <f>N27+N28</f>
        <v>27433600</v>
      </c>
      <c r="O26" s="33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48"/>
      <c r="AA26" s="47"/>
      <c r="AB26" s="37">
        <f>AB27+AB28</f>
        <v>27314300</v>
      </c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7"/>
      <c r="AP26" s="37">
        <f>AP27+AP28</f>
        <v>1596700</v>
      </c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>
        <f>BB25-BB24*1000</f>
        <v>0</v>
      </c>
      <c r="BC26" s="48">
        <f>BC25-BC24*1000</f>
        <v>0</v>
      </c>
      <c r="BD26" s="48">
        <f>BD25-BD24*1000</f>
        <v>0</v>
      </c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  <c r="AMB26" s="48"/>
      <c r="AMC26" s="48"/>
      <c r="AMD26" s="48"/>
      <c r="AME26" s="48"/>
      <c r="AMF26" s="48"/>
      <c r="AMG26" s="48"/>
      <c r="AMH26" s="48"/>
      <c r="AMI26" s="48"/>
      <c r="AMJ26" s="48"/>
      <c r="AMK26" s="48"/>
      <c r="AML26" s="48"/>
      <c r="AMM26" s="48"/>
      <c r="AMN26" s="48"/>
      <c r="AMO26" s="48"/>
      <c r="AMP26" s="48"/>
      <c r="AMQ26" s="48"/>
      <c r="AMR26" s="48"/>
      <c r="AMS26" s="48"/>
      <c r="AMT26" s="48"/>
      <c r="AMU26" s="48"/>
      <c r="AMV26" s="48"/>
      <c r="AMW26" s="48"/>
      <c r="AMX26" s="48"/>
      <c r="AMY26" s="48"/>
      <c r="AMZ26" s="48"/>
      <c r="ANA26" s="48"/>
      <c r="ANB26" s="48"/>
      <c r="ANC26" s="48"/>
      <c r="AND26" s="48"/>
      <c r="ANE26" s="48"/>
      <c r="ANF26" s="48"/>
    </row>
    <row r="27" spans="1:1046" s="49" customFormat="1" x14ac:dyDescent="0.2">
      <c r="A27" s="15"/>
      <c r="B27" s="15"/>
      <c r="C27" s="15"/>
      <c r="D27" s="15"/>
      <c r="E27" s="15"/>
      <c r="F27" s="15"/>
      <c r="G27" s="15"/>
      <c r="H27" s="15"/>
      <c r="I27" s="60"/>
      <c r="J27" s="60"/>
      <c r="K27" s="60"/>
      <c r="L27" s="15"/>
      <c r="M27" s="33">
        <f>N27+N28</f>
        <v>27433600</v>
      </c>
      <c r="N27" s="46">
        <f>26223800</f>
        <v>26223800</v>
      </c>
      <c r="O27" s="46" t="s">
        <v>29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48"/>
      <c r="AA27" s="48">
        <f>AB27+AB28</f>
        <v>27314300</v>
      </c>
      <c r="AB27" s="37">
        <f>26223800</f>
        <v>26223800</v>
      </c>
      <c r="AC27" s="48" t="s">
        <v>29</v>
      </c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>
        <f>AP27+AP28</f>
        <v>1596700</v>
      </c>
      <c r="AP27" s="37">
        <v>526900</v>
      </c>
      <c r="AQ27" s="48" t="s">
        <v>29</v>
      </c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  <c r="AJF27" s="48"/>
      <c r="AJG27" s="48"/>
      <c r="AJH27" s="48"/>
      <c r="AJI27" s="48"/>
      <c r="AJJ27" s="48"/>
      <c r="AJK27" s="48"/>
      <c r="AJL27" s="48"/>
      <c r="AJM27" s="48"/>
      <c r="AJN27" s="48"/>
      <c r="AJO27" s="48"/>
      <c r="AJP27" s="48"/>
      <c r="AJQ27" s="48"/>
      <c r="AJR27" s="48"/>
      <c r="AJS27" s="48"/>
      <c r="AJT27" s="48"/>
      <c r="AJU27" s="48"/>
      <c r="AJV27" s="48"/>
      <c r="AJW27" s="48"/>
      <c r="AJX27" s="48"/>
      <c r="AJY27" s="48"/>
      <c r="AJZ27" s="48"/>
      <c r="AKA27" s="48"/>
      <c r="AKB27" s="48"/>
      <c r="AKC27" s="48"/>
      <c r="AKD27" s="48"/>
      <c r="AKE27" s="48"/>
      <c r="AKF27" s="48"/>
      <c r="AKG27" s="48"/>
      <c r="AKH27" s="48"/>
      <c r="AKI27" s="48"/>
      <c r="AKJ27" s="48"/>
      <c r="AKK27" s="48"/>
      <c r="AKL27" s="48"/>
      <c r="AKM27" s="48"/>
      <c r="AKN27" s="48"/>
      <c r="AKO27" s="48"/>
      <c r="AKP27" s="48"/>
      <c r="AKQ27" s="48"/>
      <c r="AKR27" s="48"/>
      <c r="AKS27" s="48"/>
      <c r="AKT27" s="48"/>
      <c r="AKU27" s="48"/>
      <c r="AKV27" s="48"/>
      <c r="AKW27" s="48"/>
      <c r="AKX27" s="48"/>
      <c r="AKY27" s="48"/>
      <c r="AKZ27" s="48"/>
      <c r="ALA27" s="48"/>
      <c r="ALB27" s="48"/>
      <c r="ALC27" s="48"/>
      <c r="ALD27" s="48"/>
      <c r="ALE27" s="48"/>
      <c r="ALF27" s="48"/>
      <c r="ALG27" s="48"/>
      <c r="ALH27" s="48"/>
      <c r="ALI27" s="48"/>
      <c r="ALJ27" s="48"/>
      <c r="ALK27" s="48"/>
      <c r="ALL27" s="48"/>
      <c r="ALM27" s="48"/>
      <c r="ALN27" s="48"/>
      <c r="ALO27" s="48"/>
      <c r="ALP27" s="48"/>
      <c r="ALQ27" s="48"/>
      <c r="ALR27" s="48"/>
      <c r="ALS27" s="48"/>
      <c r="ALT27" s="48"/>
      <c r="ALU27" s="48"/>
      <c r="ALV27" s="48"/>
      <c r="ALW27" s="48"/>
      <c r="ALX27" s="48"/>
      <c r="ALY27" s="48"/>
      <c r="ALZ27" s="48"/>
      <c r="AMA27" s="48"/>
      <c r="AMB27" s="48"/>
      <c r="AMC27" s="48"/>
      <c r="AMD27" s="48"/>
      <c r="AME27" s="48"/>
      <c r="AMF27" s="48"/>
      <c r="AMG27" s="48"/>
      <c r="AMH27" s="48"/>
      <c r="AMI27" s="48"/>
      <c r="AMJ27" s="48"/>
      <c r="AMK27" s="48"/>
      <c r="AML27" s="48"/>
      <c r="AMM27" s="48"/>
      <c r="AMN27" s="48"/>
      <c r="AMO27" s="48"/>
      <c r="AMP27" s="48"/>
      <c r="AMQ27" s="48"/>
      <c r="AMR27" s="48"/>
      <c r="AMS27" s="48"/>
      <c r="AMT27" s="48"/>
      <c r="AMU27" s="48"/>
      <c r="AMV27" s="48"/>
      <c r="AMW27" s="48"/>
      <c r="AMX27" s="48"/>
      <c r="AMY27" s="48"/>
      <c r="AMZ27" s="48"/>
      <c r="ANA27" s="48"/>
      <c r="ANB27" s="48"/>
      <c r="ANC27" s="48"/>
      <c r="AND27" s="48"/>
      <c r="ANE27" s="48"/>
      <c r="ANF27" s="48"/>
    </row>
    <row r="28" spans="1:1046" s="49" customFormat="1" x14ac:dyDescent="0.2">
      <c r="A28" s="15"/>
      <c r="B28" s="15"/>
      <c r="C28" s="15"/>
      <c r="D28" s="15"/>
      <c r="E28" s="15"/>
      <c r="F28" s="15"/>
      <c r="G28" s="15"/>
      <c r="H28" s="15"/>
      <c r="I28" s="60"/>
      <c r="J28" s="60"/>
      <c r="K28" s="60"/>
      <c r="L28" s="15"/>
      <c r="M28" s="36"/>
      <c r="N28" s="37">
        <v>1209800</v>
      </c>
      <c r="O28" s="37" t="s">
        <v>30</v>
      </c>
      <c r="P28" s="38"/>
      <c r="Q28" s="38"/>
      <c r="R28" s="15"/>
      <c r="S28" s="15"/>
      <c r="T28" s="15"/>
      <c r="U28" s="15"/>
      <c r="V28" s="15"/>
      <c r="W28" s="15"/>
      <c r="X28" s="15"/>
      <c r="Y28" s="15"/>
      <c r="Z28" s="48"/>
      <c r="AA28" s="48"/>
      <c r="AB28" s="37">
        <v>1090500</v>
      </c>
      <c r="AC28" s="48" t="s">
        <v>30</v>
      </c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37">
        <v>1069800</v>
      </c>
      <c r="AQ28" s="48" t="s">
        <v>30</v>
      </c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  <c r="AJF28" s="48"/>
      <c r="AJG28" s="48"/>
      <c r="AJH28" s="48"/>
      <c r="AJI28" s="48"/>
      <c r="AJJ28" s="48"/>
      <c r="AJK28" s="48"/>
      <c r="AJL28" s="48"/>
      <c r="AJM28" s="48"/>
      <c r="AJN28" s="48"/>
      <c r="AJO28" s="48"/>
      <c r="AJP28" s="48"/>
      <c r="AJQ28" s="48"/>
      <c r="AJR28" s="48"/>
      <c r="AJS28" s="48"/>
      <c r="AJT28" s="48"/>
      <c r="AJU28" s="48"/>
      <c r="AJV28" s="48"/>
      <c r="AJW28" s="48"/>
      <c r="AJX28" s="48"/>
      <c r="AJY28" s="48"/>
      <c r="AJZ28" s="48"/>
      <c r="AKA28" s="48"/>
      <c r="AKB28" s="48"/>
      <c r="AKC28" s="48"/>
      <c r="AKD28" s="48"/>
      <c r="AKE28" s="48"/>
      <c r="AKF28" s="48"/>
      <c r="AKG28" s="48"/>
      <c r="AKH28" s="48"/>
      <c r="AKI28" s="48"/>
      <c r="AKJ28" s="48"/>
      <c r="AKK28" s="48"/>
      <c r="AKL28" s="48"/>
      <c r="AKM28" s="48"/>
      <c r="AKN28" s="48"/>
      <c r="AKO28" s="48"/>
      <c r="AKP28" s="48"/>
      <c r="AKQ28" s="48"/>
      <c r="AKR28" s="48"/>
      <c r="AKS28" s="48"/>
      <c r="AKT28" s="48"/>
      <c r="AKU28" s="48"/>
      <c r="AKV28" s="48"/>
      <c r="AKW28" s="48"/>
      <c r="AKX28" s="48"/>
      <c r="AKY28" s="48"/>
      <c r="AKZ28" s="48"/>
      <c r="ALA28" s="48"/>
      <c r="ALB28" s="48"/>
      <c r="ALC28" s="48"/>
      <c r="ALD28" s="48"/>
      <c r="ALE28" s="48"/>
      <c r="ALF28" s="48"/>
      <c r="ALG28" s="48"/>
      <c r="ALH28" s="48"/>
      <c r="ALI28" s="48"/>
      <c r="ALJ28" s="48"/>
      <c r="ALK28" s="48"/>
      <c r="ALL28" s="48"/>
      <c r="ALM28" s="48"/>
      <c r="ALN28" s="48"/>
      <c r="ALO28" s="48"/>
      <c r="ALP28" s="48"/>
      <c r="ALQ28" s="48"/>
      <c r="ALR28" s="48"/>
      <c r="ALS28" s="48"/>
      <c r="ALT28" s="48"/>
      <c r="ALU28" s="48"/>
      <c r="ALV28" s="48"/>
      <c r="ALW28" s="48"/>
      <c r="ALX28" s="48"/>
      <c r="ALY28" s="48"/>
      <c r="ALZ28" s="48"/>
      <c r="AMA28" s="48"/>
      <c r="AMB28" s="48"/>
      <c r="AMC28" s="48"/>
      <c r="AMD28" s="48"/>
      <c r="AME28" s="48"/>
      <c r="AMF28" s="48"/>
      <c r="AMG28" s="48"/>
      <c r="AMH28" s="48"/>
      <c r="AMI28" s="48"/>
      <c r="AMJ28" s="48"/>
      <c r="AMK28" s="48"/>
      <c r="AML28" s="48"/>
      <c r="AMM28" s="48"/>
      <c r="AMN28" s="48"/>
      <c r="AMO28" s="48"/>
      <c r="AMP28" s="48"/>
      <c r="AMQ28" s="48"/>
      <c r="AMR28" s="48"/>
      <c r="AMS28" s="48"/>
      <c r="AMT28" s="48"/>
      <c r="AMU28" s="48"/>
      <c r="AMV28" s="48"/>
      <c r="AMW28" s="48"/>
      <c r="AMX28" s="48"/>
      <c r="AMY28" s="48"/>
      <c r="AMZ28" s="48"/>
      <c r="ANA28" s="48"/>
      <c r="ANB28" s="48"/>
      <c r="ANC28" s="48"/>
      <c r="AND28" s="48"/>
      <c r="ANE28" s="48"/>
      <c r="ANF28" s="48"/>
    </row>
    <row r="29" spans="1:1046" x14ac:dyDescent="0.2">
      <c r="O29" s="58"/>
    </row>
    <row r="30" spans="1:1046" x14ac:dyDescent="0.2">
      <c r="P30" s="28"/>
      <c r="Q30" s="28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O35"/>
  <sheetViews>
    <sheetView zoomScale="85" zoomScaleNormal="85" zoomScaleSheetLayoutView="100" workbookViewId="0">
      <pane xSplit="2" ySplit="6" topLeftCell="C7" activePane="bottomRight" state="frozen"/>
      <selection activeCell="H6" sqref="H6"/>
      <selection pane="topRight" activeCell="H6" sqref="H6"/>
      <selection pane="bottomLeft" activeCell="H6" sqref="H6"/>
      <selection pane="bottomRight" activeCell="J40" sqref="J40"/>
    </sheetView>
  </sheetViews>
  <sheetFormatPr defaultRowHeight="12.75" x14ac:dyDescent="0.2"/>
  <cols>
    <col min="1" max="1" width="6.42578125" style="119" customWidth="1"/>
    <col min="2" max="2" width="18.140625" style="119" customWidth="1"/>
    <col min="3" max="5" width="5.5703125" style="119" customWidth="1"/>
    <col min="6" max="6" width="7.7109375" style="119" customWidth="1"/>
    <col min="7" max="7" width="8.5703125" style="119" hidden="1" customWidth="1"/>
    <col min="8" max="8" width="18.85546875" style="119" customWidth="1"/>
    <col min="9" max="9" width="18.85546875" style="119" bestFit="1" customWidth="1"/>
    <col min="10" max="12" width="18.85546875" style="119" customWidth="1"/>
    <col min="13" max="13" width="17.5703125" style="119" customWidth="1"/>
    <col min="14" max="14" width="21.42578125" style="119" hidden="1" customWidth="1"/>
    <col min="15" max="15" width="15.5703125" style="119" customWidth="1"/>
    <col min="16" max="16" width="9.85546875" style="119" customWidth="1"/>
    <col min="17" max="17" width="9.85546875" style="119" hidden="1" customWidth="1"/>
    <col min="18" max="18" width="17.5703125" style="119" customWidth="1"/>
    <col min="19" max="21" width="18.85546875" style="119" customWidth="1"/>
    <col min="22" max="22" width="18.5703125" style="119" customWidth="1"/>
    <col min="23" max="23" width="17.5703125" style="119" bestFit="1" customWidth="1"/>
    <col min="24" max="24" width="21.7109375" style="119" hidden="1" customWidth="1"/>
    <col min="25" max="25" width="16.85546875" style="119" customWidth="1"/>
    <col min="26" max="26" width="14.7109375" style="119" hidden="1" customWidth="1"/>
    <col min="27" max="27" width="11" style="119" hidden="1" customWidth="1"/>
    <col min="28" max="28" width="16.85546875" style="119" hidden="1" customWidth="1"/>
    <col min="29" max="31" width="20" style="119" hidden="1" customWidth="1"/>
    <col min="32" max="32" width="18.5703125" style="119" hidden="1" customWidth="1"/>
    <col min="33" max="33" width="18.85546875" style="119" hidden="1" customWidth="1"/>
    <col min="34" max="34" width="20.42578125" style="119" hidden="1" customWidth="1"/>
    <col min="35" max="35" width="16.7109375" style="119" hidden="1" customWidth="1"/>
    <col min="36" max="37" width="14.7109375" style="119" hidden="1" customWidth="1"/>
    <col min="38" max="38" width="15.7109375" style="119" hidden="1" customWidth="1"/>
    <col min="39" max="39" width="12" style="119" customWidth="1"/>
    <col min="40" max="40" width="13.7109375" style="119" customWidth="1"/>
    <col min="41" max="41" width="13.85546875" style="119" customWidth="1"/>
    <col min="42" max="16384" width="9.140625" style="119"/>
  </cols>
  <sheetData>
    <row r="1" spans="1:41" x14ac:dyDescent="0.2">
      <c r="AM1" s="119" t="s">
        <v>74</v>
      </c>
    </row>
    <row r="2" spans="1:41" ht="36" customHeight="1" x14ac:dyDescent="0.2">
      <c r="A2" s="289" t="s">
        <v>70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</row>
    <row r="3" spans="1:41" ht="15.75" customHeight="1" x14ac:dyDescent="0.2">
      <c r="A3" s="247" t="s">
        <v>39</v>
      </c>
      <c r="B3" s="248" t="s">
        <v>40</v>
      </c>
      <c r="C3" s="249" t="s">
        <v>41</v>
      </c>
      <c r="D3" s="250"/>
      <c r="E3" s="250"/>
      <c r="F3" s="291"/>
      <c r="G3" s="292"/>
      <c r="H3" s="292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2"/>
      <c r="AJ3" s="257" t="s">
        <v>64</v>
      </c>
      <c r="AK3" s="257"/>
      <c r="AL3" s="257"/>
      <c r="AM3" s="257" t="s">
        <v>65</v>
      </c>
      <c r="AN3" s="257"/>
      <c r="AO3" s="257"/>
    </row>
    <row r="4" spans="1:41" ht="15.75" customHeight="1" x14ac:dyDescent="0.25">
      <c r="A4" s="247"/>
      <c r="B4" s="248"/>
      <c r="C4" s="250"/>
      <c r="D4" s="250"/>
      <c r="E4" s="250"/>
      <c r="F4" s="253" t="s">
        <v>42</v>
      </c>
      <c r="G4" s="253"/>
      <c r="H4" s="253"/>
      <c r="I4" s="253"/>
      <c r="J4" s="253"/>
      <c r="K4" s="253"/>
      <c r="L4" s="253"/>
      <c r="M4" s="253"/>
      <c r="N4" s="253"/>
      <c r="O4" s="253"/>
      <c r="P4" s="258" t="s">
        <v>43</v>
      </c>
      <c r="Q4" s="258"/>
      <c r="R4" s="258"/>
      <c r="S4" s="258"/>
      <c r="T4" s="258"/>
      <c r="U4" s="258"/>
      <c r="V4" s="258"/>
      <c r="W4" s="258"/>
      <c r="X4" s="258"/>
      <c r="Y4" s="258"/>
      <c r="Z4" s="251" t="s">
        <v>67</v>
      </c>
      <c r="AA4" s="251"/>
      <c r="AB4" s="251"/>
      <c r="AC4" s="251"/>
      <c r="AD4" s="251"/>
      <c r="AE4" s="251"/>
      <c r="AF4" s="251"/>
      <c r="AG4" s="251"/>
      <c r="AH4" s="251"/>
      <c r="AI4" s="251"/>
      <c r="AJ4" s="257"/>
      <c r="AK4" s="257"/>
      <c r="AL4" s="257"/>
      <c r="AM4" s="257"/>
      <c r="AN4" s="257"/>
      <c r="AO4" s="257"/>
    </row>
    <row r="5" spans="1:41" ht="15.75" customHeight="1" x14ac:dyDescent="0.2">
      <c r="A5" s="247"/>
      <c r="B5" s="248"/>
      <c r="C5" s="250"/>
      <c r="D5" s="250"/>
      <c r="E5" s="250"/>
      <c r="F5" s="252" t="s">
        <v>44</v>
      </c>
      <c r="G5" s="252"/>
      <c r="H5" s="249" t="s">
        <v>45</v>
      </c>
      <c r="I5" s="256" t="s">
        <v>46</v>
      </c>
      <c r="J5" s="256"/>
      <c r="K5" s="256"/>
      <c r="L5" s="256"/>
      <c r="M5" s="256"/>
      <c r="N5" s="254" t="s">
        <v>63</v>
      </c>
      <c r="O5" s="255" t="s">
        <v>57</v>
      </c>
      <c r="P5" s="252" t="s">
        <v>44</v>
      </c>
      <c r="Q5" s="252"/>
      <c r="R5" s="249" t="s">
        <v>45</v>
      </c>
      <c r="S5" s="259" t="s">
        <v>46</v>
      </c>
      <c r="T5" s="259"/>
      <c r="U5" s="259"/>
      <c r="V5" s="259"/>
      <c r="W5" s="259"/>
      <c r="X5" s="254" t="s">
        <v>63</v>
      </c>
      <c r="Y5" s="255" t="s">
        <v>57</v>
      </c>
      <c r="Z5" s="252" t="s">
        <v>44</v>
      </c>
      <c r="AA5" s="252"/>
      <c r="AB5" s="249" t="s">
        <v>45</v>
      </c>
      <c r="AC5" s="249" t="s">
        <v>46</v>
      </c>
      <c r="AD5" s="249"/>
      <c r="AE5" s="249"/>
      <c r="AF5" s="249"/>
      <c r="AG5" s="249"/>
      <c r="AH5" s="254" t="s">
        <v>63</v>
      </c>
      <c r="AI5" s="255" t="s">
        <v>57</v>
      </c>
      <c r="AJ5" s="257"/>
      <c r="AK5" s="257"/>
      <c r="AL5" s="257"/>
      <c r="AM5" s="257"/>
      <c r="AN5" s="257"/>
      <c r="AO5" s="257"/>
    </row>
    <row r="6" spans="1:41" ht="58.15" customHeight="1" x14ac:dyDescent="0.2">
      <c r="A6" s="247"/>
      <c r="B6" s="248"/>
      <c r="C6" s="123">
        <v>2023</v>
      </c>
      <c r="D6" s="123">
        <v>2024</v>
      </c>
      <c r="E6" s="123">
        <v>2025</v>
      </c>
      <c r="F6" s="252"/>
      <c r="G6" s="252"/>
      <c r="H6" s="249"/>
      <c r="I6" s="124" t="s">
        <v>50</v>
      </c>
      <c r="J6" s="125" t="s">
        <v>47</v>
      </c>
      <c r="K6" s="126" t="s">
        <v>48</v>
      </c>
      <c r="L6" s="126" t="s">
        <v>51</v>
      </c>
      <c r="M6" s="127" t="s">
        <v>52</v>
      </c>
      <c r="N6" s="255"/>
      <c r="O6" s="255"/>
      <c r="P6" s="252"/>
      <c r="Q6" s="252"/>
      <c r="R6" s="249"/>
      <c r="S6" s="124" t="s">
        <v>50</v>
      </c>
      <c r="T6" s="128" t="s">
        <v>47</v>
      </c>
      <c r="U6" s="129" t="s">
        <v>48</v>
      </c>
      <c r="V6" s="129" t="s">
        <v>51</v>
      </c>
      <c r="W6" s="124" t="s">
        <v>52</v>
      </c>
      <c r="X6" s="255"/>
      <c r="Y6" s="255"/>
      <c r="Z6" s="252"/>
      <c r="AA6" s="252"/>
      <c r="AB6" s="249"/>
      <c r="AC6" s="124" t="s">
        <v>50</v>
      </c>
      <c r="AD6" s="130" t="s">
        <v>47</v>
      </c>
      <c r="AE6" s="124" t="s">
        <v>48</v>
      </c>
      <c r="AF6" s="124" t="s">
        <v>49</v>
      </c>
      <c r="AG6" s="124" t="s">
        <v>52</v>
      </c>
      <c r="AH6" s="255"/>
      <c r="AI6" s="255"/>
      <c r="AJ6" s="131">
        <v>2023</v>
      </c>
      <c r="AK6" s="131">
        <v>2024</v>
      </c>
      <c r="AL6" s="131">
        <v>2025</v>
      </c>
      <c r="AM6" s="131">
        <v>2023</v>
      </c>
      <c r="AN6" s="131">
        <v>2024</v>
      </c>
      <c r="AO6" s="131">
        <v>2025</v>
      </c>
    </row>
    <row r="7" spans="1:41" ht="15.75" x14ac:dyDescent="0.2">
      <c r="A7" s="132">
        <v>1</v>
      </c>
      <c r="B7" s="133" t="s">
        <v>3</v>
      </c>
      <c r="C7" s="134">
        <v>0.89</v>
      </c>
      <c r="D7" s="134">
        <v>0.89</v>
      </c>
      <c r="E7" s="134">
        <v>0.9</v>
      </c>
      <c r="F7" s="135">
        <v>2</v>
      </c>
      <c r="G7" s="136">
        <f>C7*F7</f>
        <v>1.78</v>
      </c>
      <c r="H7" s="137">
        <f>K7+L7+M7</f>
        <v>3503269.03</v>
      </c>
      <c r="I7" s="137">
        <f>ROUND($H$33/$G$29*F7,2)</f>
        <v>3503269.04</v>
      </c>
      <c r="J7" s="137">
        <f>K7+L7</f>
        <v>3117909.44</v>
      </c>
      <c r="K7" s="137">
        <f>ROUND((I7-M7)*(1-$H$35),2)</f>
        <v>2088997.16</v>
      </c>
      <c r="L7" s="137">
        <f>ROUND((I7-M7)*$H$35,2)-0.01</f>
        <v>1028912.28</v>
      </c>
      <c r="M7" s="137">
        <f>ROUNDUP(I7*(1-C7),2)-0.01</f>
        <v>385359.59</v>
      </c>
      <c r="N7" s="138">
        <f>IF(I7=0,0,M7/I7)</f>
        <v>0.10999999874403024</v>
      </c>
      <c r="O7" s="139">
        <f>IF(F7=0,0,I7/F7)</f>
        <v>1751634.52</v>
      </c>
      <c r="P7" s="135">
        <v>4</v>
      </c>
      <c r="Q7" s="136">
        <f>P7*D7</f>
        <v>3.56</v>
      </c>
      <c r="R7" s="140">
        <f t="shared" ref="R7:R28" si="0">U7+V7+W7</f>
        <v>6703343.209999999</v>
      </c>
      <c r="S7" s="140">
        <f>ROUND($S$33/$Q$29*P7,2)</f>
        <v>6703343.21</v>
      </c>
      <c r="T7" s="141">
        <f>U7+V7</f>
        <v>5965975.4499999993</v>
      </c>
      <c r="U7" s="142">
        <f>ROUND((S7-W7)*(1-$S$35),2)</f>
        <v>3997203.55</v>
      </c>
      <c r="V7" s="142">
        <f>ROUND((S7-W7)*$S$35,2)</f>
        <v>1968771.9</v>
      </c>
      <c r="W7" s="139">
        <f>ROUND(S7*(1-D7),2)+0.01</f>
        <v>737367.76</v>
      </c>
      <c r="X7" s="143">
        <f>IF(S7=0,0,W7/S7)</f>
        <v>0.11000000102933712</v>
      </c>
      <c r="Y7" s="139">
        <f>IF(P7=0,0,S7/P7)</f>
        <v>1675835.8025</v>
      </c>
      <c r="Z7" s="135"/>
      <c r="AA7" s="144">
        <f>E7*Z7</f>
        <v>0</v>
      </c>
      <c r="AB7" s="137" t="e">
        <f>AE7+AF7+AG7</f>
        <v>#DIV/0!</v>
      </c>
      <c r="AC7" s="137" t="e">
        <f>ROUND($AC$33/$AA$29*Z7,2)</f>
        <v>#DIV/0!</v>
      </c>
      <c r="AD7" s="137" t="e">
        <f>AE7+AF7</f>
        <v>#DIV/0!</v>
      </c>
      <c r="AE7" s="137" t="e">
        <f>ROUND((AC7-AG7)*(1-$AC$35),2)</f>
        <v>#DIV/0!</v>
      </c>
      <c r="AF7" s="137" t="e">
        <f>ROUND((AC7-AG7)*$AC$35,2)</f>
        <v>#DIV/0!</v>
      </c>
      <c r="AG7" s="137" t="e">
        <f>ROUNDUP(AC7*(1-E7),2)</f>
        <v>#DIV/0!</v>
      </c>
      <c r="AH7" s="138" t="e">
        <f>IF(AC7=0,0,AG7/AC7)</f>
        <v>#DIV/0!</v>
      </c>
      <c r="AI7" s="139">
        <f>IF(Z7=0,0,AC7/Z7)</f>
        <v>0</v>
      </c>
      <c r="AJ7" s="145">
        <f>K7+L7</f>
        <v>3117909.44</v>
      </c>
      <c r="AK7" s="145">
        <f>U7+V7</f>
        <v>5965975.4499999993</v>
      </c>
      <c r="AL7" s="146" t="s">
        <v>69</v>
      </c>
      <c r="AM7" s="118">
        <f>ROUND(AJ7/1000,1)</f>
        <v>3117.9</v>
      </c>
      <c r="AN7" s="118">
        <f>ROUND(AK7/1000,1)</f>
        <v>5966</v>
      </c>
      <c r="AO7" s="147" t="s">
        <v>69</v>
      </c>
    </row>
    <row r="8" spans="1:41" ht="15.75" x14ac:dyDescent="0.2">
      <c r="A8" s="132">
        <v>2</v>
      </c>
      <c r="B8" s="133" t="s">
        <v>53</v>
      </c>
      <c r="C8" s="134">
        <v>0.9</v>
      </c>
      <c r="D8" s="134">
        <v>0.9</v>
      </c>
      <c r="E8" s="134">
        <v>0.89</v>
      </c>
      <c r="F8" s="135">
        <v>1</v>
      </c>
      <c r="G8" s="136">
        <f t="shared" ref="G8:G24" si="1">C8*F8</f>
        <v>0.9</v>
      </c>
      <c r="H8" s="137">
        <f t="shared" ref="H8:H24" si="2">K8+L8+M8</f>
        <v>1751634.52</v>
      </c>
      <c r="I8" s="137">
        <f t="shared" ref="I8:I24" si="3">ROUND($H$33/$G$29*F8,2)</f>
        <v>1751634.52</v>
      </c>
      <c r="J8" s="137">
        <f t="shared" ref="J8:J24" si="4">K8+L8</f>
        <v>1576471.07</v>
      </c>
      <c r="K8" s="137">
        <f>ROUND((I8-M8)*(1-$H$35),2)</f>
        <v>1056234.52</v>
      </c>
      <c r="L8" s="137">
        <f t="shared" ref="L8:L24" si="5">ROUND((I8-M8)*$H$35,2)</f>
        <v>520236.55</v>
      </c>
      <c r="M8" s="137">
        <f>ROUNDUP(I8*(1-C8),2)-0.01</f>
        <v>175163.45</v>
      </c>
      <c r="N8" s="138">
        <f t="shared" ref="N8:N29" si="6">IF(I8=0,0,M8/I8)</f>
        <v>9.9999998858209302E-2</v>
      </c>
      <c r="O8" s="139">
        <f t="shared" ref="O8:O29" si="7">IF(F8=0,0,I8/F8)</f>
        <v>1751634.52</v>
      </c>
      <c r="P8" s="135">
        <v>6</v>
      </c>
      <c r="Q8" s="136">
        <f t="shared" ref="Q8:Q24" si="8">P8*D8</f>
        <v>5.4</v>
      </c>
      <c r="R8" s="140">
        <f t="shared" si="0"/>
        <v>10055014.810000001</v>
      </c>
      <c r="S8" s="140">
        <f t="shared" ref="S8:S24" si="9">ROUND($S$33/$Q$29*P8,2)</f>
        <v>10055014.810000001</v>
      </c>
      <c r="T8" s="141">
        <f t="shared" ref="T8:T24" si="10">U8+V8</f>
        <v>9049513.3200000003</v>
      </c>
      <c r="U8" s="142">
        <f t="shared" ref="U8:U24" si="11">ROUND((S8-W8)*(1-$S$35),2)</f>
        <v>6063173.9199999999</v>
      </c>
      <c r="V8" s="142">
        <f t="shared" ref="V8:V24" si="12">ROUND((S8-W8)*$S$35,2)</f>
        <v>2986339.4</v>
      </c>
      <c r="W8" s="139">
        <f>ROUND(S8*(1-D8),2)+0.01</f>
        <v>1005501.49</v>
      </c>
      <c r="X8" s="143">
        <f t="shared" ref="X8:X24" si="13">IF(S8=0,0,W8/S8)</f>
        <v>0.10000000089507576</v>
      </c>
      <c r="Y8" s="139">
        <f t="shared" ref="Y8:Y24" si="14">IF(P8=0,0,S8/P8)</f>
        <v>1675835.8016666668</v>
      </c>
      <c r="Z8" s="135"/>
      <c r="AA8" s="144">
        <f t="shared" ref="AA8:AA24" si="15">E8*Z8</f>
        <v>0</v>
      </c>
      <c r="AB8" s="137" t="e">
        <f t="shared" ref="AB8:AB28" si="16">AE8+AF8+AG8</f>
        <v>#DIV/0!</v>
      </c>
      <c r="AC8" s="137" t="e">
        <f t="shared" ref="AC8:AC24" si="17">ROUND($AC$33/$AA$29*Z8,2)</f>
        <v>#DIV/0!</v>
      </c>
      <c r="AD8" s="137" t="e">
        <f t="shared" ref="AD8:AD24" si="18">AE8+AF8</f>
        <v>#DIV/0!</v>
      </c>
      <c r="AE8" s="137" t="e">
        <f t="shared" ref="AE8:AE24" si="19">ROUND((AC8-AG8)*(1-$AC$35),2)</f>
        <v>#DIV/0!</v>
      </c>
      <c r="AF8" s="137" t="e">
        <f t="shared" ref="AF8:AF24" si="20">ROUND((AC8-AG8)*$AC$35,2)</f>
        <v>#DIV/0!</v>
      </c>
      <c r="AG8" s="137" t="e">
        <f t="shared" ref="AG8:AG24" si="21">ROUNDUP(AC8*(1-E8),2)</f>
        <v>#DIV/0!</v>
      </c>
      <c r="AH8" s="138" t="e">
        <f t="shared" ref="AH8:AH29" si="22">IF(AC8=0,0,AG8/AC8)</f>
        <v>#DIV/0!</v>
      </c>
      <c r="AI8" s="139">
        <f t="shared" ref="AI8:AI29" si="23">IF(Z8=0,0,AC8/Z8)</f>
        <v>0</v>
      </c>
      <c r="AJ8" s="145">
        <f t="shared" ref="AJ8:AJ28" si="24">K8+L8</f>
        <v>1576471.07</v>
      </c>
      <c r="AK8" s="145">
        <f t="shared" ref="AK8:AK28" si="25">U8+V8</f>
        <v>9049513.3200000003</v>
      </c>
      <c r="AL8" s="146" t="s">
        <v>69</v>
      </c>
      <c r="AM8" s="118">
        <f t="shared" ref="AM8:AM30" si="26">ROUND(AJ8/1000,1)</f>
        <v>1576.5</v>
      </c>
      <c r="AN8" s="118">
        <f t="shared" ref="AN8:AN30" si="27">ROUND(AK8/1000,1)</f>
        <v>9049.5</v>
      </c>
      <c r="AO8" s="147" t="s">
        <v>69</v>
      </c>
    </row>
    <row r="9" spans="1:41" ht="15.75" x14ac:dyDescent="0.2">
      <c r="A9" s="132">
        <v>3</v>
      </c>
      <c r="B9" s="133" t="s">
        <v>54</v>
      </c>
      <c r="C9" s="134">
        <v>0.9</v>
      </c>
      <c r="D9" s="134">
        <v>0.9</v>
      </c>
      <c r="E9" s="134">
        <v>0.9</v>
      </c>
      <c r="F9" s="135">
        <v>1</v>
      </c>
      <c r="G9" s="136">
        <f t="shared" si="1"/>
        <v>0.9</v>
      </c>
      <c r="H9" s="137">
        <f t="shared" si="2"/>
        <v>1751634.52</v>
      </c>
      <c r="I9" s="137">
        <f t="shared" si="3"/>
        <v>1751634.52</v>
      </c>
      <c r="J9" s="137">
        <f t="shared" si="4"/>
        <v>1576471.07</v>
      </c>
      <c r="K9" s="137">
        <f>ROUND((I9-M9)*(1-$H$35),2)</f>
        <v>1056234.52</v>
      </c>
      <c r="L9" s="137">
        <f t="shared" si="5"/>
        <v>520236.55</v>
      </c>
      <c r="M9" s="137">
        <f>ROUNDUP(I9*(1-C9),2)-0.01</f>
        <v>175163.45</v>
      </c>
      <c r="N9" s="138">
        <f t="shared" si="6"/>
        <v>9.9999998858209302E-2</v>
      </c>
      <c r="O9" s="139">
        <f t="shared" si="7"/>
        <v>1751634.52</v>
      </c>
      <c r="P9" s="135">
        <v>7</v>
      </c>
      <c r="Q9" s="136">
        <f t="shared" si="8"/>
        <v>6.3</v>
      </c>
      <c r="R9" s="140">
        <f t="shared" si="0"/>
        <v>11730850.609999999</v>
      </c>
      <c r="S9" s="140">
        <f t="shared" si="9"/>
        <v>11730850.609999999</v>
      </c>
      <c r="T9" s="141">
        <f t="shared" si="10"/>
        <v>10557765.539999999</v>
      </c>
      <c r="U9" s="142">
        <f t="shared" si="11"/>
        <v>7073702.9100000001</v>
      </c>
      <c r="V9" s="142">
        <f t="shared" si="12"/>
        <v>3484062.63</v>
      </c>
      <c r="W9" s="139">
        <f>ROUND(S9*(1-D9),2)+0.01</f>
        <v>1173085.07</v>
      </c>
      <c r="X9" s="143">
        <f t="shared" si="13"/>
        <v>0.1000000007672078</v>
      </c>
      <c r="Y9" s="139">
        <f t="shared" si="14"/>
        <v>1675835.8014285713</v>
      </c>
      <c r="Z9" s="135"/>
      <c r="AA9" s="144">
        <f t="shared" si="15"/>
        <v>0</v>
      </c>
      <c r="AB9" s="137" t="e">
        <f t="shared" si="16"/>
        <v>#DIV/0!</v>
      </c>
      <c r="AC9" s="137" t="e">
        <f t="shared" si="17"/>
        <v>#DIV/0!</v>
      </c>
      <c r="AD9" s="137" t="e">
        <f t="shared" si="18"/>
        <v>#DIV/0!</v>
      </c>
      <c r="AE9" s="137" t="e">
        <f t="shared" si="19"/>
        <v>#DIV/0!</v>
      </c>
      <c r="AF9" s="137" t="e">
        <f t="shared" si="20"/>
        <v>#DIV/0!</v>
      </c>
      <c r="AG9" s="137" t="e">
        <f t="shared" si="21"/>
        <v>#DIV/0!</v>
      </c>
      <c r="AH9" s="138" t="e">
        <f t="shared" si="22"/>
        <v>#DIV/0!</v>
      </c>
      <c r="AI9" s="139">
        <f t="shared" si="23"/>
        <v>0</v>
      </c>
      <c r="AJ9" s="145">
        <f t="shared" si="24"/>
        <v>1576471.07</v>
      </c>
      <c r="AK9" s="145">
        <f t="shared" si="25"/>
        <v>10557765.539999999</v>
      </c>
      <c r="AL9" s="146" t="s">
        <v>69</v>
      </c>
      <c r="AM9" s="118">
        <f t="shared" si="26"/>
        <v>1576.5</v>
      </c>
      <c r="AN9" s="118">
        <f t="shared" si="27"/>
        <v>10557.8</v>
      </c>
      <c r="AO9" s="147" t="s">
        <v>69</v>
      </c>
    </row>
    <row r="10" spans="1:41" ht="15.75" x14ac:dyDescent="0.2">
      <c r="A10" s="132">
        <v>4</v>
      </c>
      <c r="B10" s="133" t="s">
        <v>6</v>
      </c>
      <c r="C10" s="134">
        <v>0.9</v>
      </c>
      <c r="D10" s="134">
        <v>0.9</v>
      </c>
      <c r="E10" s="134">
        <v>0.89</v>
      </c>
      <c r="F10" s="135">
        <v>1</v>
      </c>
      <c r="G10" s="136">
        <f t="shared" si="1"/>
        <v>0.9</v>
      </c>
      <c r="H10" s="137">
        <f t="shared" si="2"/>
        <v>1751634.52</v>
      </c>
      <c r="I10" s="137">
        <f t="shared" si="3"/>
        <v>1751634.52</v>
      </c>
      <c r="J10" s="137">
        <f t="shared" si="4"/>
        <v>1576471.07</v>
      </c>
      <c r="K10" s="137">
        <f>ROUND((I10-M10)*(1-$H$35),2)</f>
        <v>1056234.52</v>
      </c>
      <c r="L10" s="137">
        <f>ROUND((I10-M10)*$H$35,2)</f>
        <v>520236.55</v>
      </c>
      <c r="M10" s="137">
        <f>ROUNDUP(I10*(1-C10),2)-0.01</f>
        <v>175163.45</v>
      </c>
      <c r="N10" s="138">
        <f t="shared" si="6"/>
        <v>9.9999998858209302E-2</v>
      </c>
      <c r="O10" s="139">
        <f t="shared" si="7"/>
        <v>1751634.52</v>
      </c>
      <c r="P10" s="135">
        <v>15</v>
      </c>
      <c r="Q10" s="136">
        <f t="shared" si="8"/>
        <v>13.5</v>
      </c>
      <c r="R10" s="140">
        <f t="shared" si="0"/>
        <v>25137537.030000001</v>
      </c>
      <c r="S10" s="140">
        <f t="shared" si="9"/>
        <v>25137537.030000001</v>
      </c>
      <c r="T10" s="141">
        <f t="shared" si="10"/>
        <v>22623783.32</v>
      </c>
      <c r="U10" s="142">
        <f t="shared" si="11"/>
        <v>15157934.82</v>
      </c>
      <c r="V10" s="142">
        <f t="shared" si="12"/>
        <v>7465848.5</v>
      </c>
      <c r="W10" s="139">
        <f>ROUND(S10*(1-D10),2)+0.01</f>
        <v>2513753.71</v>
      </c>
      <c r="X10" s="143">
        <f t="shared" si="13"/>
        <v>0.100000000278468</v>
      </c>
      <c r="Y10" s="139">
        <f t="shared" si="14"/>
        <v>1675835.8020000001</v>
      </c>
      <c r="Z10" s="135"/>
      <c r="AA10" s="144">
        <f t="shared" si="15"/>
        <v>0</v>
      </c>
      <c r="AB10" s="137" t="e">
        <f t="shared" si="16"/>
        <v>#DIV/0!</v>
      </c>
      <c r="AC10" s="137" t="e">
        <f t="shared" si="17"/>
        <v>#DIV/0!</v>
      </c>
      <c r="AD10" s="137" t="e">
        <f t="shared" si="18"/>
        <v>#DIV/0!</v>
      </c>
      <c r="AE10" s="137" t="e">
        <f t="shared" si="19"/>
        <v>#DIV/0!</v>
      </c>
      <c r="AF10" s="137" t="e">
        <f t="shared" si="20"/>
        <v>#DIV/0!</v>
      </c>
      <c r="AG10" s="137" t="e">
        <f t="shared" si="21"/>
        <v>#DIV/0!</v>
      </c>
      <c r="AH10" s="138" t="e">
        <f t="shared" si="22"/>
        <v>#DIV/0!</v>
      </c>
      <c r="AI10" s="139">
        <f t="shared" si="23"/>
        <v>0</v>
      </c>
      <c r="AJ10" s="145">
        <f t="shared" si="24"/>
        <v>1576471.07</v>
      </c>
      <c r="AK10" s="145">
        <f t="shared" si="25"/>
        <v>22623783.32</v>
      </c>
      <c r="AL10" s="146" t="s">
        <v>69</v>
      </c>
      <c r="AM10" s="118">
        <f t="shared" si="26"/>
        <v>1576.5</v>
      </c>
      <c r="AN10" s="118">
        <f t="shared" si="27"/>
        <v>22623.8</v>
      </c>
      <c r="AO10" s="147" t="s">
        <v>69</v>
      </c>
    </row>
    <row r="11" spans="1:41" ht="15.75" x14ac:dyDescent="0.2">
      <c r="A11" s="132">
        <v>5</v>
      </c>
      <c r="B11" s="133" t="s">
        <v>7</v>
      </c>
      <c r="C11" s="134">
        <v>0.89</v>
      </c>
      <c r="D11" s="134">
        <v>0.89</v>
      </c>
      <c r="E11" s="134">
        <v>0.9</v>
      </c>
      <c r="F11" s="135">
        <v>1</v>
      </c>
      <c r="G11" s="136">
        <f t="shared" si="1"/>
        <v>0.89</v>
      </c>
      <c r="H11" s="137">
        <f t="shared" si="2"/>
        <v>1751634.51</v>
      </c>
      <c r="I11" s="137">
        <f t="shared" si="3"/>
        <v>1751634.52</v>
      </c>
      <c r="J11" s="137">
        <f t="shared" si="4"/>
        <v>1558954.71</v>
      </c>
      <c r="K11" s="137">
        <f t="shared" ref="K11:K17" si="28">ROUND((I11-M11)*(1-$H$35),2)</f>
        <v>1044498.58</v>
      </c>
      <c r="L11" s="137">
        <f>ROUND((I11-M11)*$H$35,2)-0.01</f>
        <v>514456.13</v>
      </c>
      <c r="M11" s="137">
        <f t="shared" ref="M11:M24" si="29">ROUNDUP(I11*(1-C11),2)</f>
        <v>192679.80000000002</v>
      </c>
      <c r="N11" s="138">
        <f t="shared" si="6"/>
        <v>0.11000000159850698</v>
      </c>
      <c r="O11" s="139">
        <f t="shared" si="7"/>
        <v>1751634.52</v>
      </c>
      <c r="P11" s="135">
        <v>12</v>
      </c>
      <c r="Q11" s="136">
        <f t="shared" si="8"/>
        <v>10.68</v>
      </c>
      <c r="R11" s="140">
        <f t="shared" si="0"/>
        <v>20110029.619999997</v>
      </c>
      <c r="S11" s="140">
        <f t="shared" si="9"/>
        <v>20110029.620000001</v>
      </c>
      <c r="T11" s="141">
        <f t="shared" si="10"/>
        <v>17897926.359999999</v>
      </c>
      <c r="U11" s="142">
        <f t="shared" si="11"/>
        <v>11991610.66</v>
      </c>
      <c r="V11" s="142">
        <f>ROUND((S11-W11)*$S$35,2)</f>
        <v>5906315.7000000002</v>
      </c>
      <c r="W11" s="139">
        <f t="shared" ref="W11:W24" si="30">ROUND(S11*(1-D11),2)</f>
        <v>2212103.2599999998</v>
      </c>
      <c r="X11" s="143">
        <f t="shared" si="13"/>
        <v>0.11000000008950755</v>
      </c>
      <c r="Y11" s="139">
        <f t="shared" si="14"/>
        <v>1675835.8016666668</v>
      </c>
      <c r="Z11" s="135"/>
      <c r="AA11" s="144">
        <f t="shared" si="15"/>
        <v>0</v>
      </c>
      <c r="AB11" s="137" t="e">
        <f t="shared" si="16"/>
        <v>#DIV/0!</v>
      </c>
      <c r="AC11" s="137" t="e">
        <f t="shared" si="17"/>
        <v>#DIV/0!</v>
      </c>
      <c r="AD11" s="137" t="e">
        <f t="shared" si="18"/>
        <v>#DIV/0!</v>
      </c>
      <c r="AE11" s="137" t="e">
        <f t="shared" si="19"/>
        <v>#DIV/0!</v>
      </c>
      <c r="AF11" s="137" t="e">
        <f t="shared" si="20"/>
        <v>#DIV/0!</v>
      </c>
      <c r="AG11" s="137" t="e">
        <f t="shared" si="21"/>
        <v>#DIV/0!</v>
      </c>
      <c r="AH11" s="138" t="e">
        <f t="shared" si="22"/>
        <v>#DIV/0!</v>
      </c>
      <c r="AI11" s="139">
        <f t="shared" si="23"/>
        <v>0</v>
      </c>
      <c r="AJ11" s="145">
        <f t="shared" si="24"/>
        <v>1558954.71</v>
      </c>
      <c r="AK11" s="145">
        <f t="shared" si="25"/>
        <v>17897926.359999999</v>
      </c>
      <c r="AL11" s="146" t="s">
        <v>69</v>
      </c>
      <c r="AM11" s="118">
        <f t="shared" si="26"/>
        <v>1559</v>
      </c>
      <c r="AN11" s="118">
        <f>ROUND(AK11/1000,1)-0.1</f>
        <v>17897.800000000003</v>
      </c>
      <c r="AO11" s="147" t="s">
        <v>69</v>
      </c>
    </row>
    <row r="12" spans="1:41" ht="15.75" x14ac:dyDescent="0.2">
      <c r="A12" s="132">
        <v>6</v>
      </c>
      <c r="B12" s="133" t="s">
        <v>55</v>
      </c>
      <c r="C12" s="134">
        <v>0.87</v>
      </c>
      <c r="D12" s="134">
        <v>0.87</v>
      </c>
      <c r="E12" s="134">
        <v>0.87</v>
      </c>
      <c r="F12" s="135">
        <v>1</v>
      </c>
      <c r="G12" s="136">
        <f t="shared" si="1"/>
        <v>0.87</v>
      </c>
      <c r="H12" s="137">
        <f t="shared" si="2"/>
        <v>1751634.52</v>
      </c>
      <c r="I12" s="137">
        <f t="shared" si="3"/>
        <v>1751634.52</v>
      </c>
      <c r="J12" s="137">
        <f t="shared" si="4"/>
        <v>1523922.03</v>
      </c>
      <c r="K12" s="137">
        <f t="shared" si="28"/>
        <v>1021026.7</v>
      </c>
      <c r="L12" s="137">
        <f t="shared" si="5"/>
        <v>502895.33</v>
      </c>
      <c r="M12" s="137">
        <f t="shared" si="29"/>
        <v>227712.49000000002</v>
      </c>
      <c r="N12" s="138">
        <f t="shared" si="6"/>
        <v>0.13000000137014886</v>
      </c>
      <c r="O12" s="139">
        <f t="shared" si="7"/>
        <v>1751634.52</v>
      </c>
      <c r="P12" s="135">
        <v>8</v>
      </c>
      <c r="Q12" s="136">
        <f t="shared" si="8"/>
        <v>6.96</v>
      </c>
      <c r="R12" s="140">
        <f t="shared" si="0"/>
        <v>13406686.42</v>
      </c>
      <c r="S12" s="140">
        <f t="shared" si="9"/>
        <v>13406686.42</v>
      </c>
      <c r="T12" s="141">
        <f t="shared" si="10"/>
        <v>11663817.18</v>
      </c>
      <c r="U12" s="142">
        <f t="shared" si="11"/>
        <v>7814757.5099999998</v>
      </c>
      <c r="V12" s="142">
        <f t="shared" si="12"/>
        <v>3849059.67</v>
      </c>
      <c r="W12" s="139">
        <f>ROUND(S12*(1-D12),2)+0.01</f>
        <v>1742869.24</v>
      </c>
      <c r="X12" s="143">
        <f t="shared" si="13"/>
        <v>0.13000000040278409</v>
      </c>
      <c r="Y12" s="139">
        <f t="shared" si="14"/>
        <v>1675835.8025</v>
      </c>
      <c r="Z12" s="135"/>
      <c r="AA12" s="144">
        <f t="shared" si="15"/>
        <v>0</v>
      </c>
      <c r="AB12" s="137" t="e">
        <f t="shared" si="16"/>
        <v>#DIV/0!</v>
      </c>
      <c r="AC12" s="137" t="e">
        <f t="shared" si="17"/>
        <v>#DIV/0!</v>
      </c>
      <c r="AD12" s="137" t="e">
        <f t="shared" si="18"/>
        <v>#DIV/0!</v>
      </c>
      <c r="AE12" s="137" t="e">
        <f t="shared" si="19"/>
        <v>#DIV/0!</v>
      </c>
      <c r="AF12" s="137" t="e">
        <f t="shared" si="20"/>
        <v>#DIV/0!</v>
      </c>
      <c r="AG12" s="137" t="e">
        <f t="shared" si="21"/>
        <v>#DIV/0!</v>
      </c>
      <c r="AH12" s="138" t="e">
        <f t="shared" si="22"/>
        <v>#DIV/0!</v>
      </c>
      <c r="AI12" s="139">
        <f t="shared" si="23"/>
        <v>0</v>
      </c>
      <c r="AJ12" s="145">
        <f t="shared" si="24"/>
        <v>1523922.03</v>
      </c>
      <c r="AK12" s="145">
        <f t="shared" si="25"/>
        <v>11663817.18</v>
      </c>
      <c r="AL12" s="146" t="s">
        <v>69</v>
      </c>
      <c r="AM12" s="118">
        <f t="shared" si="26"/>
        <v>1523.9</v>
      </c>
      <c r="AN12" s="118">
        <f t="shared" si="27"/>
        <v>11663.8</v>
      </c>
      <c r="AO12" s="147" t="s">
        <v>69</v>
      </c>
    </row>
    <row r="13" spans="1:41" ht="15.75" x14ac:dyDescent="0.2">
      <c r="A13" s="132">
        <v>7</v>
      </c>
      <c r="B13" s="133" t="s">
        <v>9</v>
      </c>
      <c r="C13" s="134">
        <v>0.89</v>
      </c>
      <c r="D13" s="134">
        <v>0.9</v>
      </c>
      <c r="E13" s="134">
        <v>0.89</v>
      </c>
      <c r="F13" s="135">
        <v>2</v>
      </c>
      <c r="G13" s="136">
        <f t="shared" si="1"/>
        <v>1.78</v>
      </c>
      <c r="H13" s="137">
        <f t="shared" si="2"/>
        <v>3503269.0199999996</v>
      </c>
      <c r="I13" s="137">
        <f t="shared" si="3"/>
        <v>3503269.04</v>
      </c>
      <c r="J13" s="137">
        <f t="shared" si="4"/>
        <v>3117909.4299999997</v>
      </c>
      <c r="K13" s="137">
        <f>ROUND((I13-M13)*(1-$H$35),2)-0.01</f>
        <v>2088997.15</v>
      </c>
      <c r="L13" s="137">
        <f>ROUND((I13-M13)*$H$35,2)-0.01</f>
        <v>1028912.28</v>
      </c>
      <c r="M13" s="137">
        <f>ROUNDUP(I13*(1-C13),2)-0.01</f>
        <v>385359.59</v>
      </c>
      <c r="N13" s="138">
        <f t="shared" si="6"/>
        <v>0.10999999874403024</v>
      </c>
      <c r="O13" s="139">
        <f t="shared" si="7"/>
        <v>1751634.52</v>
      </c>
      <c r="P13" s="135">
        <v>8</v>
      </c>
      <c r="Q13" s="136">
        <f t="shared" si="8"/>
        <v>7.2</v>
      </c>
      <c r="R13" s="140">
        <f t="shared" si="0"/>
        <v>13406686.42</v>
      </c>
      <c r="S13" s="140">
        <f t="shared" si="9"/>
        <v>13406686.42</v>
      </c>
      <c r="T13" s="141">
        <f t="shared" si="10"/>
        <v>12066017.77</v>
      </c>
      <c r="U13" s="142">
        <f>ROUND((S13-W13)*(1-$S$35),2)</f>
        <v>8084231.9100000001</v>
      </c>
      <c r="V13" s="142">
        <f>ROUND((S13-W13)*$S$35,2)</f>
        <v>3981785.86</v>
      </c>
      <c r="W13" s="139">
        <f>ROUND(S13*(1-D13),2)+0.01</f>
        <v>1340668.6499999999</v>
      </c>
      <c r="X13" s="143">
        <f t="shared" si="13"/>
        <v>0.10000000059671717</v>
      </c>
      <c r="Y13" s="139">
        <f t="shared" si="14"/>
        <v>1675835.8025</v>
      </c>
      <c r="Z13" s="135"/>
      <c r="AA13" s="144">
        <f t="shared" si="15"/>
        <v>0</v>
      </c>
      <c r="AB13" s="137" t="e">
        <f t="shared" si="16"/>
        <v>#DIV/0!</v>
      </c>
      <c r="AC13" s="137" t="e">
        <f t="shared" si="17"/>
        <v>#DIV/0!</v>
      </c>
      <c r="AD13" s="137" t="e">
        <f t="shared" si="18"/>
        <v>#DIV/0!</v>
      </c>
      <c r="AE13" s="137" t="e">
        <f t="shared" si="19"/>
        <v>#DIV/0!</v>
      </c>
      <c r="AF13" s="137" t="e">
        <f t="shared" si="20"/>
        <v>#DIV/0!</v>
      </c>
      <c r="AG13" s="137" t="e">
        <f t="shared" si="21"/>
        <v>#DIV/0!</v>
      </c>
      <c r="AH13" s="138" t="e">
        <f t="shared" si="22"/>
        <v>#DIV/0!</v>
      </c>
      <c r="AI13" s="139">
        <f t="shared" si="23"/>
        <v>0</v>
      </c>
      <c r="AJ13" s="145">
        <f t="shared" si="24"/>
        <v>3117909.4299999997</v>
      </c>
      <c r="AK13" s="145">
        <f t="shared" si="25"/>
        <v>12066017.77</v>
      </c>
      <c r="AL13" s="146" t="s">
        <v>69</v>
      </c>
      <c r="AM13" s="118">
        <f t="shared" si="26"/>
        <v>3117.9</v>
      </c>
      <c r="AN13" s="118">
        <f t="shared" si="27"/>
        <v>12066</v>
      </c>
      <c r="AO13" s="147" t="s">
        <v>69</v>
      </c>
    </row>
    <row r="14" spans="1:41" ht="15.75" x14ac:dyDescent="0.2">
      <c r="A14" s="132">
        <v>8</v>
      </c>
      <c r="B14" s="133" t="s">
        <v>10</v>
      </c>
      <c r="C14" s="134">
        <v>0.89</v>
      </c>
      <c r="D14" s="134">
        <v>0.9</v>
      </c>
      <c r="E14" s="134">
        <v>0.9</v>
      </c>
      <c r="F14" s="135">
        <v>0</v>
      </c>
      <c r="G14" s="136">
        <f t="shared" si="1"/>
        <v>0</v>
      </c>
      <c r="H14" s="137">
        <f t="shared" si="2"/>
        <v>0</v>
      </c>
      <c r="I14" s="137">
        <f t="shared" si="3"/>
        <v>0</v>
      </c>
      <c r="J14" s="137">
        <f t="shared" si="4"/>
        <v>0</v>
      </c>
      <c r="K14" s="137">
        <f t="shared" si="28"/>
        <v>0</v>
      </c>
      <c r="L14" s="137">
        <f>ROUND((I14-M14)*$H$35,2)</f>
        <v>0</v>
      </c>
      <c r="M14" s="137">
        <f t="shared" si="29"/>
        <v>0</v>
      </c>
      <c r="N14" s="138">
        <f t="shared" si="6"/>
        <v>0</v>
      </c>
      <c r="O14" s="139">
        <f t="shared" si="7"/>
        <v>0</v>
      </c>
      <c r="P14" s="135">
        <v>8</v>
      </c>
      <c r="Q14" s="136">
        <f t="shared" si="8"/>
        <v>7.2</v>
      </c>
      <c r="R14" s="140">
        <f t="shared" si="0"/>
        <v>13406686.42</v>
      </c>
      <c r="S14" s="140">
        <f t="shared" si="9"/>
        <v>13406686.42</v>
      </c>
      <c r="T14" s="141">
        <f t="shared" si="10"/>
        <v>12066017.77</v>
      </c>
      <c r="U14" s="142">
        <f t="shared" si="11"/>
        <v>8084231.9100000001</v>
      </c>
      <c r="V14" s="142">
        <f t="shared" si="12"/>
        <v>3981785.86</v>
      </c>
      <c r="W14" s="139">
        <f>ROUND(S14*(1-D14),2)+0.01</f>
        <v>1340668.6499999999</v>
      </c>
      <c r="X14" s="143">
        <f t="shared" si="13"/>
        <v>0.10000000059671717</v>
      </c>
      <c r="Y14" s="139">
        <f t="shared" si="14"/>
        <v>1675835.8025</v>
      </c>
      <c r="Z14" s="135"/>
      <c r="AA14" s="144">
        <f t="shared" si="15"/>
        <v>0</v>
      </c>
      <c r="AB14" s="137" t="e">
        <f t="shared" si="16"/>
        <v>#DIV/0!</v>
      </c>
      <c r="AC14" s="137" t="e">
        <f t="shared" si="17"/>
        <v>#DIV/0!</v>
      </c>
      <c r="AD14" s="137" t="e">
        <f t="shared" si="18"/>
        <v>#DIV/0!</v>
      </c>
      <c r="AE14" s="137" t="e">
        <f t="shared" si="19"/>
        <v>#DIV/0!</v>
      </c>
      <c r="AF14" s="137" t="e">
        <f t="shared" si="20"/>
        <v>#DIV/0!</v>
      </c>
      <c r="AG14" s="137" t="e">
        <f t="shared" si="21"/>
        <v>#DIV/0!</v>
      </c>
      <c r="AH14" s="138" t="e">
        <f t="shared" si="22"/>
        <v>#DIV/0!</v>
      </c>
      <c r="AI14" s="139">
        <f t="shared" si="23"/>
        <v>0</v>
      </c>
      <c r="AJ14" s="145">
        <f t="shared" si="24"/>
        <v>0</v>
      </c>
      <c r="AK14" s="145">
        <f t="shared" si="25"/>
        <v>12066017.77</v>
      </c>
      <c r="AL14" s="146" t="s">
        <v>69</v>
      </c>
      <c r="AM14" s="118">
        <f t="shared" si="26"/>
        <v>0</v>
      </c>
      <c r="AN14" s="118">
        <f t="shared" si="27"/>
        <v>12066</v>
      </c>
      <c r="AO14" s="147" t="s">
        <v>69</v>
      </c>
    </row>
    <row r="15" spans="1:41" ht="15.75" x14ac:dyDescent="0.2">
      <c r="A15" s="132">
        <v>9</v>
      </c>
      <c r="B15" s="133" t="s">
        <v>11</v>
      </c>
      <c r="C15" s="134">
        <v>0.9</v>
      </c>
      <c r="D15" s="134">
        <v>0.9</v>
      </c>
      <c r="E15" s="134">
        <v>0.89</v>
      </c>
      <c r="F15" s="135">
        <v>1</v>
      </c>
      <c r="G15" s="136">
        <f t="shared" si="1"/>
        <v>0.9</v>
      </c>
      <c r="H15" s="137">
        <f t="shared" si="2"/>
        <v>1751634.52</v>
      </c>
      <c r="I15" s="137">
        <f t="shared" si="3"/>
        <v>1751634.52</v>
      </c>
      <c r="J15" s="137">
        <f t="shared" si="4"/>
        <v>1576471.07</v>
      </c>
      <c r="K15" s="137">
        <f t="shared" si="28"/>
        <v>1056234.52</v>
      </c>
      <c r="L15" s="137">
        <f t="shared" si="5"/>
        <v>520236.55</v>
      </c>
      <c r="M15" s="137">
        <f>ROUNDUP(I15*(1-C15),2)-0.01</f>
        <v>175163.45</v>
      </c>
      <c r="N15" s="138">
        <f t="shared" si="6"/>
        <v>9.9999998858209302E-2</v>
      </c>
      <c r="O15" s="139">
        <f t="shared" si="7"/>
        <v>1751634.52</v>
      </c>
      <c r="P15" s="135">
        <v>9</v>
      </c>
      <c r="Q15" s="136">
        <f t="shared" si="8"/>
        <v>8.1</v>
      </c>
      <c r="R15" s="140">
        <f t="shared" si="0"/>
        <v>15082522.220000001</v>
      </c>
      <c r="S15" s="140">
        <f t="shared" si="9"/>
        <v>15082522.220000001</v>
      </c>
      <c r="T15" s="141">
        <f t="shared" si="10"/>
        <v>13574269.99</v>
      </c>
      <c r="U15" s="142">
        <f t="shared" si="11"/>
        <v>9094760.8900000006</v>
      </c>
      <c r="V15" s="142">
        <f t="shared" si="12"/>
        <v>4479509.0999999996</v>
      </c>
      <c r="W15" s="139">
        <f>ROUND(S15*(1-D15),2)+0.01</f>
        <v>1508252.23</v>
      </c>
      <c r="X15" s="143">
        <f t="shared" si="13"/>
        <v>0.10000000053041526</v>
      </c>
      <c r="Y15" s="139">
        <f t="shared" si="14"/>
        <v>1675835.8022222223</v>
      </c>
      <c r="Z15" s="135"/>
      <c r="AA15" s="144">
        <f t="shared" si="15"/>
        <v>0</v>
      </c>
      <c r="AB15" s="137" t="e">
        <f t="shared" si="16"/>
        <v>#DIV/0!</v>
      </c>
      <c r="AC15" s="137" t="e">
        <f t="shared" si="17"/>
        <v>#DIV/0!</v>
      </c>
      <c r="AD15" s="137" t="e">
        <f t="shared" si="18"/>
        <v>#DIV/0!</v>
      </c>
      <c r="AE15" s="137" t="e">
        <f t="shared" si="19"/>
        <v>#DIV/0!</v>
      </c>
      <c r="AF15" s="137" t="e">
        <f t="shared" si="20"/>
        <v>#DIV/0!</v>
      </c>
      <c r="AG15" s="137" t="e">
        <f t="shared" si="21"/>
        <v>#DIV/0!</v>
      </c>
      <c r="AH15" s="138" t="e">
        <f t="shared" si="22"/>
        <v>#DIV/0!</v>
      </c>
      <c r="AI15" s="139">
        <f t="shared" si="23"/>
        <v>0</v>
      </c>
      <c r="AJ15" s="145">
        <f t="shared" si="24"/>
        <v>1576471.07</v>
      </c>
      <c r="AK15" s="145">
        <f t="shared" si="25"/>
        <v>13574269.99</v>
      </c>
      <c r="AL15" s="146" t="s">
        <v>69</v>
      </c>
      <c r="AM15" s="118">
        <f t="shared" si="26"/>
        <v>1576.5</v>
      </c>
      <c r="AN15" s="118">
        <f t="shared" si="27"/>
        <v>13574.3</v>
      </c>
      <c r="AO15" s="147" t="s">
        <v>69</v>
      </c>
    </row>
    <row r="16" spans="1:41" ht="15.75" x14ac:dyDescent="0.2">
      <c r="A16" s="132">
        <v>10</v>
      </c>
      <c r="B16" s="133" t="s">
        <v>12</v>
      </c>
      <c r="C16" s="134">
        <v>0.9</v>
      </c>
      <c r="D16" s="134">
        <v>0.89</v>
      </c>
      <c r="E16" s="134">
        <v>0.9</v>
      </c>
      <c r="F16" s="135">
        <v>1</v>
      </c>
      <c r="G16" s="136">
        <f t="shared" si="1"/>
        <v>0.9</v>
      </c>
      <c r="H16" s="137">
        <f t="shared" si="2"/>
        <v>1751634.52</v>
      </c>
      <c r="I16" s="137">
        <f t="shared" si="3"/>
        <v>1751634.52</v>
      </c>
      <c r="J16" s="137">
        <f t="shared" si="4"/>
        <v>1576471.07</v>
      </c>
      <c r="K16" s="137">
        <f t="shared" si="28"/>
        <v>1056234.52</v>
      </c>
      <c r="L16" s="137">
        <f t="shared" si="5"/>
        <v>520236.55</v>
      </c>
      <c r="M16" s="137">
        <f>ROUNDUP(I16*(1-C16),2)-0.01</f>
        <v>175163.45</v>
      </c>
      <c r="N16" s="138">
        <f t="shared" si="6"/>
        <v>9.9999998858209302E-2</v>
      </c>
      <c r="O16" s="139">
        <f t="shared" si="7"/>
        <v>1751634.52</v>
      </c>
      <c r="P16" s="135">
        <v>1</v>
      </c>
      <c r="Q16" s="136">
        <f t="shared" si="8"/>
        <v>0.89</v>
      </c>
      <c r="R16" s="140">
        <f t="shared" si="0"/>
        <v>1675835.7999999998</v>
      </c>
      <c r="S16" s="140">
        <f t="shared" si="9"/>
        <v>1675835.8</v>
      </c>
      <c r="T16" s="141">
        <f t="shared" si="10"/>
        <v>1491493.8599999999</v>
      </c>
      <c r="U16" s="142">
        <f t="shared" si="11"/>
        <v>999300.89</v>
      </c>
      <c r="V16" s="142">
        <f t="shared" si="12"/>
        <v>492192.97</v>
      </c>
      <c r="W16" s="139">
        <f t="shared" si="30"/>
        <v>184341.94</v>
      </c>
      <c r="X16" s="143">
        <f t="shared" si="13"/>
        <v>0.11000000119343434</v>
      </c>
      <c r="Y16" s="139">
        <f t="shared" si="14"/>
        <v>1675835.8</v>
      </c>
      <c r="Z16" s="135"/>
      <c r="AA16" s="144">
        <f t="shared" si="15"/>
        <v>0</v>
      </c>
      <c r="AB16" s="137" t="e">
        <f t="shared" si="16"/>
        <v>#DIV/0!</v>
      </c>
      <c r="AC16" s="137" t="e">
        <f t="shared" si="17"/>
        <v>#DIV/0!</v>
      </c>
      <c r="AD16" s="137" t="e">
        <f t="shared" si="18"/>
        <v>#DIV/0!</v>
      </c>
      <c r="AE16" s="137" t="e">
        <f t="shared" si="19"/>
        <v>#DIV/0!</v>
      </c>
      <c r="AF16" s="137" t="e">
        <f t="shared" si="20"/>
        <v>#DIV/0!</v>
      </c>
      <c r="AG16" s="137" t="e">
        <f t="shared" si="21"/>
        <v>#DIV/0!</v>
      </c>
      <c r="AH16" s="138" t="e">
        <f t="shared" si="22"/>
        <v>#DIV/0!</v>
      </c>
      <c r="AI16" s="139">
        <f t="shared" si="23"/>
        <v>0</v>
      </c>
      <c r="AJ16" s="145">
        <f t="shared" si="24"/>
        <v>1576471.07</v>
      </c>
      <c r="AK16" s="145">
        <f t="shared" si="25"/>
        <v>1491493.8599999999</v>
      </c>
      <c r="AL16" s="146" t="s">
        <v>69</v>
      </c>
      <c r="AM16" s="118">
        <f t="shared" si="26"/>
        <v>1576.5</v>
      </c>
      <c r="AN16" s="118">
        <f t="shared" si="27"/>
        <v>1491.5</v>
      </c>
      <c r="AO16" s="147" t="s">
        <v>69</v>
      </c>
    </row>
    <row r="17" spans="1:41" ht="15.75" x14ac:dyDescent="0.2">
      <c r="A17" s="132">
        <v>11</v>
      </c>
      <c r="B17" s="133" t="s">
        <v>56</v>
      </c>
      <c r="C17" s="134">
        <v>0.89</v>
      </c>
      <c r="D17" s="134">
        <v>0.89</v>
      </c>
      <c r="E17" s="134">
        <v>0.9</v>
      </c>
      <c r="F17" s="135">
        <v>1</v>
      </c>
      <c r="G17" s="136">
        <f t="shared" si="1"/>
        <v>0.89</v>
      </c>
      <c r="H17" s="137">
        <f t="shared" si="2"/>
        <v>1751634.51</v>
      </c>
      <c r="I17" s="137">
        <f t="shared" si="3"/>
        <v>1751634.52</v>
      </c>
      <c r="J17" s="137">
        <f t="shared" si="4"/>
        <v>1558954.71</v>
      </c>
      <c r="K17" s="137">
        <f t="shared" si="28"/>
        <v>1044498.58</v>
      </c>
      <c r="L17" s="137">
        <f>ROUND((I17-M17)*$H$35,2)-0.01</f>
        <v>514456.13</v>
      </c>
      <c r="M17" s="137">
        <f t="shared" si="29"/>
        <v>192679.80000000002</v>
      </c>
      <c r="N17" s="138">
        <f t="shared" si="6"/>
        <v>0.11000000159850698</v>
      </c>
      <c r="O17" s="139">
        <f t="shared" si="7"/>
        <v>1751634.52</v>
      </c>
      <c r="P17" s="135">
        <v>9</v>
      </c>
      <c r="Q17" s="136">
        <f t="shared" si="8"/>
        <v>8.01</v>
      </c>
      <c r="R17" s="140">
        <f t="shared" si="0"/>
        <v>15082522.219999999</v>
      </c>
      <c r="S17" s="140">
        <f t="shared" si="9"/>
        <v>15082522.220000001</v>
      </c>
      <c r="T17" s="141">
        <f t="shared" si="10"/>
        <v>13423444.77</v>
      </c>
      <c r="U17" s="142">
        <f t="shared" si="11"/>
        <v>8993708</v>
      </c>
      <c r="V17" s="142">
        <f>ROUND((S17-W17)*$S$35,2)</f>
        <v>4429736.7699999996</v>
      </c>
      <c r="W17" s="139">
        <f>ROUND(S17*(1-D17),2)+0.01</f>
        <v>1659077.45</v>
      </c>
      <c r="X17" s="143">
        <f t="shared" si="13"/>
        <v>0.11000000038455106</v>
      </c>
      <c r="Y17" s="139">
        <f t="shared" si="14"/>
        <v>1675835.8022222223</v>
      </c>
      <c r="Z17" s="135"/>
      <c r="AA17" s="144">
        <f t="shared" si="15"/>
        <v>0</v>
      </c>
      <c r="AB17" s="137" t="e">
        <f t="shared" si="16"/>
        <v>#DIV/0!</v>
      </c>
      <c r="AC17" s="137" t="e">
        <f t="shared" si="17"/>
        <v>#DIV/0!</v>
      </c>
      <c r="AD17" s="137" t="e">
        <f t="shared" si="18"/>
        <v>#DIV/0!</v>
      </c>
      <c r="AE17" s="137" t="e">
        <f t="shared" si="19"/>
        <v>#DIV/0!</v>
      </c>
      <c r="AF17" s="137" t="e">
        <f t="shared" si="20"/>
        <v>#DIV/0!</v>
      </c>
      <c r="AG17" s="137" t="e">
        <f t="shared" si="21"/>
        <v>#DIV/0!</v>
      </c>
      <c r="AH17" s="138" t="e">
        <f t="shared" si="22"/>
        <v>#DIV/0!</v>
      </c>
      <c r="AI17" s="139">
        <f t="shared" si="23"/>
        <v>0</v>
      </c>
      <c r="AJ17" s="145">
        <f t="shared" si="24"/>
        <v>1558954.71</v>
      </c>
      <c r="AK17" s="145">
        <f t="shared" si="25"/>
        <v>13423444.77</v>
      </c>
      <c r="AL17" s="146" t="s">
        <v>69</v>
      </c>
      <c r="AM17" s="118">
        <f t="shared" si="26"/>
        <v>1559</v>
      </c>
      <c r="AN17" s="118">
        <f>ROUND(AK17/1000,1)-0.1</f>
        <v>13423.3</v>
      </c>
      <c r="AO17" s="147" t="s">
        <v>69</v>
      </c>
    </row>
    <row r="18" spans="1:41" ht="15.75" x14ac:dyDescent="0.2">
      <c r="A18" s="132">
        <v>12</v>
      </c>
      <c r="B18" s="133" t="s">
        <v>14</v>
      </c>
      <c r="C18" s="134">
        <v>0.9</v>
      </c>
      <c r="D18" s="134">
        <v>0.9</v>
      </c>
      <c r="E18" s="134">
        <v>0.89</v>
      </c>
      <c r="F18" s="135">
        <v>1</v>
      </c>
      <c r="G18" s="136">
        <f t="shared" si="1"/>
        <v>0.9</v>
      </c>
      <c r="H18" s="137">
        <f t="shared" si="2"/>
        <v>1751634.52</v>
      </c>
      <c r="I18" s="137">
        <f t="shared" si="3"/>
        <v>1751634.52</v>
      </c>
      <c r="J18" s="137">
        <f t="shared" si="4"/>
        <v>1576471.07</v>
      </c>
      <c r="K18" s="137">
        <f>ROUND((I18-M18)*(1-$H$35),2)</f>
        <v>1056234.52</v>
      </c>
      <c r="L18" s="137">
        <f t="shared" si="5"/>
        <v>520236.55</v>
      </c>
      <c r="M18" s="137">
        <f>ROUNDUP(I18*(1-C18),2)-0.01</f>
        <v>175163.45</v>
      </c>
      <c r="N18" s="138">
        <f t="shared" si="6"/>
        <v>9.9999998858209302E-2</v>
      </c>
      <c r="O18" s="139">
        <f t="shared" si="7"/>
        <v>1751634.52</v>
      </c>
      <c r="P18" s="135">
        <v>8</v>
      </c>
      <c r="Q18" s="136">
        <f t="shared" si="8"/>
        <v>7.2</v>
      </c>
      <c r="R18" s="140">
        <f t="shared" si="0"/>
        <v>13406686.42</v>
      </c>
      <c r="S18" s="140">
        <f t="shared" si="9"/>
        <v>13406686.42</v>
      </c>
      <c r="T18" s="141">
        <f t="shared" si="10"/>
        <v>12066017.77</v>
      </c>
      <c r="U18" s="142">
        <f t="shared" si="11"/>
        <v>8084231.9100000001</v>
      </c>
      <c r="V18" s="142">
        <f t="shared" si="12"/>
        <v>3981785.86</v>
      </c>
      <c r="W18" s="139">
        <f>ROUND(S18*(1-D18),2)+0.01</f>
        <v>1340668.6499999999</v>
      </c>
      <c r="X18" s="143">
        <f t="shared" si="13"/>
        <v>0.10000000059671717</v>
      </c>
      <c r="Y18" s="139">
        <f t="shared" si="14"/>
        <v>1675835.8025</v>
      </c>
      <c r="Z18" s="135"/>
      <c r="AA18" s="144">
        <f t="shared" si="15"/>
        <v>0</v>
      </c>
      <c r="AB18" s="137" t="e">
        <f t="shared" si="16"/>
        <v>#DIV/0!</v>
      </c>
      <c r="AC18" s="137" t="e">
        <f t="shared" si="17"/>
        <v>#DIV/0!</v>
      </c>
      <c r="AD18" s="137" t="e">
        <f t="shared" si="18"/>
        <v>#DIV/0!</v>
      </c>
      <c r="AE18" s="137" t="e">
        <f t="shared" si="19"/>
        <v>#DIV/0!</v>
      </c>
      <c r="AF18" s="137" t="e">
        <f t="shared" si="20"/>
        <v>#DIV/0!</v>
      </c>
      <c r="AG18" s="137" t="e">
        <f t="shared" si="21"/>
        <v>#DIV/0!</v>
      </c>
      <c r="AH18" s="138" t="e">
        <f t="shared" si="22"/>
        <v>#DIV/0!</v>
      </c>
      <c r="AI18" s="139">
        <f t="shared" si="23"/>
        <v>0</v>
      </c>
      <c r="AJ18" s="145">
        <f t="shared" si="24"/>
        <v>1576471.07</v>
      </c>
      <c r="AK18" s="145">
        <f t="shared" si="25"/>
        <v>12066017.77</v>
      </c>
      <c r="AL18" s="146" t="s">
        <v>69</v>
      </c>
      <c r="AM18" s="118">
        <f t="shared" si="26"/>
        <v>1576.5</v>
      </c>
      <c r="AN18" s="118">
        <f t="shared" si="27"/>
        <v>12066</v>
      </c>
      <c r="AO18" s="147" t="s">
        <v>69</v>
      </c>
    </row>
    <row r="19" spans="1:41" ht="15.75" x14ac:dyDescent="0.2">
      <c r="A19" s="132">
        <v>13</v>
      </c>
      <c r="B19" s="133" t="s">
        <v>15</v>
      </c>
      <c r="C19" s="134">
        <v>0.9</v>
      </c>
      <c r="D19" s="134">
        <v>0.9</v>
      </c>
      <c r="E19" s="134">
        <v>0.9</v>
      </c>
      <c r="F19" s="135">
        <v>1</v>
      </c>
      <c r="G19" s="136">
        <f t="shared" si="1"/>
        <v>0.9</v>
      </c>
      <c r="H19" s="137">
        <f t="shared" si="2"/>
        <v>1751634.52</v>
      </c>
      <c r="I19" s="137">
        <f t="shared" si="3"/>
        <v>1751634.52</v>
      </c>
      <c r="J19" s="137">
        <f t="shared" si="4"/>
        <v>1576471.07</v>
      </c>
      <c r="K19" s="137">
        <f>ROUND((I19-M19)*(1-$H$35),2)</f>
        <v>1056234.52</v>
      </c>
      <c r="L19" s="137">
        <f t="shared" si="5"/>
        <v>520236.55</v>
      </c>
      <c r="M19" s="137">
        <f>ROUNDUP(I19*(1-C19),2)-0.01</f>
        <v>175163.45</v>
      </c>
      <c r="N19" s="138">
        <f t="shared" si="6"/>
        <v>9.9999998858209302E-2</v>
      </c>
      <c r="O19" s="139">
        <f t="shared" si="7"/>
        <v>1751634.52</v>
      </c>
      <c r="P19" s="135">
        <v>2</v>
      </c>
      <c r="Q19" s="136">
        <f t="shared" si="8"/>
        <v>1.8</v>
      </c>
      <c r="R19" s="140">
        <f t="shared" si="0"/>
        <v>3351671.6</v>
      </c>
      <c r="S19" s="140">
        <f t="shared" si="9"/>
        <v>3351671.6</v>
      </c>
      <c r="T19" s="141">
        <f t="shared" si="10"/>
        <v>3016504.44</v>
      </c>
      <c r="U19" s="142">
        <f t="shared" si="11"/>
        <v>2021057.97</v>
      </c>
      <c r="V19" s="142">
        <f t="shared" si="12"/>
        <v>995446.47</v>
      </c>
      <c r="W19" s="139">
        <f t="shared" si="30"/>
        <v>335167.15999999997</v>
      </c>
      <c r="X19" s="143">
        <f t="shared" si="13"/>
        <v>9.9999999999999992E-2</v>
      </c>
      <c r="Y19" s="139">
        <f t="shared" si="14"/>
        <v>1675835.8</v>
      </c>
      <c r="Z19" s="135"/>
      <c r="AA19" s="144">
        <f t="shared" si="15"/>
        <v>0</v>
      </c>
      <c r="AB19" s="137" t="e">
        <f t="shared" si="16"/>
        <v>#DIV/0!</v>
      </c>
      <c r="AC19" s="137" t="e">
        <f t="shared" si="17"/>
        <v>#DIV/0!</v>
      </c>
      <c r="AD19" s="137" t="e">
        <f t="shared" si="18"/>
        <v>#DIV/0!</v>
      </c>
      <c r="AE19" s="137" t="e">
        <f t="shared" si="19"/>
        <v>#DIV/0!</v>
      </c>
      <c r="AF19" s="137" t="e">
        <f t="shared" si="20"/>
        <v>#DIV/0!</v>
      </c>
      <c r="AG19" s="137" t="e">
        <f t="shared" si="21"/>
        <v>#DIV/0!</v>
      </c>
      <c r="AH19" s="138" t="e">
        <f t="shared" si="22"/>
        <v>#DIV/0!</v>
      </c>
      <c r="AI19" s="139">
        <f t="shared" si="23"/>
        <v>0</v>
      </c>
      <c r="AJ19" s="145">
        <f t="shared" si="24"/>
        <v>1576471.07</v>
      </c>
      <c r="AK19" s="145">
        <f t="shared" si="25"/>
        <v>3016504.44</v>
      </c>
      <c r="AL19" s="146" t="s">
        <v>69</v>
      </c>
      <c r="AM19" s="118">
        <f t="shared" si="26"/>
        <v>1576.5</v>
      </c>
      <c r="AN19" s="118">
        <f t="shared" si="27"/>
        <v>3016.5</v>
      </c>
      <c r="AO19" s="147" t="s">
        <v>69</v>
      </c>
    </row>
    <row r="20" spans="1:41" ht="15.75" x14ac:dyDescent="0.2">
      <c r="A20" s="132">
        <v>14</v>
      </c>
      <c r="B20" s="133" t="s">
        <v>16</v>
      </c>
      <c r="C20" s="134">
        <v>0.89</v>
      </c>
      <c r="D20" s="134">
        <v>0.89</v>
      </c>
      <c r="E20" s="134">
        <v>0.89</v>
      </c>
      <c r="F20" s="135">
        <v>1</v>
      </c>
      <c r="G20" s="136">
        <f t="shared" si="1"/>
        <v>0.89</v>
      </c>
      <c r="H20" s="137">
        <f t="shared" si="2"/>
        <v>1751634.51</v>
      </c>
      <c r="I20" s="137">
        <f t="shared" si="3"/>
        <v>1751634.52</v>
      </c>
      <c r="J20" s="137">
        <f t="shared" si="4"/>
        <v>1558954.71</v>
      </c>
      <c r="K20" s="137">
        <f>ROUND((I20-M20)*(1-$H$35),2)</f>
        <v>1044498.58</v>
      </c>
      <c r="L20" s="137">
        <f>ROUND((I20-M20)*$H$35,2)-0.01</f>
        <v>514456.13</v>
      </c>
      <c r="M20" s="137">
        <f t="shared" si="29"/>
        <v>192679.80000000002</v>
      </c>
      <c r="N20" s="138">
        <f t="shared" si="6"/>
        <v>0.11000000159850698</v>
      </c>
      <c r="O20" s="139">
        <f t="shared" si="7"/>
        <v>1751634.52</v>
      </c>
      <c r="P20" s="135">
        <v>12</v>
      </c>
      <c r="Q20" s="136">
        <f t="shared" si="8"/>
        <v>10.68</v>
      </c>
      <c r="R20" s="140">
        <f t="shared" si="0"/>
        <v>20110029.619999997</v>
      </c>
      <c r="S20" s="140">
        <f t="shared" si="9"/>
        <v>20110029.620000001</v>
      </c>
      <c r="T20" s="141">
        <f t="shared" si="10"/>
        <v>17897926.359999999</v>
      </c>
      <c r="U20" s="142">
        <f t="shared" si="11"/>
        <v>11991610.66</v>
      </c>
      <c r="V20" s="142">
        <f>ROUND((S20-W20)*$S$35,2)</f>
        <v>5906315.7000000002</v>
      </c>
      <c r="W20" s="139">
        <f t="shared" si="30"/>
        <v>2212103.2599999998</v>
      </c>
      <c r="X20" s="143">
        <f t="shared" si="13"/>
        <v>0.11000000008950755</v>
      </c>
      <c r="Y20" s="139">
        <f t="shared" si="14"/>
        <v>1675835.8016666668</v>
      </c>
      <c r="Z20" s="135"/>
      <c r="AA20" s="144">
        <f t="shared" si="15"/>
        <v>0</v>
      </c>
      <c r="AB20" s="137" t="e">
        <f t="shared" si="16"/>
        <v>#DIV/0!</v>
      </c>
      <c r="AC20" s="137" t="e">
        <f t="shared" si="17"/>
        <v>#DIV/0!</v>
      </c>
      <c r="AD20" s="137" t="e">
        <f t="shared" si="18"/>
        <v>#DIV/0!</v>
      </c>
      <c r="AE20" s="137" t="e">
        <f t="shared" si="19"/>
        <v>#DIV/0!</v>
      </c>
      <c r="AF20" s="137" t="e">
        <f t="shared" si="20"/>
        <v>#DIV/0!</v>
      </c>
      <c r="AG20" s="137" t="e">
        <f t="shared" si="21"/>
        <v>#DIV/0!</v>
      </c>
      <c r="AH20" s="138" t="e">
        <f t="shared" si="22"/>
        <v>#DIV/0!</v>
      </c>
      <c r="AI20" s="139">
        <f t="shared" si="23"/>
        <v>0</v>
      </c>
      <c r="AJ20" s="145">
        <f t="shared" si="24"/>
        <v>1558954.71</v>
      </c>
      <c r="AK20" s="145">
        <f t="shared" si="25"/>
        <v>17897926.359999999</v>
      </c>
      <c r="AL20" s="146" t="s">
        <v>69</v>
      </c>
      <c r="AM20" s="118">
        <f t="shared" si="26"/>
        <v>1559</v>
      </c>
      <c r="AN20" s="118">
        <f>ROUND(AK20/1000,1)-0.1</f>
        <v>17897.800000000003</v>
      </c>
      <c r="AO20" s="147" t="s">
        <v>69</v>
      </c>
    </row>
    <row r="21" spans="1:41" ht="15.75" x14ac:dyDescent="0.2">
      <c r="A21" s="132">
        <v>15</v>
      </c>
      <c r="B21" s="133" t="s">
        <v>17</v>
      </c>
      <c r="C21" s="134">
        <v>0.9</v>
      </c>
      <c r="D21" s="134">
        <v>0.89</v>
      </c>
      <c r="E21" s="134">
        <v>0.88</v>
      </c>
      <c r="F21" s="135">
        <v>2</v>
      </c>
      <c r="G21" s="136">
        <f t="shared" si="1"/>
        <v>1.8</v>
      </c>
      <c r="H21" s="137">
        <f t="shared" si="2"/>
        <v>3503269.04</v>
      </c>
      <c r="I21" s="137">
        <f t="shared" si="3"/>
        <v>3503269.04</v>
      </c>
      <c r="J21" s="137">
        <f t="shared" si="4"/>
        <v>3152942.14</v>
      </c>
      <c r="K21" s="137">
        <f>ROUND((I21-M21)*(1-$H$35),2)</f>
        <v>2112469.04</v>
      </c>
      <c r="L21" s="137">
        <f>ROUND((I21-M21)*$H$35,2)</f>
        <v>1040473.1</v>
      </c>
      <c r="M21" s="137">
        <f>ROUNDUP(I21*(1-C21),2)-0.01</f>
        <v>350326.9</v>
      </c>
      <c r="N21" s="138">
        <f t="shared" si="6"/>
        <v>9.9999998858209302E-2</v>
      </c>
      <c r="O21" s="139">
        <f t="shared" si="7"/>
        <v>1751634.52</v>
      </c>
      <c r="P21" s="135">
        <v>1</v>
      </c>
      <c r="Q21" s="136">
        <f t="shared" si="8"/>
        <v>0.89</v>
      </c>
      <c r="R21" s="140">
        <f t="shared" si="0"/>
        <v>1675835.7999999998</v>
      </c>
      <c r="S21" s="140">
        <f t="shared" si="9"/>
        <v>1675835.8</v>
      </c>
      <c r="T21" s="141">
        <f t="shared" si="10"/>
        <v>1491493.8599999999</v>
      </c>
      <c r="U21" s="142">
        <f t="shared" si="11"/>
        <v>999300.89</v>
      </c>
      <c r="V21" s="142">
        <f t="shared" si="12"/>
        <v>492192.97</v>
      </c>
      <c r="W21" s="139">
        <f t="shared" si="30"/>
        <v>184341.94</v>
      </c>
      <c r="X21" s="143">
        <f t="shared" si="13"/>
        <v>0.11000000119343434</v>
      </c>
      <c r="Y21" s="139">
        <f t="shared" si="14"/>
        <v>1675835.8</v>
      </c>
      <c r="Z21" s="135"/>
      <c r="AA21" s="144">
        <f t="shared" si="15"/>
        <v>0</v>
      </c>
      <c r="AB21" s="137" t="e">
        <f t="shared" si="16"/>
        <v>#DIV/0!</v>
      </c>
      <c r="AC21" s="137" t="e">
        <f t="shared" si="17"/>
        <v>#DIV/0!</v>
      </c>
      <c r="AD21" s="137" t="e">
        <f t="shared" si="18"/>
        <v>#DIV/0!</v>
      </c>
      <c r="AE21" s="137" t="e">
        <f t="shared" si="19"/>
        <v>#DIV/0!</v>
      </c>
      <c r="AF21" s="137" t="e">
        <f t="shared" si="20"/>
        <v>#DIV/0!</v>
      </c>
      <c r="AG21" s="137" t="e">
        <f t="shared" si="21"/>
        <v>#DIV/0!</v>
      </c>
      <c r="AH21" s="138" t="e">
        <f t="shared" si="22"/>
        <v>#DIV/0!</v>
      </c>
      <c r="AI21" s="139">
        <f t="shared" si="23"/>
        <v>0</v>
      </c>
      <c r="AJ21" s="145">
        <f t="shared" si="24"/>
        <v>3152942.14</v>
      </c>
      <c r="AK21" s="145">
        <f t="shared" si="25"/>
        <v>1491493.8599999999</v>
      </c>
      <c r="AL21" s="146" t="s">
        <v>69</v>
      </c>
      <c r="AM21" s="118">
        <f t="shared" si="26"/>
        <v>3152.9</v>
      </c>
      <c r="AN21" s="118">
        <f t="shared" si="27"/>
        <v>1491.5</v>
      </c>
      <c r="AO21" s="147" t="s">
        <v>69</v>
      </c>
    </row>
    <row r="22" spans="1:41" ht="15.75" x14ac:dyDescent="0.2">
      <c r="A22" s="132">
        <v>16</v>
      </c>
      <c r="B22" s="133" t="s">
        <v>18</v>
      </c>
      <c r="C22" s="134">
        <v>0.9</v>
      </c>
      <c r="D22" s="134">
        <v>0.91</v>
      </c>
      <c r="E22" s="134">
        <v>0.91</v>
      </c>
      <c r="F22" s="148">
        <v>1</v>
      </c>
      <c r="G22" s="136">
        <f t="shared" si="1"/>
        <v>0.9</v>
      </c>
      <c r="H22" s="137">
        <f t="shared" si="2"/>
        <v>1751634.52</v>
      </c>
      <c r="I22" s="137">
        <f t="shared" si="3"/>
        <v>1751634.52</v>
      </c>
      <c r="J22" s="137">
        <f t="shared" si="4"/>
        <v>1576471.07</v>
      </c>
      <c r="K22" s="137">
        <f>ROUND((I22-M22)*(1-$H$35),2)</f>
        <v>1056234.52</v>
      </c>
      <c r="L22" s="137">
        <f t="shared" si="5"/>
        <v>520236.55</v>
      </c>
      <c r="M22" s="137">
        <f>ROUNDUP(I22*(1-C22),2)-0.01</f>
        <v>175163.45</v>
      </c>
      <c r="N22" s="138">
        <f t="shared" si="6"/>
        <v>9.9999998858209302E-2</v>
      </c>
      <c r="O22" s="139">
        <f t="shared" si="7"/>
        <v>1751634.52</v>
      </c>
      <c r="P22" s="148">
        <v>10</v>
      </c>
      <c r="Q22" s="136">
        <f t="shared" si="8"/>
        <v>9.1</v>
      </c>
      <c r="R22" s="140">
        <f t="shared" si="0"/>
        <v>16758358.020000001</v>
      </c>
      <c r="S22" s="140">
        <f t="shared" si="9"/>
        <v>16758358.02</v>
      </c>
      <c r="T22" s="141">
        <f t="shared" si="10"/>
        <v>15250105.790000001</v>
      </c>
      <c r="U22" s="142">
        <f t="shared" si="11"/>
        <v>10217570.880000001</v>
      </c>
      <c r="V22" s="142">
        <f t="shared" si="12"/>
        <v>5032534.91</v>
      </c>
      <c r="W22" s="139">
        <f>ROUND(S22*(1-D22),2)+0.01</f>
        <v>1508252.23</v>
      </c>
      <c r="X22" s="143">
        <f t="shared" si="13"/>
        <v>9.0000000489308077E-2</v>
      </c>
      <c r="Y22" s="139">
        <f t="shared" si="14"/>
        <v>1675835.8019999999</v>
      </c>
      <c r="Z22" s="148"/>
      <c r="AA22" s="144">
        <f t="shared" si="15"/>
        <v>0</v>
      </c>
      <c r="AB22" s="137" t="e">
        <f t="shared" si="16"/>
        <v>#DIV/0!</v>
      </c>
      <c r="AC22" s="137" t="e">
        <f t="shared" si="17"/>
        <v>#DIV/0!</v>
      </c>
      <c r="AD22" s="137" t="e">
        <f t="shared" si="18"/>
        <v>#DIV/0!</v>
      </c>
      <c r="AE22" s="137" t="e">
        <f t="shared" si="19"/>
        <v>#DIV/0!</v>
      </c>
      <c r="AF22" s="137" t="e">
        <f t="shared" si="20"/>
        <v>#DIV/0!</v>
      </c>
      <c r="AG22" s="137" t="e">
        <f t="shared" si="21"/>
        <v>#DIV/0!</v>
      </c>
      <c r="AH22" s="138" t="e">
        <f t="shared" si="22"/>
        <v>#DIV/0!</v>
      </c>
      <c r="AI22" s="139">
        <f t="shared" si="23"/>
        <v>0</v>
      </c>
      <c r="AJ22" s="145">
        <f t="shared" si="24"/>
        <v>1576471.07</v>
      </c>
      <c r="AK22" s="145">
        <f t="shared" si="25"/>
        <v>15250105.790000001</v>
      </c>
      <c r="AL22" s="146" t="s">
        <v>69</v>
      </c>
      <c r="AM22" s="118">
        <f t="shared" si="26"/>
        <v>1576.5</v>
      </c>
      <c r="AN22" s="118">
        <f t="shared" si="27"/>
        <v>15250.1</v>
      </c>
      <c r="AO22" s="147" t="s">
        <v>69</v>
      </c>
    </row>
    <row r="23" spans="1:41" ht="15.75" x14ac:dyDescent="0.2">
      <c r="A23" s="132">
        <v>17</v>
      </c>
      <c r="B23" s="133" t="s">
        <v>19</v>
      </c>
      <c r="C23" s="134">
        <v>0.9</v>
      </c>
      <c r="D23" s="134">
        <v>0.89</v>
      </c>
      <c r="E23" s="134">
        <v>0.89</v>
      </c>
      <c r="F23" s="148">
        <v>4</v>
      </c>
      <c r="G23" s="136">
        <f t="shared" si="1"/>
        <v>3.6</v>
      </c>
      <c r="H23" s="137">
        <f t="shared" si="2"/>
        <v>7006538.0800000001</v>
      </c>
      <c r="I23" s="137">
        <f t="shared" si="3"/>
        <v>7006538.0700000003</v>
      </c>
      <c r="J23" s="137">
        <f t="shared" si="4"/>
        <v>6305884.2700000005</v>
      </c>
      <c r="K23" s="137">
        <f>ROUND((I23-M23)*(1-$H$35),2)-0.02</f>
        <v>4224938.0500000007</v>
      </c>
      <c r="L23" s="137">
        <f>ROUND((I23-M23)*$H$35,2)+0.03</f>
        <v>2080946.22</v>
      </c>
      <c r="M23" s="137">
        <f t="shared" si="29"/>
        <v>700653.81</v>
      </c>
      <c r="N23" s="138">
        <f t="shared" si="6"/>
        <v>0.10000000042817152</v>
      </c>
      <c r="O23" s="139">
        <f t="shared" si="7"/>
        <v>1751634.5175000001</v>
      </c>
      <c r="P23" s="148">
        <v>12</v>
      </c>
      <c r="Q23" s="136">
        <f t="shared" si="8"/>
        <v>10.68</v>
      </c>
      <c r="R23" s="140">
        <f t="shared" si="0"/>
        <v>20110029.710000001</v>
      </c>
      <c r="S23" s="140">
        <f t="shared" si="9"/>
        <v>20110029.620000001</v>
      </c>
      <c r="T23" s="141">
        <f t="shared" si="10"/>
        <v>17897926.450000003</v>
      </c>
      <c r="U23" s="142">
        <f>ROUND((S23-W23)*(1-$S$35),2)+0.06</f>
        <v>11991610.720000001</v>
      </c>
      <c r="V23" s="142">
        <f>ROUND((S23-W23)*$S$35,2)+0.03</f>
        <v>5906315.7300000004</v>
      </c>
      <c r="W23" s="139">
        <f t="shared" si="30"/>
        <v>2212103.2599999998</v>
      </c>
      <c r="X23" s="143">
        <f t="shared" si="13"/>
        <v>0.11000000008950755</v>
      </c>
      <c r="Y23" s="139">
        <f t="shared" si="14"/>
        <v>1675835.8016666668</v>
      </c>
      <c r="Z23" s="148"/>
      <c r="AA23" s="144">
        <f t="shared" si="15"/>
        <v>0</v>
      </c>
      <c r="AB23" s="137" t="e">
        <f t="shared" si="16"/>
        <v>#DIV/0!</v>
      </c>
      <c r="AC23" s="137" t="e">
        <f t="shared" si="17"/>
        <v>#DIV/0!</v>
      </c>
      <c r="AD23" s="137" t="e">
        <f t="shared" si="18"/>
        <v>#DIV/0!</v>
      </c>
      <c r="AE23" s="137" t="e">
        <f>ROUND((AC23-AG23)*(1-$AC$35),2)+0.06</f>
        <v>#DIV/0!</v>
      </c>
      <c r="AF23" s="137" t="e">
        <f>ROUND((AC23-AG23)*$AC$35,2)+0.03</f>
        <v>#DIV/0!</v>
      </c>
      <c r="AG23" s="137" t="e">
        <f t="shared" si="21"/>
        <v>#DIV/0!</v>
      </c>
      <c r="AH23" s="138" t="e">
        <f t="shared" si="22"/>
        <v>#DIV/0!</v>
      </c>
      <c r="AI23" s="139">
        <f t="shared" si="23"/>
        <v>0</v>
      </c>
      <c r="AJ23" s="145">
        <f t="shared" si="24"/>
        <v>6305884.2700000005</v>
      </c>
      <c r="AK23" s="145">
        <f t="shared" si="25"/>
        <v>17897926.450000003</v>
      </c>
      <c r="AL23" s="146" t="s">
        <v>69</v>
      </c>
      <c r="AM23" s="118">
        <f t="shared" si="26"/>
        <v>6305.9</v>
      </c>
      <c r="AN23" s="118">
        <f t="shared" si="27"/>
        <v>17897.900000000001</v>
      </c>
      <c r="AO23" s="147" t="s">
        <v>69</v>
      </c>
    </row>
    <row r="24" spans="1:41" ht="15.75" x14ac:dyDescent="0.25">
      <c r="A24" s="132">
        <v>18</v>
      </c>
      <c r="B24" s="149" t="s">
        <v>20</v>
      </c>
      <c r="C24" s="150">
        <v>0.77</v>
      </c>
      <c r="D24" s="150">
        <v>0.76</v>
      </c>
      <c r="E24" s="150">
        <v>0.78</v>
      </c>
      <c r="F24" s="148"/>
      <c r="G24" s="136">
        <f t="shared" si="1"/>
        <v>0</v>
      </c>
      <c r="H24" s="137">
        <f t="shared" si="2"/>
        <v>0</v>
      </c>
      <c r="I24" s="137">
        <f t="shared" si="3"/>
        <v>0</v>
      </c>
      <c r="J24" s="137">
        <f t="shared" si="4"/>
        <v>0</v>
      </c>
      <c r="K24" s="137">
        <f>ROUND((I24-M24)*(1-$H$35),2)</f>
        <v>0</v>
      </c>
      <c r="L24" s="137">
        <f t="shared" si="5"/>
        <v>0</v>
      </c>
      <c r="M24" s="137">
        <f t="shared" si="29"/>
        <v>0</v>
      </c>
      <c r="N24" s="138">
        <f t="shared" si="6"/>
        <v>0</v>
      </c>
      <c r="O24" s="139">
        <f t="shared" si="7"/>
        <v>0</v>
      </c>
      <c r="P24" s="148"/>
      <c r="Q24" s="136">
        <f t="shared" si="8"/>
        <v>0</v>
      </c>
      <c r="R24" s="140">
        <f t="shared" si="0"/>
        <v>0</v>
      </c>
      <c r="S24" s="140">
        <f t="shared" si="9"/>
        <v>0</v>
      </c>
      <c r="T24" s="141">
        <f t="shared" si="10"/>
        <v>0</v>
      </c>
      <c r="U24" s="142">
        <f t="shared" si="11"/>
        <v>0</v>
      </c>
      <c r="V24" s="142">
        <f t="shared" si="12"/>
        <v>0</v>
      </c>
      <c r="W24" s="139">
        <f t="shared" si="30"/>
        <v>0</v>
      </c>
      <c r="X24" s="143">
        <f t="shared" si="13"/>
        <v>0</v>
      </c>
      <c r="Y24" s="139">
        <f t="shared" si="14"/>
        <v>0</v>
      </c>
      <c r="Z24" s="148"/>
      <c r="AA24" s="144">
        <f t="shared" si="15"/>
        <v>0</v>
      </c>
      <c r="AB24" s="137" t="e">
        <f t="shared" si="16"/>
        <v>#DIV/0!</v>
      </c>
      <c r="AC24" s="137" t="e">
        <f t="shared" si="17"/>
        <v>#DIV/0!</v>
      </c>
      <c r="AD24" s="137" t="e">
        <f t="shared" si="18"/>
        <v>#DIV/0!</v>
      </c>
      <c r="AE24" s="137" t="e">
        <f t="shared" si="19"/>
        <v>#DIV/0!</v>
      </c>
      <c r="AF24" s="137" t="e">
        <f t="shared" si="20"/>
        <v>#DIV/0!</v>
      </c>
      <c r="AG24" s="137" t="e">
        <f t="shared" si="21"/>
        <v>#DIV/0!</v>
      </c>
      <c r="AH24" s="138" t="e">
        <f t="shared" si="22"/>
        <v>#DIV/0!</v>
      </c>
      <c r="AI24" s="139">
        <f t="shared" si="23"/>
        <v>0</v>
      </c>
      <c r="AJ24" s="145">
        <f t="shared" si="24"/>
        <v>0</v>
      </c>
      <c r="AK24" s="145">
        <f t="shared" si="25"/>
        <v>0</v>
      </c>
      <c r="AL24" s="146" t="s">
        <v>69</v>
      </c>
      <c r="AM24" s="118">
        <f t="shared" si="26"/>
        <v>0</v>
      </c>
      <c r="AN24" s="118">
        <f t="shared" si="27"/>
        <v>0</v>
      </c>
      <c r="AO24" s="147" t="s">
        <v>69</v>
      </c>
    </row>
    <row r="25" spans="1:41" ht="15.75" x14ac:dyDescent="0.25">
      <c r="A25" s="132"/>
      <c r="B25" s="133" t="s">
        <v>58</v>
      </c>
      <c r="C25" s="134"/>
      <c r="D25" s="134"/>
      <c r="E25" s="134"/>
      <c r="F25" s="148">
        <f>SUM(F7:F24)</f>
        <v>22</v>
      </c>
      <c r="G25" s="151">
        <f t="shared" ref="G25:M25" si="31">SUM(G7:G24)</f>
        <v>19.700000000000003</v>
      </c>
      <c r="H25" s="137">
        <f t="shared" si="31"/>
        <v>38535959.380000003</v>
      </c>
      <c r="I25" s="137">
        <f t="shared" si="31"/>
        <v>38535959.429999992</v>
      </c>
      <c r="J25" s="137">
        <f t="shared" si="31"/>
        <v>34507200</v>
      </c>
      <c r="K25" s="137">
        <f t="shared" si="31"/>
        <v>23119799.999999996</v>
      </c>
      <c r="L25" s="137">
        <f t="shared" si="31"/>
        <v>11387400</v>
      </c>
      <c r="M25" s="137">
        <f t="shared" si="31"/>
        <v>4028759.3800000004</v>
      </c>
      <c r="N25" s="138">
        <f t="shared" si="6"/>
        <v>0.10454545415738728</v>
      </c>
      <c r="O25" s="139">
        <f t="shared" si="7"/>
        <v>1751634.5195454543</v>
      </c>
      <c r="P25" s="152">
        <f t="shared" ref="P25" si="32">SUM(P7:P24)</f>
        <v>132</v>
      </c>
      <c r="Q25" s="137">
        <f t="shared" ref="Q25:W25" si="33">SUM(Q7:Q24)</f>
        <v>118.15</v>
      </c>
      <c r="R25" s="137">
        <f t="shared" si="33"/>
        <v>221210325.95000002</v>
      </c>
      <c r="S25" s="137">
        <f t="shared" si="33"/>
        <v>221210325.86000001</v>
      </c>
      <c r="T25" s="153">
        <f t="shared" si="33"/>
        <v>198000000</v>
      </c>
      <c r="U25" s="153">
        <f t="shared" si="33"/>
        <v>132659999.99999999</v>
      </c>
      <c r="V25" s="153">
        <f t="shared" si="33"/>
        <v>65340000</v>
      </c>
      <c r="W25" s="137">
        <f t="shared" si="33"/>
        <v>23210325.949999996</v>
      </c>
      <c r="X25" s="143">
        <f>IF(S25=0,0,W25/S25)</f>
        <v>0.10492424284338964</v>
      </c>
      <c r="Y25" s="139">
        <f>IF(P25=0,0,S25/P25)</f>
        <v>1675835.801969697</v>
      </c>
      <c r="Z25" s="137">
        <f t="shared" ref="Z25:AG25" si="34">SUM(Z7:Z24)</f>
        <v>0</v>
      </c>
      <c r="AA25" s="144">
        <f t="shared" si="34"/>
        <v>0</v>
      </c>
      <c r="AB25" s="137" t="e">
        <f t="shared" si="34"/>
        <v>#DIV/0!</v>
      </c>
      <c r="AC25" s="137" t="e">
        <f t="shared" si="34"/>
        <v>#DIV/0!</v>
      </c>
      <c r="AD25" s="137" t="e">
        <f t="shared" si="34"/>
        <v>#DIV/0!</v>
      </c>
      <c r="AE25" s="137" t="e">
        <f t="shared" si="34"/>
        <v>#DIV/0!</v>
      </c>
      <c r="AF25" s="137" t="e">
        <f t="shared" si="34"/>
        <v>#DIV/0!</v>
      </c>
      <c r="AG25" s="137" t="e">
        <f t="shared" si="34"/>
        <v>#DIV/0!</v>
      </c>
      <c r="AH25" s="138" t="e">
        <f t="shared" si="22"/>
        <v>#DIV/0!</v>
      </c>
      <c r="AI25" s="139">
        <f t="shared" si="23"/>
        <v>0</v>
      </c>
      <c r="AJ25" s="137">
        <f t="shared" ref="AJ25:AN25" si="35">SUM(AJ7:AJ24)</f>
        <v>34507200</v>
      </c>
      <c r="AK25" s="137">
        <f t="shared" si="35"/>
        <v>198000000</v>
      </c>
      <c r="AL25" s="146" t="s">
        <v>69</v>
      </c>
      <c r="AM25" s="137">
        <f t="shared" si="35"/>
        <v>34507.5</v>
      </c>
      <c r="AN25" s="137">
        <f t="shared" si="35"/>
        <v>197999.59999999998</v>
      </c>
      <c r="AO25" s="147" t="s">
        <v>69</v>
      </c>
    </row>
    <row r="26" spans="1:41" ht="15.75" hidden="1" x14ac:dyDescent="0.2">
      <c r="A26" s="154" t="s">
        <v>60</v>
      </c>
      <c r="B26" s="133" t="s">
        <v>59</v>
      </c>
      <c r="C26" s="134"/>
      <c r="D26" s="134"/>
      <c r="E26" s="134"/>
      <c r="F26" s="148"/>
      <c r="G26" s="136">
        <f>C26*F26</f>
        <v>0</v>
      </c>
      <c r="H26" s="155">
        <f>K26+L26+M26</f>
        <v>0</v>
      </c>
      <c r="I26" s="155">
        <f>ROUND($H$33/$G$29*F26,2)</f>
        <v>0</v>
      </c>
      <c r="J26" s="156">
        <f>K26+L26</f>
        <v>0</v>
      </c>
      <c r="K26" s="156">
        <f>ROUND((I26-M26)*(1-$H$35),2)</f>
        <v>0</v>
      </c>
      <c r="L26" s="156">
        <f>ROUND((I26-M26)*$H$35,2)</f>
        <v>0</v>
      </c>
      <c r="M26" s="155">
        <f>ROUNDUP(I26*(1-C26),2)</f>
        <v>0</v>
      </c>
      <c r="N26" s="157">
        <f t="shared" si="6"/>
        <v>0</v>
      </c>
      <c r="O26" s="158">
        <f t="shared" si="7"/>
        <v>0</v>
      </c>
      <c r="P26" s="148"/>
      <c r="Q26" s="136">
        <f>P26*D26</f>
        <v>0</v>
      </c>
      <c r="R26" s="140">
        <f t="shared" si="0"/>
        <v>0</v>
      </c>
      <c r="S26" s="140">
        <f>ROUND($S$33/$Q$29*P26,2)</f>
        <v>0</v>
      </c>
      <c r="T26" s="129">
        <f>U26+V26</f>
        <v>0</v>
      </c>
      <c r="U26" s="159">
        <f>ROUND((S26-W26)*(1-$S$35),2)</f>
        <v>0</v>
      </c>
      <c r="V26" s="159">
        <f>ROUND((S26-W26)*$S$35,2)</f>
        <v>0</v>
      </c>
      <c r="W26" s="158">
        <f>ROUND(S26*(1-D26),2)</f>
        <v>0</v>
      </c>
      <c r="X26" s="160">
        <f>IF(S26=0,0,W26/S26)</f>
        <v>0</v>
      </c>
      <c r="Y26" s="158">
        <f>IF(P26=0,0,S26/P26)</f>
        <v>0</v>
      </c>
      <c r="Z26" s="148"/>
      <c r="AA26" s="161"/>
      <c r="AB26" s="155" t="e">
        <f t="shared" si="16"/>
        <v>#DIV/0!</v>
      </c>
      <c r="AC26" s="155" t="e">
        <f>ROUND($AC$33/$AA$29*Z26,2)</f>
        <v>#DIV/0!</v>
      </c>
      <c r="AD26" s="155" t="e">
        <f>AE26+AF26</f>
        <v>#DIV/0!</v>
      </c>
      <c r="AE26" s="155" t="e">
        <f>ROUND((AC26-AG26)*(1-$AC$35),2)</f>
        <v>#DIV/0!</v>
      </c>
      <c r="AF26" s="155" t="e">
        <f>ROUND((AC26-AG26)*$AC$35,2)</f>
        <v>#DIV/0!</v>
      </c>
      <c r="AG26" s="155" t="e">
        <f>ROUNDUP(AC26*(1-E26),2)</f>
        <v>#DIV/0!</v>
      </c>
      <c r="AH26" s="157" t="e">
        <f t="shared" si="22"/>
        <v>#DIV/0!</v>
      </c>
      <c r="AI26" s="158">
        <f t="shared" si="23"/>
        <v>0</v>
      </c>
      <c r="AJ26" s="162">
        <f t="shared" si="24"/>
        <v>0</v>
      </c>
      <c r="AK26" s="162">
        <f t="shared" si="25"/>
        <v>0</v>
      </c>
      <c r="AL26" s="147" t="s">
        <v>69</v>
      </c>
      <c r="AM26" s="117">
        <f t="shared" si="26"/>
        <v>0</v>
      </c>
      <c r="AN26" s="117">
        <f t="shared" si="27"/>
        <v>0</v>
      </c>
      <c r="AO26" s="147" t="s">
        <v>69</v>
      </c>
    </row>
    <row r="27" spans="1:41" ht="15.75" hidden="1" x14ac:dyDescent="0.2">
      <c r="A27" s="154" t="s">
        <v>61</v>
      </c>
      <c r="B27" s="133" t="s">
        <v>59</v>
      </c>
      <c r="C27" s="134"/>
      <c r="D27" s="134"/>
      <c r="E27" s="134"/>
      <c r="F27" s="148"/>
      <c r="G27" s="136">
        <f>C27*F27</f>
        <v>0</v>
      </c>
      <c r="H27" s="155">
        <f>K27+L27+M27</f>
        <v>0</v>
      </c>
      <c r="I27" s="155">
        <f>ROUND($H$33/$G$29*F27,2)</f>
        <v>0</v>
      </c>
      <c r="J27" s="156">
        <f>K27+L27</f>
        <v>0</v>
      </c>
      <c r="K27" s="156">
        <f>ROUND((I27-M27)*(1-$H$35),2)</f>
        <v>0</v>
      </c>
      <c r="L27" s="156">
        <f>ROUND((I27-M27)*$H$35,2)</f>
        <v>0</v>
      </c>
      <c r="M27" s="155">
        <f>ROUNDUP(I27*(1-C27),2)</f>
        <v>0</v>
      </c>
      <c r="N27" s="157">
        <f t="shared" si="6"/>
        <v>0</v>
      </c>
      <c r="O27" s="158">
        <f t="shared" si="7"/>
        <v>0</v>
      </c>
      <c r="P27" s="148"/>
      <c r="Q27" s="136">
        <f>P27*D27</f>
        <v>0</v>
      </c>
      <c r="R27" s="140">
        <f t="shared" si="0"/>
        <v>0</v>
      </c>
      <c r="S27" s="140">
        <f>ROUND($S$33/$Q$29*P27,2)</f>
        <v>0</v>
      </c>
      <c r="T27" s="129">
        <f>U27+V27</f>
        <v>0</v>
      </c>
      <c r="U27" s="159">
        <f>ROUND((S27-W27)*(1-$S$35),2)</f>
        <v>0</v>
      </c>
      <c r="V27" s="159">
        <f>ROUND((S27-W27)*$S$35,2)</f>
        <v>0</v>
      </c>
      <c r="W27" s="158">
        <f>ROUND(S27*(1-D27),2)</f>
        <v>0</v>
      </c>
      <c r="X27" s="160">
        <f>IF(S27=0,0,W27/S27)</f>
        <v>0</v>
      </c>
      <c r="Y27" s="158">
        <f>IF(P27=0,0,S27/P27)</f>
        <v>0</v>
      </c>
      <c r="Z27" s="148"/>
      <c r="AA27" s="161"/>
      <c r="AB27" s="155" t="e">
        <f t="shared" si="16"/>
        <v>#DIV/0!</v>
      </c>
      <c r="AC27" s="155" t="e">
        <f>ROUND($AC$33/$AA$29*Z27,2)</f>
        <v>#DIV/0!</v>
      </c>
      <c r="AD27" s="155" t="e">
        <f>AE27+AF27</f>
        <v>#DIV/0!</v>
      </c>
      <c r="AE27" s="155" t="e">
        <f>ROUND((AC27-AG27)*(1-$AC$35),2)</f>
        <v>#DIV/0!</v>
      </c>
      <c r="AF27" s="155" t="e">
        <f>ROUND((AC27-AG27)*$AC$35,2)</f>
        <v>#DIV/0!</v>
      </c>
      <c r="AG27" s="155" t="e">
        <f>ROUNDUP(AC27*(1-E27),2)</f>
        <v>#DIV/0!</v>
      </c>
      <c r="AH27" s="157" t="e">
        <f t="shared" si="22"/>
        <v>#DIV/0!</v>
      </c>
      <c r="AI27" s="158">
        <f t="shared" si="23"/>
        <v>0</v>
      </c>
      <c r="AJ27" s="162">
        <f t="shared" si="24"/>
        <v>0</v>
      </c>
      <c r="AK27" s="162">
        <f t="shared" si="25"/>
        <v>0</v>
      </c>
      <c r="AL27" s="147" t="s">
        <v>69</v>
      </c>
      <c r="AM27" s="117">
        <f t="shared" si="26"/>
        <v>0</v>
      </c>
      <c r="AN27" s="117">
        <f t="shared" si="27"/>
        <v>0</v>
      </c>
      <c r="AO27" s="147" t="s">
        <v>69</v>
      </c>
    </row>
    <row r="28" spans="1:41" ht="15.75" hidden="1" x14ac:dyDescent="0.2">
      <c r="A28" s="154" t="s">
        <v>62</v>
      </c>
      <c r="B28" s="133" t="s">
        <v>59</v>
      </c>
      <c r="C28" s="134"/>
      <c r="D28" s="134"/>
      <c r="E28" s="134"/>
      <c r="F28" s="148"/>
      <c r="G28" s="136">
        <f>C28*F28</f>
        <v>0</v>
      </c>
      <c r="H28" s="155">
        <f>K28+L28+M28</f>
        <v>0</v>
      </c>
      <c r="I28" s="155">
        <f>ROUND($H$33/$G$29*F28,2)</f>
        <v>0</v>
      </c>
      <c r="J28" s="156">
        <f>K28+L28</f>
        <v>0</v>
      </c>
      <c r="K28" s="156">
        <f>ROUND((I28-M28)*(1-$H$35),2)</f>
        <v>0</v>
      </c>
      <c r="L28" s="156">
        <f>ROUND((I28-M28)*$H$35,2)</f>
        <v>0</v>
      </c>
      <c r="M28" s="155">
        <f>ROUNDUP(I28*(1-C28),2)</f>
        <v>0</v>
      </c>
      <c r="N28" s="157">
        <f t="shared" si="6"/>
        <v>0</v>
      </c>
      <c r="O28" s="158">
        <f t="shared" si="7"/>
        <v>0</v>
      </c>
      <c r="P28" s="148"/>
      <c r="Q28" s="136">
        <f>P28*D28</f>
        <v>0</v>
      </c>
      <c r="R28" s="140">
        <f t="shared" si="0"/>
        <v>0</v>
      </c>
      <c r="S28" s="140">
        <f>ROUND($S$33/$Q$29*P28,2)</f>
        <v>0</v>
      </c>
      <c r="T28" s="129">
        <f>U28+V28</f>
        <v>0</v>
      </c>
      <c r="U28" s="159">
        <f>ROUND((S28-W28)*(1-$S$35),2)</f>
        <v>0</v>
      </c>
      <c r="V28" s="159">
        <f>ROUND((S28-W28)*$S$35,2)</f>
        <v>0</v>
      </c>
      <c r="W28" s="158">
        <f>ROUND(S28*(1-D28),2)</f>
        <v>0</v>
      </c>
      <c r="X28" s="160">
        <f>IF(S28=0,0,W28/S28)</f>
        <v>0</v>
      </c>
      <c r="Y28" s="158">
        <f>IF(P28=0,0,S28/P28)</f>
        <v>0</v>
      </c>
      <c r="Z28" s="148"/>
      <c r="AA28" s="161"/>
      <c r="AB28" s="155" t="e">
        <f t="shared" si="16"/>
        <v>#DIV/0!</v>
      </c>
      <c r="AC28" s="155" t="e">
        <f>ROUND($AC$33/$AA$29*Z28,2)</f>
        <v>#DIV/0!</v>
      </c>
      <c r="AD28" s="155" t="e">
        <f>AE28+AF28</f>
        <v>#DIV/0!</v>
      </c>
      <c r="AE28" s="155" t="e">
        <f>ROUND((AC28-AG28)*(1-$AC$35),2)</f>
        <v>#DIV/0!</v>
      </c>
      <c r="AF28" s="155" t="e">
        <f>ROUND((AC28-AG28)*$AC$35,2)</f>
        <v>#DIV/0!</v>
      </c>
      <c r="AG28" s="155" t="e">
        <f>ROUNDUP(AC28*(1-E28),2)</f>
        <v>#DIV/0!</v>
      </c>
      <c r="AH28" s="157" t="e">
        <f t="shared" si="22"/>
        <v>#DIV/0!</v>
      </c>
      <c r="AI28" s="158">
        <f t="shared" si="23"/>
        <v>0</v>
      </c>
      <c r="AJ28" s="162">
        <f t="shared" si="24"/>
        <v>0</v>
      </c>
      <c r="AK28" s="162">
        <f t="shared" si="25"/>
        <v>0</v>
      </c>
      <c r="AL28" s="147" t="s">
        <v>69</v>
      </c>
      <c r="AM28" s="117">
        <f t="shared" si="26"/>
        <v>0</v>
      </c>
      <c r="AN28" s="117">
        <f t="shared" si="27"/>
        <v>0</v>
      </c>
      <c r="AO28" s="147" t="s">
        <v>69</v>
      </c>
    </row>
    <row r="29" spans="1:41" ht="15.75" hidden="1" x14ac:dyDescent="0.25">
      <c r="A29" s="132"/>
      <c r="B29" s="133" t="s">
        <v>25</v>
      </c>
      <c r="C29" s="163"/>
      <c r="D29" s="163"/>
      <c r="E29" s="163"/>
      <c r="F29" s="148">
        <f>F25+F26+F27+F28</f>
        <v>22</v>
      </c>
      <c r="G29" s="164">
        <f t="shared" ref="G29:AG29" si="36">G25+G26+G27+G28</f>
        <v>19.700000000000003</v>
      </c>
      <c r="H29" s="155">
        <f t="shared" si="36"/>
        <v>38535959.380000003</v>
      </c>
      <c r="I29" s="155">
        <f t="shared" si="36"/>
        <v>38535959.429999992</v>
      </c>
      <c r="J29" s="156">
        <f t="shared" si="36"/>
        <v>34507200</v>
      </c>
      <c r="K29" s="156">
        <f t="shared" si="36"/>
        <v>23119799.999999996</v>
      </c>
      <c r="L29" s="156">
        <f t="shared" si="36"/>
        <v>11387400</v>
      </c>
      <c r="M29" s="155">
        <f t="shared" si="36"/>
        <v>4028759.3800000004</v>
      </c>
      <c r="N29" s="157">
        <f t="shared" si="6"/>
        <v>0.10454545415738728</v>
      </c>
      <c r="O29" s="158">
        <f t="shared" si="7"/>
        <v>1751634.5195454543</v>
      </c>
      <c r="P29" s="148">
        <f t="shared" ref="P29" si="37">P25+P26+P27+P28</f>
        <v>132</v>
      </c>
      <c r="Q29" s="161">
        <f t="shared" si="36"/>
        <v>118.15</v>
      </c>
      <c r="R29" s="165">
        <f t="shared" si="36"/>
        <v>221210325.95000002</v>
      </c>
      <c r="S29" s="165">
        <f t="shared" si="36"/>
        <v>221210325.86000001</v>
      </c>
      <c r="T29" s="166">
        <f t="shared" si="36"/>
        <v>198000000</v>
      </c>
      <c r="U29" s="166">
        <f t="shared" si="36"/>
        <v>132659999.99999999</v>
      </c>
      <c r="V29" s="166">
        <f t="shared" si="36"/>
        <v>65340000</v>
      </c>
      <c r="W29" s="148">
        <f t="shared" si="36"/>
        <v>23210325.949999996</v>
      </c>
      <c r="X29" s="160">
        <f>IF(S29=0,0,W29/S29)</f>
        <v>0.10492424284338964</v>
      </c>
      <c r="Y29" s="158">
        <f>IF(P29=0,0,S29/P29)</f>
        <v>1675835.801969697</v>
      </c>
      <c r="Z29" s="148">
        <f t="shared" si="36"/>
        <v>0</v>
      </c>
      <c r="AA29" s="161">
        <f t="shared" si="36"/>
        <v>0</v>
      </c>
      <c r="AB29" s="155" t="e">
        <f t="shared" si="36"/>
        <v>#DIV/0!</v>
      </c>
      <c r="AC29" s="155" t="e">
        <f t="shared" si="36"/>
        <v>#DIV/0!</v>
      </c>
      <c r="AD29" s="155" t="e">
        <f t="shared" si="36"/>
        <v>#DIV/0!</v>
      </c>
      <c r="AE29" s="155" t="e">
        <f t="shared" si="36"/>
        <v>#DIV/0!</v>
      </c>
      <c r="AF29" s="155" t="e">
        <f t="shared" si="36"/>
        <v>#DIV/0!</v>
      </c>
      <c r="AG29" s="155" t="e">
        <f t="shared" si="36"/>
        <v>#DIV/0!</v>
      </c>
      <c r="AH29" s="157" t="e">
        <f t="shared" si="22"/>
        <v>#DIV/0!</v>
      </c>
      <c r="AI29" s="158">
        <f t="shared" si="23"/>
        <v>0</v>
      </c>
      <c r="AJ29" s="155">
        <f t="shared" ref="AJ29:AN29" si="38">AJ25+AJ26+AJ27+AJ28</f>
        <v>34507200</v>
      </c>
      <c r="AK29" s="155">
        <f t="shared" si="38"/>
        <v>198000000</v>
      </c>
      <c r="AL29" s="147" t="s">
        <v>69</v>
      </c>
      <c r="AM29" s="137">
        <f t="shared" si="38"/>
        <v>34507.5</v>
      </c>
      <c r="AN29" s="137">
        <f t="shared" si="38"/>
        <v>197999.59999999998</v>
      </c>
      <c r="AO29" s="147" t="s">
        <v>69</v>
      </c>
    </row>
    <row r="30" spans="1:41" hidden="1" x14ac:dyDescent="0.2">
      <c r="O30" s="167"/>
      <c r="X30" s="168"/>
      <c r="Y30" s="158"/>
      <c r="AM30" s="169">
        <f t="shared" si="26"/>
        <v>0</v>
      </c>
      <c r="AN30" s="169">
        <f t="shared" si="27"/>
        <v>0</v>
      </c>
      <c r="AO30" s="169">
        <f t="shared" ref="AO30" si="39">ROUND(AL30/1000,1)</f>
        <v>0</v>
      </c>
    </row>
    <row r="31" spans="1:41" ht="15" hidden="1" x14ac:dyDescent="0.25">
      <c r="G31" s="170" t="s">
        <v>30</v>
      </c>
      <c r="H31" s="171">
        <v>23119800</v>
      </c>
      <c r="I31" s="172">
        <f>H31-K29</f>
        <v>0</v>
      </c>
      <c r="S31" s="171">
        <v>132660000</v>
      </c>
      <c r="T31" s="171">
        <f>S31-U29</f>
        <v>0</v>
      </c>
      <c r="AC31" s="171">
        <v>132660000</v>
      </c>
      <c r="AD31" s="172" t="e">
        <f>AC31-AE29</f>
        <v>#DIV/0!</v>
      </c>
    </row>
    <row r="32" spans="1:41" ht="15" hidden="1" x14ac:dyDescent="0.25">
      <c r="G32" s="170" t="s">
        <v>29</v>
      </c>
      <c r="H32" s="171">
        <v>11387400</v>
      </c>
      <c r="I32" s="172">
        <f>H32-L29</f>
        <v>0</v>
      </c>
      <c r="S32" s="171">
        <v>65340000</v>
      </c>
      <c r="T32" s="171">
        <f>S32-V29</f>
        <v>0</v>
      </c>
      <c r="AC32" s="171">
        <v>65340000</v>
      </c>
      <c r="AD32" s="172" t="e">
        <f>AC32-AF29</f>
        <v>#DIV/0!</v>
      </c>
    </row>
    <row r="33" spans="7:29" hidden="1" x14ac:dyDescent="0.2">
      <c r="G33" s="170" t="s">
        <v>36</v>
      </c>
      <c r="H33" s="173">
        <f>SUM(H31:H32)</f>
        <v>34507200</v>
      </c>
      <c r="S33" s="173">
        <f>SUM(S31:S32)</f>
        <v>198000000</v>
      </c>
      <c r="T33" s="173"/>
      <c r="AC33" s="173">
        <f>SUM(AC31:AC32)</f>
        <v>198000000</v>
      </c>
    </row>
    <row r="34" spans="7:29" hidden="1" x14ac:dyDescent="0.2">
      <c r="AC34" s="170"/>
    </row>
    <row r="35" spans="7:29" hidden="1" x14ac:dyDescent="0.2">
      <c r="H35" s="119">
        <f>H32/H33</f>
        <v>0.3300006955070246</v>
      </c>
      <c r="S35" s="119">
        <f>S32/S33</f>
        <v>0.33</v>
      </c>
      <c r="AC35" s="119">
        <f>AC32/AC33</f>
        <v>0.33</v>
      </c>
    </row>
  </sheetData>
  <sheetProtection formatCells="0" formatColumns="0" formatRows="0" insertColumns="0" insertRows="0" insertHyperlinks="0" deleteColumns="0" deleteRows="0" sort="0" autoFilter="0" pivotTables="0"/>
  <mergeCells count="28">
    <mergeCell ref="AM3:AO5"/>
    <mergeCell ref="P4:Y4"/>
    <mergeCell ref="X5:X6"/>
    <mergeCell ref="Y5:Y6"/>
    <mergeCell ref="AH5:AH6"/>
    <mergeCell ref="S5:W5"/>
    <mergeCell ref="Z5:Z6"/>
    <mergeCell ref="AA5:AA6"/>
    <mergeCell ref="P5:P6"/>
    <mergeCell ref="Q5:Q6"/>
    <mergeCell ref="AI5:AI6"/>
    <mergeCell ref="R5:R6"/>
    <mergeCell ref="AB5:AB6"/>
    <mergeCell ref="AC5:AG5"/>
    <mergeCell ref="AJ3:AL5"/>
    <mergeCell ref="A3:A6"/>
    <mergeCell ref="B3:B6"/>
    <mergeCell ref="C3:E5"/>
    <mergeCell ref="Z4:AI4"/>
    <mergeCell ref="F5:F6"/>
    <mergeCell ref="G5:G6"/>
    <mergeCell ref="F4:O4"/>
    <mergeCell ref="N5:N6"/>
    <mergeCell ref="O5:O6"/>
    <mergeCell ref="H5:H6"/>
    <mergeCell ref="I5:M5"/>
    <mergeCell ref="A2:AO2"/>
    <mergeCell ref="F3:H3"/>
  </mergeCells>
  <pageMargins left="0.78740157480314965" right="0.39370078740157483" top="0.78740157480314965" bottom="0.78740157480314965" header="0.31496062992125984" footer="0.31496062992125984"/>
  <pageSetup paperSize="9" scale="67" fitToWidth="2" fitToHeight="0" orientation="landscape" r:id="rId1"/>
  <headerFooter>
    <oddHeader>&amp;R&amp;P</oddHeader>
  </headerFooter>
  <colBreaks count="2" manualBreakCount="2">
    <brk id="17" max="24" man="1"/>
    <brk id="27" max="2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AO34"/>
  <sheetViews>
    <sheetView view="pageBreakPreview" zoomScale="71" zoomScaleNormal="85" zoomScaleSheetLayoutView="71" workbookViewId="0">
      <pane xSplit="2" ySplit="5" topLeftCell="U6" activePane="bottomRight" state="frozen"/>
      <selection activeCell="H6" sqref="H6"/>
      <selection pane="topRight" activeCell="H6" sqref="H6"/>
      <selection pane="bottomLeft" activeCell="H6" sqref="H6"/>
      <selection pane="bottomRight" activeCell="Z1" sqref="Z1:AI1048576"/>
    </sheetView>
  </sheetViews>
  <sheetFormatPr defaultRowHeight="12.75" x14ac:dyDescent="0.2"/>
  <cols>
    <col min="1" max="1" width="6.42578125" style="72" customWidth="1"/>
    <col min="2" max="2" width="22.7109375" style="72" customWidth="1"/>
    <col min="3" max="3" width="7" style="72" customWidth="1"/>
    <col min="4" max="4" width="7.140625" style="72" customWidth="1"/>
    <col min="5" max="5" width="7.5703125" style="72" customWidth="1"/>
    <col min="6" max="6" width="7.7109375" style="72" customWidth="1"/>
    <col min="7" max="7" width="8.5703125" style="72" hidden="1" customWidth="1"/>
    <col min="8" max="8" width="18.85546875" style="72" customWidth="1"/>
    <col min="9" max="9" width="18.85546875" style="72" bestFit="1" customWidth="1"/>
    <col min="10" max="12" width="18.85546875" style="72" customWidth="1"/>
    <col min="13" max="13" width="17.5703125" style="72" customWidth="1"/>
    <col min="14" max="14" width="21.42578125" style="72" hidden="1" customWidth="1"/>
    <col min="15" max="15" width="14.7109375" style="72" bestFit="1" customWidth="1"/>
    <col min="16" max="16" width="9.85546875" style="72" customWidth="1"/>
    <col min="17" max="17" width="9.85546875" style="72" hidden="1" customWidth="1"/>
    <col min="18" max="18" width="18" style="72" bestFit="1" customWidth="1"/>
    <col min="19" max="21" width="18.85546875" style="72" customWidth="1"/>
    <col min="22" max="22" width="18.5703125" style="72" customWidth="1"/>
    <col min="23" max="23" width="17.5703125" style="72" bestFit="1" customWidth="1"/>
    <col min="24" max="24" width="21.7109375" style="72" hidden="1" customWidth="1"/>
    <col min="25" max="25" width="15" style="72" customWidth="1"/>
    <col min="26" max="26" width="14.7109375" style="72" hidden="1" customWidth="1"/>
    <col min="27" max="27" width="11" style="72" hidden="1" customWidth="1"/>
    <col min="28" max="28" width="15.28515625" style="72" hidden="1" customWidth="1"/>
    <col min="29" max="29" width="20.85546875" style="72" hidden="1" customWidth="1"/>
    <col min="30" max="31" width="20" style="72" hidden="1" customWidth="1"/>
    <col min="32" max="32" width="18.5703125" style="72" hidden="1" customWidth="1"/>
    <col min="33" max="33" width="18.85546875" style="72" hidden="1" customWidth="1"/>
    <col min="34" max="34" width="20.42578125" style="72" hidden="1" customWidth="1"/>
    <col min="35" max="35" width="16.7109375" style="72" hidden="1" customWidth="1"/>
    <col min="36" max="37" width="14.7109375" style="72" bestFit="1" customWidth="1"/>
    <col min="38" max="38" width="15.7109375" style="72" bestFit="1" customWidth="1"/>
    <col min="39" max="39" width="12" style="72" customWidth="1"/>
    <col min="40" max="40" width="13.7109375" style="72" customWidth="1"/>
    <col min="41" max="41" width="13.85546875" style="72" customWidth="1"/>
    <col min="42" max="16384" width="9.140625" style="72"/>
  </cols>
  <sheetData>
    <row r="1" spans="1:41" ht="63" customHeight="1" x14ac:dyDescent="0.2">
      <c r="C1" s="262" t="s">
        <v>68</v>
      </c>
      <c r="D1" s="262"/>
      <c r="E1" s="262"/>
      <c r="F1" s="263"/>
      <c r="G1" s="263"/>
      <c r="H1" s="263"/>
      <c r="I1" s="263"/>
      <c r="J1" s="263"/>
      <c r="K1" s="263"/>
      <c r="L1" s="263"/>
      <c r="M1" s="263"/>
      <c r="N1" s="97"/>
      <c r="O1" s="97"/>
    </row>
    <row r="2" spans="1:41" ht="15.75" customHeight="1" x14ac:dyDescent="0.2">
      <c r="A2" s="264" t="s">
        <v>39</v>
      </c>
      <c r="B2" s="265" t="s">
        <v>40</v>
      </c>
      <c r="C2" s="260" t="s">
        <v>41</v>
      </c>
      <c r="D2" s="266"/>
      <c r="E2" s="266"/>
      <c r="F2" s="112" t="s">
        <v>22</v>
      </c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4"/>
      <c r="AJ2" s="267" t="s">
        <v>64</v>
      </c>
      <c r="AK2" s="267"/>
      <c r="AL2" s="267"/>
      <c r="AM2" s="267" t="s">
        <v>65</v>
      </c>
      <c r="AN2" s="267"/>
      <c r="AO2" s="267"/>
    </row>
    <row r="3" spans="1:41" ht="15.75" customHeight="1" x14ac:dyDescent="0.2">
      <c r="A3" s="264"/>
      <c r="B3" s="265"/>
      <c r="C3" s="266"/>
      <c r="D3" s="266"/>
      <c r="E3" s="266"/>
      <c r="F3" s="268" t="s">
        <v>42</v>
      </c>
      <c r="G3" s="268"/>
      <c r="H3" s="268"/>
      <c r="I3" s="268"/>
      <c r="J3" s="268"/>
      <c r="K3" s="268"/>
      <c r="L3" s="268"/>
      <c r="M3" s="268"/>
      <c r="N3" s="268"/>
      <c r="O3" s="268"/>
      <c r="P3" s="269" t="s">
        <v>43</v>
      </c>
      <c r="Q3" s="269"/>
      <c r="R3" s="269"/>
      <c r="S3" s="269"/>
      <c r="T3" s="269"/>
      <c r="U3" s="269"/>
      <c r="V3" s="269"/>
      <c r="W3" s="269"/>
      <c r="X3" s="269"/>
      <c r="Y3" s="269"/>
      <c r="Z3" s="270" t="s">
        <v>67</v>
      </c>
      <c r="AA3" s="270"/>
      <c r="AB3" s="270"/>
      <c r="AC3" s="270"/>
      <c r="AD3" s="270"/>
      <c r="AE3" s="270"/>
      <c r="AF3" s="270"/>
      <c r="AG3" s="270"/>
      <c r="AH3" s="270"/>
      <c r="AI3" s="270"/>
      <c r="AJ3" s="267"/>
      <c r="AK3" s="267"/>
      <c r="AL3" s="267"/>
      <c r="AM3" s="267"/>
      <c r="AN3" s="267"/>
      <c r="AO3" s="267"/>
    </row>
    <row r="4" spans="1:41" ht="15.75" customHeight="1" x14ac:dyDescent="0.2">
      <c r="A4" s="264"/>
      <c r="B4" s="265"/>
      <c r="C4" s="266"/>
      <c r="D4" s="266"/>
      <c r="E4" s="266"/>
      <c r="F4" s="261" t="s">
        <v>44</v>
      </c>
      <c r="G4" s="261"/>
      <c r="H4" s="260" t="s">
        <v>45</v>
      </c>
      <c r="I4" s="260" t="s">
        <v>46</v>
      </c>
      <c r="J4" s="260"/>
      <c r="K4" s="260"/>
      <c r="L4" s="260"/>
      <c r="M4" s="260"/>
      <c r="N4" s="271" t="s">
        <v>63</v>
      </c>
      <c r="O4" s="272" t="s">
        <v>57</v>
      </c>
      <c r="P4" s="261" t="s">
        <v>44</v>
      </c>
      <c r="Q4" s="261"/>
      <c r="R4" s="260" t="s">
        <v>45</v>
      </c>
      <c r="S4" s="260" t="s">
        <v>46</v>
      </c>
      <c r="T4" s="260"/>
      <c r="U4" s="260"/>
      <c r="V4" s="260"/>
      <c r="W4" s="260"/>
      <c r="X4" s="271" t="s">
        <v>63</v>
      </c>
      <c r="Y4" s="272" t="s">
        <v>57</v>
      </c>
      <c r="Z4" s="261" t="s">
        <v>44</v>
      </c>
      <c r="AA4" s="261"/>
      <c r="AB4" s="260" t="s">
        <v>45</v>
      </c>
      <c r="AC4" s="260" t="s">
        <v>46</v>
      </c>
      <c r="AD4" s="260"/>
      <c r="AE4" s="260"/>
      <c r="AF4" s="260"/>
      <c r="AG4" s="260"/>
      <c r="AH4" s="271" t="s">
        <v>63</v>
      </c>
      <c r="AI4" s="272" t="s">
        <v>57</v>
      </c>
      <c r="AJ4" s="267"/>
      <c r="AK4" s="267"/>
      <c r="AL4" s="267"/>
      <c r="AM4" s="267"/>
      <c r="AN4" s="267"/>
      <c r="AO4" s="267"/>
    </row>
    <row r="5" spans="1:41" ht="58.15" customHeight="1" x14ac:dyDescent="0.2">
      <c r="A5" s="264"/>
      <c r="B5" s="265"/>
      <c r="C5" s="73">
        <f>+'расчет точ'!C6</f>
        <v>2023</v>
      </c>
      <c r="D5" s="73">
        <f>+'расчет точ'!D6</f>
        <v>2024</v>
      </c>
      <c r="E5" s="73">
        <f>+'расчет точ'!E6</f>
        <v>2025</v>
      </c>
      <c r="F5" s="261"/>
      <c r="G5" s="261"/>
      <c r="H5" s="260"/>
      <c r="I5" s="74" t="s">
        <v>50</v>
      </c>
      <c r="J5" s="110" t="s">
        <v>47</v>
      </c>
      <c r="K5" s="109" t="s">
        <v>48</v>
      </c>
      <c r="L5" s="109" t="s">
        <v>51</v>
      </c>
      <c r="M5" s="75" t="s">
        <v>52</v>
      </c>
      <c r="N5" s="272"/>
      <c r="O5" s="272"/>
      <c r="P5" s="261"/>
      <c r="Q5" s="261"/>
      <c r="R5" s="260"/>
      <c r="S5" s="74" t="s">
        <v>50</v>
      </c>
      <c r="T5" s="110" t="s">
        <v>47</v>
      </c>
      <c r="U5" s="109" t="s">
        <v>48</v>
      </c>
      <c r="V5" s="109" t="s">
        <v>51</v>
      </c>
      <c r="W5" s="74" t="s">
        <v>52</v>
      </c>
      <c r="X5" s="272"/>
      <c r="Y5" s="272"/>
      <c r="Z5" s="261"/>
      <c r="AA5" s="261"/>
      <c r="AB5" s="260"/>
      <c r="AC5" s="74" t="s">
        <v>50</v>
      </c>
      <c r="AD5" s="96" t="s">
        <v>47</v>
      </c>
      <c r="AE5" s="74" t="s">
        <v>48</v>
      </c>
      <c r="AF5" s="74" t="s">
        <v>49</v>
      </c>
      <c r="AG5" s="74" t="s">
        <v>52</v>
      </c>
      <c r="AH5" s="272"/>
      <c r="AI5" s="272"/>
      <c r="AJ5" s="99">
        <v>2023</v>
      </c>
      <c r="AK5" s="99">
        <v>2024</v>
      </c>
      <c r="AL5" s="99">
        <v>2025</v>
      </c>
      <c r="AM5" s="102">
        <v>2023</v>
      </c>
      <c r="AN5" s="102">
        <v>2024</v>
      </c>
      <c r="AO5" s="102">
        <v>2025</v>
      </c>
    </row>
    <row r="6" spans="1:41" ht="15.75" x14ac:dyDescent="0.2">
      <c r="A6" s="98">
        <v>1</v>
      </c>
      <c r="B6" s="77" t="s">
        <v>3</v>
      </c>
      <c r="C6" s="78">
        <f>+'расчет точ'!C7</f>
        <v>0.89</v>
      </c>
      <c r="D6" s="78">
        <f>+'расчет точ'!D7</f>
        <v>0.89</v>
      </c>
      <c r="E6" s="78">
        <f>+'расчет точ'!E7</f>
        <v>0.9</v>
      </c>
      <c r="F6" s="103">
        <v>2</v>
      </c>
      <c r="G6" s="79">
        <f>C6*F6</f>
        <v>1.78</v>
      </c>
      <c r="H6" s="90">
        <f t="shared" ref="H6:H23" si="0">K6+L6+M6</f>
        <v>225019.99</v>
      </c>
      <c r="I6" s="90">
        <f>ROUND($H$32/$G$28*F6,2)</f>
        <v>225019.98</v>
      </c>
      <c r="J6" s="111">
        <f t="shared" ref="J6:J23" si="1">K6+L6</f>
        <v>200267.78999999998</v>
      </c>
      <c r="K6" s="111">
        <f>ROUND((I6-M6)*(1-$H$34),2)</f>
        <v>125297.2</v>
      </c>
      <c r="L6" s="111">
        <f>ROUND((I6-M6)*$H$34,2)+0.01</f>
        <v>74970.59</v>
      </c>
      <c r="M6" s="90">
        <f>ROUNDUP(I6*(1-C6),2)</f>
        <v>24752.199999999997</v>
      </c>
      <c r="N6" s="93">
        <f>IF(I6=0,0,M6/I6)</f>
        <v>0.11000000977690957</v>
      </c>
      <c r="O6" s="76">
        <f>IF(F6=0,0,I6/F6)</f>
        <v>112509.99</v>
      </c>
      <c r="P6" s="107">
        <v>1</v>
      </c>
      <c r="Q6" s="79">
        <f>P6*D6</f>
        <v>0.89</v>
      </c>
      <c r="R6" s="90">
        <f t="shared" ref="R6:R27" si="2">U6+V6+W6</f>
        <v>118699.06999999999</v>
      </c>
      <c r="S6" s="90">
        <f>ROUND($S$32/$Q$28*P6,2)</f>
        <v>118699.07</v>
      </c>
      <c r="T6" s="111">
        <f>U6+V6</f>
        <v>105642.17</v>
      </c>
      <c r="U6" s="116">
        <f>ROUND((S6-W6)*(1-$S$34),2)</f>
        <v>70780.25</v>
      </c>
      <c r="V6" s="116">
        <f>ROUND((S6-W6)*$S$34,2)</f>
        <v>34861.919999999998</v>
      </c>
      <c r="W6" s="90">
        <f>ROUND(S6*(1-D6),2)</f>
        <v>13056.9</v>
      </c>
      <c r="X6" s="94">
        <f>IF(S6=0,0,W6/S6)</f>
        <v>0.11000001937673141</v>
      </c>
      <c r="Y6" s="90">
        <f>IF(P6=0,0,S6/P6)</f>
        <v>118699.07</v>
      </c>
      <c r="Z6" s="90"/>
      <c r="AA6" s="92">
        <f>E6*Z6</f>
        <v>0</v>
      </c>
      <c r="AB6" s="90">
        <f>AE6+AF6+AG6</f>
        <v>0</v>
      </c>
      <c r="AC6" s="90" t="e">
        <f>ROUND($AC$32/$AA$28*Z6,2)</f>
        <v>#DIV/0!</v>
      </c>
      <c r="AD6" s="90">
        <f>AE6+AF6</f>
        <v>0</v>
      </c>
      <c r="AE6" s="90"/>
      <c r="AF6" s="90"/>
      <c r="AG6" s="90"/>
      <c r="AH6" s="93" t="e">
        <f>IF(AC6=0,0,AG6/AC6)</f>
        <v>#DIV/0!</v>
      </c>
      <c r="AI6" s="90">
        <f>IF(Z6=0,0,AC6/Z6)</f>
        <v>0</v>
      </c>
      <c r="AJ6" s="90">
        <f>K6+L6</f>
        <v>200267.78999999998</v>
      </c>
      <c r="AK6" s="90">
        <f>U6+V6</f>
        <v>105642.17</v>
      </c>
      <c r="AL6" s="90">
        <f>AE6+AF6</f>
        <v>0</v>
      </c>
      <c r="AM6" s="90">
        <f t="shared" ref="AM6:AM11" si="3">ROUND(AJ6/1000,1)</f>
        <v>200.3</v>
      </c>
      <c r="AN6" s="90">
        <f t="shared" ref="AN6:AO21" si="4">ROUND(AK6/1000,1)</f>
        <v>105.6</v>
      </c>
      <c r="AO6" s="90">
        <f>ROUND(AL6/1000,1)</f>
        <v>0</v>
      </c>
    </row>
    <row r="7" spans="1:41" ht="15.75" x14ac:dyDescent="0.2">
      <c r="A7" s="98">
        <v>2</v>
      </c>
      <c r="B7" s="77" t="s">
        <v>53</v>
      </c>
      <c r="C7" s="78">
        <f>+'расчет точ'!C8</f>
        <v>0.9</v>
      </c>
      <c r="D7" s="78">
        <f>+'расчет точ'!D8</f>
        <v>0.9</v>
      </c>
      <c r="E7" s="78">
        <f>+'расчет точ'!E8</f>
        <v>0.89</v>
      </c>
      <c r="F7" s="103"/>
      <c r="G7" s="79">
        <f t="shared" ref="G7:G23" si="5">C7*F7</f>
        <v>0</v>
      </c>
      <c r="H7" s="90">
        <f t="shared" si="0"/>
        <v>0</v>
      </c>
      <c r="I7" s="90">
        <f t="shared" ref="I7:I23" si="6">ROUND($H$32/$G$28*F7,2)</f>
        <v>0</v>
      </c>
      <c r="J7" s="111">
        <f t="shared" si="1"/>
        <v>0</v>
      </c>
      <c r="K7" s="111">
        <f t="shared" ref="K7:K23" si="7">ROUND((I7-M7)*(1-$H$34),2)</f>
        <v>0</v>
      </c>
      <c r="L7" s="111">
        <f t="shared" ref="L7:L23" si="8">ROUND((I7-M7)*$H$34,2)</f>
        <v>0</v>
      </c>
      <c r="M7" s="90">
        <f t="shared" ref="M7:M23" si="9">ROUNDUP(I7*(1-C7),2)</f>
        <v>0</v>
      </c>
      <c r="N7" s="93">
        <f t="shared" ref="N7:N28" si="10">IF(I7=0,0,M7/I7)</f>
        <v>0</v>
      </c>
      <c r="O7" s="76">
        <f t="shared" ref="O7:O28" si="11">IF(F7=0,0,I7/F7)</f>
        <v>0</v>
      </c>
      <c r="P7" s="107"/>
      <c r="Q7" s="79">
        <f t="shared" ref="Q7:Q23" si="12">P7*D7</f>
        <v>0</v>
      </c>
      <c r="R7" s="90">
        <f t="shared" si="2"/>
        <v>0</v>
      </c>
      <c r="S7" s="90">
        <f t="shared" ref="S7:S23" si="13">ROUND($S$32/$Q$28*P7,2)</f>
        <v>0</v>
      </c>
      <c r="T7" s="111">
        <f t="shared" ref="T7:T23" si="14">U7+V7</f>
        <v>0</v>
      </c>
      <c r="U7" s="116">
        <f t="shared" ref="U7:U23" si="15">ROUND((S7-W7)*(1-$S$34),2)</f>
        <v>0</v>
      </c>
      <c r="V7" s="116">
        <f t="shared" ref="V7:V23" si="16">ROUND((S7-W7)*$S$34,2)</f>
        <v>0</v>
      </c>
      <c r="W7" s="90">
        <f t="shared" ref="W7:W23" si="17">ROUND(S7*(1-D7),2)</f>
        <v>0</v>
      </c>
      <c r="X7" s="94">
        <f t="shared" ref="X7:X28" si="18">IF(S7=0,0,W7/S7)</f>
        <v>0</v>
      </c>
      <c r="Y7" s="90">
        <f t="shared" ref="Y7:Y28" si="19">IF(P7=0,0,S7/P7)</f>
        <v>0</v>
      </c>
      <c r="Z7" s="90"/>
      <c r="AA7" s="92">
        <f t="shared" ref="AA7:AA23" si="20">E7*Z7</f>
        <v>0</v>
      </c>
      <c r="AB7" s="90">
        <f t="shared" ref="AB7:AB27" si="21">AE7+AF7+AG7</f>
        <v>0</v>
      </c>
      <c r="AC7" s="90" t="e">
        <f t="shared" ref="AC7:AC23" si="22">ROUND($AC$32/$AA$28*Z7,2)</f>
        <v>#DIV/0!</v>
      </c>
      <c r="AD7" s="90">
        <f t="shared" ref="AD7:AD23" si="23">AE7+AF7</f>
        <v>0</v>
      </c>
      <c r="AE7" s="90"/>
      <c r="AF7" s="90"/>
      <c r="AG7" s="90"/>
      <c r="AH7" s="93" t="e">
        <f t="shared" ref="AH7:AH28" si="24">IF(AC7=0,0,AG7/AC7)</f>
        <v>#DIV/0!</v>
      </c>
      <c r="AI7" s="90">
        <f t="shared" ref="AI7:AI28" si="25">IF(Z7=0,0,AC7/Z7)</f>
        <v>0</v>
      </c>
      <c r="AJ7" s="90">
        <f t="shared" ref="AJ7:AJ27" si="26">K7+L7</f>
        <v>0</v>
      </c>
      <c r="AK7" s="90">
        <f t="shared" ref="AK7:AK27" si="27">U7+V7</f>
        <v>0</v>
      </c>
      <c r="AL7" s="90">
        <f t="shared" ref="AL7:AL27" si="28">AE7+AF7</f>
        <v>0</v>
      </c>
      <c r="AM7" s="90">
        <f t="shared" si="3"/>
        <v>0</v>
      </c>
      <c r="AN7" s="90">
        <f t="shared" si="4"/>
        <v>0</v>
      </c>
      <c r="AO7" s="90">
        <f t="shared" si="4"/>
        <v>0</v>
      </c>
    </row>
    <row r="8" spans="1:41" ht="15.75" x14ac:dyDescent="0.2">
      <c r="A8" s="98">
        <v>3</v>
      </c>
      <c r="B8" s="77" t="s">
        <v>54</v>
      </c>
      <c r="C8" s="78">
        <f>+'расчет точ'!C9</f>
        <v>0.9</v>
      </c>
      <c r="D8" s="78">
        <f>+'расчет точ'!D9</f>
        <v>0.9</v>
      </c>
      <c r="E8" s="78">
        <f>+'расчет точ'!E9</f>
        <v>0.9</v>
      </c>
      <c r="F8" s="103">
        <v>1</v>
      </c>
      <c r="G8" s="79">
        <f t="shared" si="5"/>
        <v>0.9</v>
      </c>
      <c r="H8" s="90">
        <f t="shared" si="0"/>
        <v>112509.98999999999</v>
      </c>
      <c r="I8" s="90">
        <f t="shared" si="6"/>
        <v>112509.99</v>
      </c>
      <c r="J8" s="111">
        <f t="shared" si="1"/>
        <v>101258.98999999999</v>
      </c>
      <c r="K8" s="111">
        <f t="shared" si="7"/>
        <v>63352.52</v>
      </c>
      <c r="L8" s="111">
        <f t="shared" si="8"/>
        <v>37906.47</v>
      </c>
      <c r="M8" s="90">
        <f t="shared" si="9"/>
        <v>11251</v>
      </c>
      <c r="N8" s="93">
        <f t="shared" si="10"/>
        <v>0.10000000888809962</v>
      </c>
      <c r="O8" s="76">
        <f t="shared" si="11"/>
        <v>112509.99</v>
      </c>
      <c r="P8" s="107">
        <v>1</v>
      </c>
      <c r="Q8" s="79">
        <f t="shared" si="12"/>
        <v>0.9</v>
      </c>
      <c r="R8" s="90">
        <f t="shared" si="2"/>
        <v>118699.07</v>
      </c>
      <c r="S8" s="90">
        <f t="shared" si="13"/>
        <v>118699.07</v>
      </c>
      <c r="T8" s="111">
        <f t="shared" si="14"/>
        <v>106829.16</v>
      </c>
      <c r="U8" s="116">
        <f t="shared" si="15"/>
        <v>71575.539999999994</v>
      </c>
      <c r="V8" s="116">
        <f t="shared" si="16"/>
        <v>35253.620000000003</v>
      </c>
      <c r="W8" s="90">
        <f t="shared" si="17"/>
        <v>11869.91</v>
      </c>
      <c r="X8" s="94">
        <f t="shared" si="18"/>
        <v>0.10000002527399751</v>
      </c>
      <c r="Y8" s="90">
        <f t="shared" si="19"/>
        <v>118699.07</v>
      </c>
      <c r="Z8" s="90"/>
      <c r="AA8" s="92">
        <f t="shared" si="20"/>
        <v>0</v>
      </c>
      <c r="AB8" s="90">
        <f t="shared" si="21"/>
        <v>0</v>
      </c>
      <c r="AC8" s="90" t="e">
        <f t="shared" si="22"/>
        <v>#DIV/0!</v>
      </c>
      <c r="AD8" s="90">
        <f t="shared" si="23"/>
        <v>0</v>
      </c>
      <c r="AE8" s="90"/>
      <c r="AF8" s="90"/>
      <c r="AG8" s="90"/>
      <c r="AH8" s="93" t="e">
        <f t="shared" si="24"/>
        <v>#DIV/0!</v>
      </c>
      <c r="AI8" s="90">
        <f t="shared" si="25"/>
        <v>0</v>
      </c>
      <c r="AJ8" s="90">
        <f t="shared" si="26"/>
        <v>101258.98999999999</v>
      </c>
      <c r="AK8" s="90">
        <f t="shared" si="27"/>
        <v>106829.16</v>
      </c>
      <c r="AL8" s="90">
        <f t="shared" si="28"/>
        <v>0</v>
      </c>
      <c r="AM8" s="90">
        <f t="shared" si="3"/>
        <v>101.3</v>
      </c>
      <c r="AN8" s="90">
        <f t="shared" si="4"/>
        <v>106.8</v>
      </c>
      <c r="AO8" s="90">
        <f t="shared" si="4"/>
        <v>0</v>
      </c>
    </row>
    <row r="9" spans="1:41" ht="15.75" x14ac:dyDescent="0.2">
      <c r="A9" s="98">
        <v>4</v>
      </c>
      <c r="B9" s="77" t="s">
        <v>6</v>
      </c>
      <c r="C9" s="78">
        <f>+'расчет точ'!C10</f>
        <v>0.9</v>
      </c>
      <c r="D9" s="78">
        <f>+'расчет точ'!D10</f>
        <v>0.9</v>
      </c>
      <c r="E9" s="78">
        <f>+'расчет точ'!E10</f>
        <v>0.89</v>
      </c>
      <c r="F9" s="103">
        <v>4</v>
      </c>
      <c r="G9" s="79">
        <f t="shared" si="5"/>
        <v>3.6</v>
      </c>
      <c r="H9" s="90">
        <f t="shared" si="0"/>
        <v>450039.97</v>
      </c>
      <c r="I9" s="90">
        <f t="shared" si="6"/>
        <v>450039.97</v>
      </c>
      <c r="J9" s="111">
        <f t="shared" si="1"/>
        <v>405035.97</v>
      </c>
      <c r="K9" s="111">
        <f t="shared" si="7"/>
        <v>253410.07</v>
      </c>
      <c r="L9" s="111">
        <f t="shared" si="8"/>
        <v>151625.9</v>
      </c>
      <c r="M9" s="90">
        <f t="shared" si="9"/>
        <v>45004</v>
      </c>
      <c r="N9" s="93">
        <f t="shared" si="10"/>
        <v>0.10000000666607457</v>
      </c>
      <c r="O9" s="76">
        <f t="shared" si="11"/>
        <v>112509.99249999999</v>
      </c>
      <c r="P9" s="107"/>
      <c r="Q9" s="79">
        <f t="shared" si="12"/>
        <v>0</v>
      </c>
      <c r="R9" s="90">
        <f t="shared" si="2"/>
        <v>0</v>
      </c>
      <c r="S9" s="90">
        <f t="shared" si="13"/>
        <v>0</v>
      </c>
      <c r="T9" s="111">
        <f t="shared" si="14"/>
        <v>0</v>
      </c>
      <c r="U9" s="116">
        <f>ROUND((S9-W9)*(1-$S$34),2)</f>
        <v>0</v>
      </c>
      <c r="V9" s="116">
        <f>ROUND((S9-W9)*$S$34,2)</f>
        <v>0</v>
      </c>
      <c r="W9" s="90">
        <f t="shared" si="17"/>
        <v>0</v>
      </c>
      <c r="X9" s="94">
        <f t="shared" si="18"/>
        <v>0</v>
      </c>
      <c r="Y9" s="90">
        <f t="shared" si="19"/>
        <v>0</v>
      </c>
      <c r="Z9" s="90"/>
      <c r="AA9" s="92">
        <f t="shared" si="20"/>
        <v>0</v>
      </c>
      <c r="AB9" s="90">
        <f t="shared" si="21"/>
        <v>0</v>
      </c>
      <c r="AC9" s="90" t="e">
        <f t="shared" si="22"/>
        <v>#DIV/0!</v>
      </c>
      <c r="AD9" s="90">
        <f t="shared" si="23"/>
        <v>0</v>
      </c>
      <c r="AE9" s="90"/>
      <c r="AF9" s="90"/>
      <c r="AG9" s="90"/>
      <c r="AH9" s="93" t="e">
        <f t="shared" si="24"/>
        <v>#DIV/0!</v>
      </c>
      <c r="AI9" s="90">
        <f t="shared" si="25"/>
        <v>0</v>
      </c>
      <c r="AJ9" s="90">
        <f t="shared" si="26"/>
        <v>405035.97</v>
      </c>
      <c r="AK9" s="90">
        <f t="shared" si="27"/>
        <v>0</v>
      </c>
      <c r="AL9" s="90">
        <f t="shared" si="28"/>
        <v>0</v>
      </c>
      <c r="AM9" s="90">
        <f t="shared" si="3"/>
        <v>405</v>
      </c>
      <c r="AN9" s="90">
        <f t="shared" si="4"/>
        <v>0</v>
      </c>
      <c r="AO9" s="90">
        <f t="shared" si="4"/>
        <v>0</v>
      </c>
    </row>
    <row r="10" spans="1:41" ht="15.75" x14ac:dyDescent="0.2">
      <c r="A10" s="98">
        <v>5</v>
      </c>
      <c r="B10" s="77" t="s">
        <v>7</v>
      </c>
      <c r="C10" s="78">
        <f>+'расчет точ'!C11</f>
        <v>0.89</v>
      </c>
      <c r="D10" s="78">
        <f>+'расчет точ'!D11</f>
        <v>0.89</v>
      </c>
      <c r="E10" s="78">
        <f>+'расчет точ'!E11</f>
        <v>0.9</v>
      </c>
      <c r="F10" s="103">
        <v>1</v>
      </c>
      <c r="G10" s="79">
        <f t="shared" si="5"/>
        <v>0.89</v>
      </c>
      <c r="H10" s="90">
        <f t="shared" si="0"/>
        <v>112509.99</v>
      </c>
      <c r="I10" s="90">
        <f t="shared" si="6"/>
        <v>112509.99</v>
      </c>
      <c r="J10" s="111">
        <f t="shared" si="1"/>
        <v>100133.89</v>
      </c>
      <c r="K10" s="111">
        <f t="shared" si="7"/>
        <v>62648.6</v>
      </c>
      <c r="L10" s="111">
        <f t="shared" si="8"/>
        <v>37485.29</v>
      </c>
      <c r="M10" s="90">
        <f t="shared" si="9"/>
        <v>12376.1</v>
      </c>
      <c r="N10" s="93">
        <f t="shared" si="10"/>
        <v>0.11000000977690959</v>
      </c>
      <c r="O10" s="76">
        <f t="shared" si="11"/>
        <v>112509.99</v>
      </c>
      <c r="P10" s="107">
        <v>3</v>
      </c>
      <c r="Q10" s="79">
        <f t="shared" si="12"/>
        <v>2.67</v>
      </c>
      <c r="R10" s="90">
        <f t="shared" si="2"/>
        <v>356097.21</v>
      </c>
      <c r="S10" s="90">
        <f t="shared" si="13"/>
        <v>356097.21</v>
      </c>
      <c r="T10" s="111">
        <f t="shared" si="14"/>
        <v>316926.51</v>
      </c>
      <c r="U10" s="116">
        <f>ROUND((S10-W10)*(1-$S$34),2)</f>
        <v>212340.76</v>
      </c>
      <c r="V10" s="116">
        <f t="shared" si="16"/>
        <v>104585.75</v>
      </c>
      <c r="W10" s="90">
        <f>ROUND(S10*(1-D10),2)+0.01</f>
        <v>39170.700000000004</v>
      </c>
      <c r="X10" s="94">
        <f t="shared" si="18"/>
        <v>0.11000001937673143</v>
      </c>
      <c r="Y10" s="90">
        <f t="shared" si="19"/>
        <v>118699.07</v>
      </c>
      <c r="Z10" s="90"/>
      <c r="AA10" s="92">
        <f t="shared" si="20"/>
        <v>0</v>
      </c>
      <c r="AB10" s="90">
        <f t="shared" si="21"/>
        <v>0</v>
      </c>
      <c r="AC10" s="90" t="e">
        <f t="shared" si="22"/>
        <v>#DIV/0!</v>
      </c>
      <c r="AD10" s="90">
        <f>AE10+AF10</f>
        <v>0</v>
      </c>
      <c r="AE10" s="90"/>
      <c r="AF10" s="90"/>
      <c r="AG10" s="90"/>
      <c r="AH10" s="93" t="e">
        <f t="shared" si="24"/>
        <v>#DIV/0!</v>
      </c>
      <c r="AI10" s="90">
        <f t="shared" si="25"/>
        <v>0</v>
      </c>
      <c r="AJ10" s="90">
        <f t="shared" si="26"/>
        <v>100133.89</v>
      </c>
      <c r="AK10" s="90">
        <f t="shared" si="27"/>
        <v>316926.51</v>
      </c>
      <c r="AL10" s="90">
        <f t="shared" si="28"/>
        <v>0</v>
      </c>
      <c r="AM10" s="90">
        <f t="shared" si="3"/>
        <v>100.1</v>
      </c>
      <c r="AN10" s="90">
        <f t="shared" si="4"/>
        <v>316.89999999999998</v>
      </c>
      <c r="AO10" s="90">
        <f t="shared" si="4"/>
        <v>0</v>
      </c>
    </row>
    <row r="11" spans="1:41" ht="15.75" x14ac:dyDescent="0.2">
      <c r="A11" s="98">
        <v>6</v>
      </c>
      <c r="B11" s="77" t="s">
        <v>55</v>
      </c>
      <c r="C11" s="78">
        <f>+'расчет точ'!C12</f>
        <v>0.87</v>
      </c>
      <c r="D11" s="78">
        <f>+'расчет точ'!D12</f>
        <v>0.87</v>
      </c>
      <c r="E11" s="78">
        <f>+'расчет точ'!E12</f>
        <v>0.87</v>
      </c>
      <c r="F11" s="103">
        <v>1</v>
      </c>
      <c r="G11" s="79">
        <f t="shared" si="5"/>
        <v>0.87</v>
      </c>
      <c r="H11" s="90">
        <f t="shared" si="0"/>
        <v>112509.99</v>
      </c>
      <c r="I11" s="90">
        <f t="shared" si="6"/>
        <v>112509.99</v>
      </c>
      <c r="J11" s="111">
        <f t="shared" si="1"/>
        <v>97883.69</v>
      </c>
      <c r="K11" s="111">
        <f t="shared" si="7"/>
        <v>61240.77</v>
      </c>
      <c r="L11" s="111">
        <f t="shared" si="8"/>
        <v>36642.92</v>
      </c>
      <c r="M11" s="90">
        <f t="shared" si="9"/>
        <v>14626.300000000001</v>
      </c>
      <c r="N11" s="93">
        <f t="shared" si="10"/>
        <v>0.1300000115545295</v>
      </c>
      <c r="O11" s="76">
        <f t="shared" si="11"/>
        <v>112509.99</v>
      </c>
      <c r="P11" s="107"/>
      <c r="Q11" s="79">
        <f t="shared" si="12"/>
        <v>0</v>
      </c>
      <c r="R11" s="90">
        <f t="shared" si="2"/>
        <v>0</v>
      </c>
      <c r="S11" s="90">
        <f t="shared" si="13"/>
        <v>0</v>
      </c>
      <c r="T11" s="111">
        <f t="shared" si="14"/>
        <v>0</v>
      </c>
      <c r="U11" s="116">
        <f t="shared" si="15"/>
        <v>0</v>
      </c>
      <c r="V11" s="116">
        <f t="shared" si="16"/>
        <v>0</v>
      </c>
      <c r="W11" s="90">
        <f t="shared" si="17"/>
        <v>0</v>
      </c>
      <c r="X11" s="94">
        <f t="shared" si="18"/>
        <v>0</v>
      </c>
      <c r="Y11" s="90">
        <f t="shared" si="19"/>
        <v>0</v>
      </c>
      <c r="Z11" s="90"/>
      <c r="AA11" s="92">
        <f t="shared" si="20"/>
        <v>0</v>
      </c>
      <c r="AB11" s="90">
        <f t="shared" si="21"/>
        <v>0</v>
      </c>
      <c r="AC11" s="90" t="e">
        <f t="shared" si="22"/>
        <v>#DIV/0!</v>
      </c>
      <c r="AD11" s="90">
        <f t="shared" si="23"/>
        <v>0</v>
      </c>
      <c r="AE11" s="90"/>
      <c r="AF11" s="90"/>
      <c r="AG11" s="90"/>
      <c r="AH11" s="93" t="e">
        <f t="shared" si="24"/>
        <v>#DIV/0!</v>
      </c>
      <c r="AI11" s="90">
        <f t="shared" si="25"/>
        <v>0</v>
      </c>
      <c r="AJ11" s="90">
        <f t="shared" si="26"/>
        <v>97883.69</v>
      </c>
      <c r="AK11" s="90">
        <f t="shared" si="27"/>
        <v>0</v>
      </c>
      <c r="AL11" s="90">
        <f t="shared" si="28"/>
        <v>0</v>
      </c>
      <c r="AM11" s="90">
        <f t="shared" si="3"/>
        <v>97.9</v>
      </c>
      <c r="AN11" s="90">
        <f t="shared" si="4"/>
        <v>0</v>
      </c>
      <c r="AO11" s="90">
        <f t="shared" si="4"/>
        <v>0</v>
      </c>
    </row>
    <row r="12" spans="1:41" ht="15.75" x14ac:dyDescent="0.2">
      <c r="A12" s="98">
        <v>7</v>
      </c>
      <c r="B12" s="77" t="s">
        <v>9</v>
      </c>
      <c r="C12" s="78">
        <f>+'расчет точ'!C13</f>
        <v>0.89</v>
      </c>
      <c r="D12" s="78">
        <f>+'расчет точ'!D13</f>
        <v>0.9</v>
      </c>
      <c r="E12" s="78">
        <f>+'расчет точ'!E13</f>
        <v>0.89</v>
      </c>
      <c r="F12" s="103">
        <v>2</v>
      </c>
      <c r="G12" s="79">
        <f t="shared" si="5"/>
        <v>1.78</v>
      </c>
      <c r="H12" s="90">
        <f t="shared" si="0"/>
        <v>225019.97999999998</v>
      </c>
      <c r="I12" s="90">
        <f t="shared" si="6"/>
        <v>225019.98</v>
      </c>
      <c r="J12" s="111">
        <f t="shared" si="1"/>
        <v>200267.78</v>
      </c>
      <c r="K12" s="111">
        <f t="shared" si="7"/>
        <v>125297.2</v>
      </c>
      <c r="L12" s="111">
        <f t="shared" si="8"/>
        <v>74970.58</v>
      </c>
      <c r="M12" s="90">
        <f t="shared" si="9"/>
        <v>24752.199999999997</v>
      </c>
      <c r="N12" s="93">
        <f t="shared" si="10"/>
        <v>0.11000000977690957</v>
      </c>
      <c r="O12" s="76">
        <f t="shared" si="11"/>
        <v>112509.99</v>
      </c>
      <c r="P12" s="107">
        <v>1</v>
      </c>
      <c r="Q12" s="79">
        <f t="shared" si="12"/>
        <v>0.9</v>
      </c>
      <c r="R12" s="90">
        <f t="shared" si="2"/>
        <v>118699.07</v>
      </c>
      <c r="S12" s="90">
        <f t="shared" si="13"/>
        <v>118699.07</v>
      </c>
      <c r="T12" s="111">
        <f t="shared" si="14"/>
        <v>106829.16</v>
      </c>
      <c r="U12" s="116">
        <f t="shared" si="15"/>
        <v>71575.539999999994</v>
      </c>
      <c r="V12" s="116">
        <f t="shared" si="16"/>
        <v>35253.620000000003</v>
      </c>
      <c r="W12" s="90">
        <f t="shared" si="17"/>
        <v>11869.91</v>
      </c>
      <c r="X12" s="94">
        <f t="shared" si="18"/>
        <v>0.10000002527399751</v>
      </c>
      <c r="Y12" s="90">
        <f t="shared" si="19"/>
        <v>118699.07</v>
      </c>
      <c r="Z12" s="90"/>
      <c r="AA12" s="92">
        <f t="shared" si="20"/>
        <v>0</v>
      </c>
      <c r="AB12" s="90">
        <f t="shared" si="21"/>
        <v>0</v>
      </c>
      <c r="AC12" s="90" t="e">
        <f t="shared" si="22"/>
        <v>#DIV/0!</v>
      </c>
      <c r="AD12" s="90">
        <f t="shared" si="23"/>
        <v>0</v>
      </c>
      <c r="AE12" s="90"/>
      <c r="AF12" s="90"/>
      <c r="AG12" s="90"/>
      <c r="AH12" s="93" t="e">
        <f t="shared" si="24"/>
        <v>#DIV/0!</v>
      </c>
      <c r="AI12" s="90">
        <f t="shared" si="25"/>
        <v>0</v>
      </c>
      <c r="AJ12" s="90">
        <f t="shared" si="26"/>
        <v>200267.78</v>
      </c>
      <c r="AK12" s="90">
        <f t="shared" si="27"/>
        <v>106829.16</v>
      </c>
      <c r="AL12" s="90">
        <f t="shared" si="28"/>
        <v>0</v>
      </c>
      <c r="AM12" s="90">
        <f>ROUND(AJ12/1000,1)-0.1</f>
        <v>200.20000000000002</v>
      </c>
      <c r="AN12" s="90">
        <f t="shared" si="4"/>
        <v>106.8</v>
      </c>
      <c r="AO12" s="90">
        <f t="shared" si="4"/>
        <v>0</v>
      </c>
    </row>
    <row r="13" spans="1:41" ht="15.75" x14ac:dyDescent="0.2">
      <c r="A13" s="98">
        <v>8</v>
      </c>
      <c r="B13" s="77" t="s">
        <v>10</v>
      </c>
      <c r="C13" s="78">
        <f>+'расчет точ'!C14</f>
        <v>0.89</v>
      </c>
      <c r="D13" s="78">
        <f>+'расчет точ'!D14</f>
        <v>0.9</v>
      </c>
      <c r="E13" s="78">
        <f>+'расчет точ'!E14</f>
        <v>0.9</v>
      </c>
      <c r="F13" s="103"/>
      <c r="G13" s="79">
        <f t="shared" si="5"/>
        <v>0</v>
      </c>
      <c r="H13" s="90">
        <f t="shared" si="0"/>
        <v>0</v>
      </c>
      <c r="I13" s="90">
        <f t="shared" si="6"/>
        <v>0</v>
      </c>
      <c r="J13" s="111">
        <f t="shared" si="1"/>
        <v>0</v>
      </c>
      <c r="K13" s="111">
        <f t="shared" si="7"/>
        <v>0</v>
      </c>
      <c r="L13" s="111">
        <f t="shared" si="8"/>
        <v>0</v>
      </c>
      <c r="M13" s="90">
        <f t="shared" si="9"/>
        <v>0</v>
      </c>
      <c r="N13" s="93">
        <f t="shared" si="10"/>
        <v>0</v>
      </c>
      <c r="O13" s="76">
        <f t="shared" si="11"/>
        <v>0</v>
      </c>
      <c r="P13" s="107"/>
      <c r="Q13" s="79">
        <f t="shared" si="12"/>
        <v>0</v>
      </c>
      <c r="R13" s="90">
        <f t="shared" si="2"/>
        <v>0</v>
      </c>
      <c r="S13" s="90">
        <f t="shared" si="13"/>
        <v>0</v>
      </c>
      <c r="T13" s="111">
        <f t="shared" si="14"/>
        <v>0</v>
      </c>
      <c r="U13" s="116">
        <f t="shared" si="15"/>
        <v>0</v>
      </c>
      <c r="V13" s="116">
        <f t="shared" si="16"/>
        <v>0</v>
      </c>
      <c r="W13" s="90">
        <f t="shared" si="17"/>
        <v>0</v>
      </c>
      <c r="X13" s="94">
        <f t="shared" si="18"/>
        <v>0</v>
      </c>
      <c r="Y13" s="90">
        <f t="shared" si="19"/>
        <v>0</v>
      </c>
      <c r="Z13" s="90"/>
      <c r="AA13" s="92">
        <f t="shared" si="20"/>
        <v>0</v>
      </c>
      <c r="AB13" s="90">
        <f t="shared" si="21"/>
        <v>0</v>
      </c>
      <c r="AC13" s="90" t="e">
        <f t="shared" si="22"/>
        <v>#DIV/0!</v>
      </c>
      <c r="AD13" s="90">
        <f t="shared" si="23"/>
        <v>0</v>
      </c>
      <c r="AE13" s="90"/>
      <c r="AF13" s="90"/>
      <c r="AG13" s="90"/>
      <c r="AH13" s="93" t="e">
        <f t="shared" si="24"/>
        <v>#DIV/0!</v>
      </c>
      <c r="AI13" s="90">
        <f t="shared" si="25"/>
        <v>0</v>
      </c>
      <c r="AJ13" s="90">
        <f t="shared" si="26"/>
        <v>0</v>
      </c>
      <c r="AK13" s="90">
        <f t="shared" si="27"/>
        <v>0</v>
      </c>
      <c r="AL13" s="90">
        <f t="shared" si="28"/>
        <v>0</v>
      </c>
      <c r="AM13" s="90">
        <f t="shared" ref="AM13:AM23" si="29">ROUND(AJ13/1000,1)</f>
        <v>0</v>
      </c>
      <c r="AN13" s="90">
        <f t="shared" si="4"/>
        <v>0</v>
      </c>
      <c r="AO13" s="90">
        <f t="shared" si="4"/>
        <v>0</v>
      </c>
    </row>
    <row r="14" spans="1:41" ht="15.75" x14ac:dyDescent="0.2">
      <c r="A14" s="98">
        <v>9</v>
      </c>
      <c r="B14" s="77" t="s">
        <v>11</v>
      </c>
      <c r="C14" s="78">
        <f>+'расчет точ'!C15</f>
        <v>0.9</v>
      </c>
      <c r="D14" s="78">
        <f>+'расчет точ'!D15</f>
        <v>0.9</v>
      </c>
      <c r="E14" s="78">
        <f>+'расчет точ'!E15</f>
        <v>0.89</v>
      </c>
      <c r="F14" s="103"/>
      <c r="G14" s="79">
        <f t="shared" si="5"/>
        <v>0</v>
      </c>
      <c r="H14" s="90">
        <f t="shared" si="0"/>
        <v>0</v>
      </c>
      <c r="I14" s="90">
        <f t="shared" si="6"/>
        <v>0</v>
      </c>
      <c r="J14" s="111">
        <f t="shared" si="1"/>
        <v>0</v>
      </c>
      <c r="K14" s="111">
        <f t="shared" si="7"/>
        <v>0</v>
      </c>
      <c r="L14" s="111">
        <f t="shared" si="8"/>
        <v>0</v>
      </c>
      <c r="M14" s="90">
        <f t="shared" si="9"/>
        <v>0</v>
      </c>
      <c r="N14" s="93">
        <f t="shared" si="10"/>
        <v>0</v>
      </c>
      <c r="O14" s="76">
        <f t="shared" si="11"/>
        <v>0</v>
      </c>
      <c r="P14" s="107"/>
      <c r="Q14" s="79">
        <f t="shared" si="12"/>
        <v>0</v>
      </c>
      <c r="R14" s="90">
        <f t="shared" si="2"/>
        <v>0</v>
      </c>
      <c r="S14" s="90">
        <f t="shared" si="13"/>
        <v>0</v>
      </c>
      <c r="T14" s="111">
        <f t="shared" si="14"/>
        <v>0</v>
      </c>
      <c r="U14" s="116">
        <f t="shared" si="15"/>
        <v>0</v>
      </c>
      <c r="V14" s="116">
        <f t="shared" si="16"/>
        <v>0</v>
      </c>
      <c r="W14" s="90">
        <f t="shared" si="17"/>
        <v>0</v>
      </c>
      <c r="X14" s="94">
        <f t="shared" si="18"/>
        <v>0</v>
      </c>
      <c r="Y14" s="90">
        <f t="shared" si="19"/>
        <v>0</v>
      </c>
      <c r="Z14" s="90"/>
      <c r="AA14" s="92">
        <f t="shared" si="20"/>
        <v>0</v>
      </c>
      <c r="AB14" s="90">
        <f t="shared" si="21"/>
        <v>0</v>
      </c>
      <c r="AC14" s="90" t="e">
        <f t="shared" si="22"/>
        <v>#DIV/0!</v>
      </c>
      <c r="AD14" s="90">
        <f t="shared" si="23"/>
        <v>0</v>
      </c>
      <c r="AE14" s="90"/>
      <c r="AF14" s="90"/>
      <c r="AG14" s="90"/>
      <c r="AH14" s="93" t="e">
        <f t="shared" si="24"/>
        <v>#DIV/0!</v>
      </c>
      <c r="AI14" s="90">
        <f t="shared" si="25"/>
        <v>0</v>
      </c>
      <c r="AJ14" s="90">
        <f t="shared" si="26"/>
        <v>0</v>
      </c>
      <c r="AK14" s="90">
        <f t="shared" si="27"/>
        <v>0</v>
      </c>
      <c r="AL14" s="90">
        <f t="shared" si="28"/>
        <v>0</v>
      </c>
      <c r="AM14" s="90">
        <f t="shared" si="29"/>
        <v>0</v>
      </c>
      <c r="AN14" s="90">
        <f t="shared" si="4"/>
        <v>0</v>
      </c>
      <c r="AO14" s="90">
        <f t="shared" si="4"/>
        <v>0</v>
      </c>
    </row>
    <row r="15" spans="1:41" ht="15.75" x14ac:dyDescent="0.2">
      <c r="A15" s="98">
        <v>10</v>
      </c>
      <c r="B15" s="77" t="s">
        <v>12</v>
      </c>
      <c r="C15" s="78">
        <f>+'расчет точ'!C16</f>
        <v>0.9</v>
      </c>
      <c r="D15" s="78">
        <f>+'расчет точ'!D16</f>
        <v>0.89</v>
      </c>
      <c r="E15" s="78">
        <f>+'расчет точ'!E16</f>
        <v>0.9</v>
      </c>
      <c r="F15" s="103"/>
      <c r="G15" s="79">
        <f t="shared" si="5"/>
        <v>0</v>
      </c>
      <c r="H15" s="90">
        <f t="shared" si="0"/>
        <v>0</v>
      </c>
      <c r="I15" s="90">
        <f t="shared" si="6"/>
        <v>0</v>
      </c>
      <c r="J15" s="111">
        <f t="shared" si="1"/>
        <v>0</v>
      </c>
      <c r="K15" s="111">
        <f t="shared" si="7"/>
        <v>0</v>
      </c>
      <c r="L15" s="111">
        <f t="shared" si="8"/>
        <v>0</v>
      </c>
      <c r="M15" s="90">
        <f t="shared" si="9"/>
        <v>0</v>
      </c>
      <c r="N15" s="93">
        <f t="shared" si="10"/>
        <v>0</v>
      </c>
      <c r="O15" s="76">
        <f t="shared" si="11"/>
        <v>0</v>
      </c>
      <c r="P15" s="107">
        <v>2</v>
      </c>
      <c r="Q15" s="79">
        <f t="shared" si="12"/>
        <v>1.78</v>
      </c>
      <c r="R15" s="90">
        <f t="shared" si="2"/>
        <v>237398.15000000002</v>
      </c>
      <c r="S15" s="90">
        <f t="shared" si="13"/>
        <v>237398.14</v>
      </c>
      <c r="T15" s="111">
        <f t="shared" si="14"/>
        <v>211284.35000000003</v>
      </c>
      <c r="U15" s="116">
        <f>ROUND((S15-W15)*(1-$S$34),2)+0.01</f>
        <v>141560.52000000002</v>
      </c>
      <c r="V15" s="116">
        <f t="shared" si="16"/>
        <v>69723.83</v>
      </c>
      <c r="W15" s="90">
        <f t="shared" si="17"/>
        <v>26113.8</v>
      </c>
      <c r="X15" s="94">
        <f t="shared" si="18"/>
        <v>0.11000001937673141</v>
      </c>
      <c r="Y15" s="90">
        <f t="shared" si="19"/>
        <v>118699.07</v>
      </c>
      <c r="Z15" s="90"/>
      <c r="AA15" s="92">
        <f t="shared" si="20"/>
        <v>0</v>
      </c>
      <c r="AB15" s="90">
        <f t="shared" si="21"/>
        <v>0</v>
      </c>
      <c r="AC15" s="90" t="e">
        <f t="shared" si="22"/>
        <v>#DIV/0!</v>
      </c>
      <c r="AD15" s="90">
        <f t="shared" si="23"/>
        <v>0</v>
      </c>
      <c r="AE15" s="90"/>
      <c r="AF15" s="90"/>
      <c r="AG15" s="90"/>
      <c r="AH15" s="93" t="e">
        <f t="shared" si="24"/>
        <v>#DIV/0!</v>
      </c>
      <c r="AI15" s="90">
        <f t="shared" si="25"/>
        <v>0</v>
      </c>
      <c r="AJ15" s="90">
        <f t="shared" si="26"/>
        <v>0</v>
      </c>
      <c r="AK15" s="90">
        <f t="shared" si="27"/>
        <v>211284.35000000003</v>
      </c>
      <c r="AL15" s="90">
        <f t="shared" si="28"/>
        <v>0</v>
      </c>
      <c r="AM15" s="90">
        <f t="shared" si="29"/>
        <v>0</v>
      </c>
      <c r="AN15" s="90">
        <f t="shared" si="4"/>
        <v>211.3</v>
      </c>
      <c r="AO15" s="90">
        <f t="shared" si="4"/>
        <v>0</v>
      </c>
    </row>
    <row r="16" spans="1:41" ht="15.75" x14ac:dyDescent="0.2">
      <c r="A16" s="98">
        <v>11</v>
      </c>
      <c r="B16" s="77" t="s">
        <v>56</v>
      </c>
      <c r="C16" s="78">
        <f>+'расчет точ'!C17</f>
        <v>0.89</v>
      </c>
      <c r="D16" s="78">
        <f>+'расчет точ'!D17</f>
        <v>0.89</v>
      </c>
      <c r="E16" s="78">
        <f>+'расчет точ'!E17</f>
        <v>0.9</v>
      </c>
      <c r="F16" s="103">
        <v>1</v>
      </c>
      <c r="G16" s="79">
        <f t="shared" si="5"/>
        <v>0.89</v>
      </c>
      <c r="H16" s="90">
        <f t="shared" si="0"/>
        <v>112509.99</v>
      </c>
      <c r="I16" s="90">
        <f t="shared" si="6"/>
        <v>112509.99</v>
      </c>
      <c r="J16" s="111">
        <f t="shared" si="1"/>
        <v>100133.89</v>
      </c>
      <c r="K16" s="111">
        <f t="shared" si="7"/>
        <v>62648.6</v>
      </c>
      <c r="L16" s="111">
        <f t="shared" si="8"/>
        <v>37485.29</v>
      </c>
      <c r="M16" s="90">
        <f t="shared" si="9"/>
        <v>12376.1</v>
      </c>
      <c r="N16" s="93">
        <f t="shared" si="10"/>
        <v>0.11000000977690959</v>
      </c>
      <c r="O16" s="76">
        <f t="shared" si="11"/>
        <v>112509.99</v>
      </c>
      <c r="P16" s="107"/>
      <c r="Q16" s="79">
        <f t="shared" si="12"/>
        <v>0</v>
      </c>
      <c r="R16" s="90">
        <f t="shared" si="2"/>
        <v>0</v>
      </c>
      <c r="S16" s="90">
        <f t="shared" si="13"/>
        <v>0</v>
      </c>
      <c r="T16" s="111">
        <f t="shared" si="14"/>
        <v>0</v>
      </c>
      <c r="U16" s="116">
        <f t="shared" si="15"/>
        <v>0</v>
      </c>
      <c r="V16" s="116">
        <f t="shared" si="16"/>
        <v>0</v>
      </c>
      <c r="W16" s="90">
        <f t="shared" si="17"/>
        <v>0</v>
      </c>
      <c r="X16" s="94">
        <f t="shared" si="18"/>
        <v>0</v>
      </c>
      <c r="Y16" s="90">
        <f t="shared" si="19"/>
        <v>0</v>
      </c>
      <c r="Z16" s="90"/>
      <c r="AA16" s="92">
        <f t="shared" si="20"/>
        <v>0</v>
      </c>
      <c r="AB16" s="90">
        <f t="shared" si="21"/>
        <v>0</v>
      </c>
      <c r="AC16" s="90" t="e">
        <f t="shared" si="22"/>
        <v>#DIV/0!</v>
      </c>
      <c r="AD16" s="90">
        <f t="shared" si="23"/>
        <v>0</v>
      </c>
      <c r="AE16" s="90"/>
      <c r="AF16" s="90"/>
      <c r="AG16" s="90"/>
      <c r="AH16" s="93" t="e">
        <f t="shared" si="24"/>
        <v>#DIV/0!</v>
      </c>
      <c r="AI16" s="90">
        <f t="shared" si="25"/>
        <v>0</v>
      </c>
      <c r="AJ16" s="90">
        <f t="shared" si="26"/>
        <v>100133.89</v>
      </c>
      <c r="AK16" s="90">
        <f t="shared" si="27"/>
        <v>0</v>
      </c>
      <c r="AL16" s="90">
        <f t="shared" si="28"/>
        <v>0</v>
      </c>
      <c r="AM16" s="90">
        <f t="shared" si="29"/>
        <v>100.1</v>
      </c>
      <c r="AN16" s="90">
        <f t="shared" si="4"/>
        <v>0</v>
      </c>
      <c r="AO16" s="90">
        <f t="shared" si="4"/>
        <v>0</v>
      </c>
    </row>
    <row r="17" spans="1:41" ht="15.75" x14ac:dyDescent="0.2">
      <c r="A17" s="98">
        <v>12</v>
      </c>
      <c r="B17" s="77" t="s">
        <v>14</v>
      </c>
      <c r="C17" s="78">
        <f>+'расчет точ'!C18</f>
        <v>0.9</v>
      </c>
      <c r="D17" s="78">
        <f>+'расчет точ'!D18</f>
        <v>0.9</v>
      </c>
      <c r="E17" s="78">
        <f>+'расчет точ'!E18</f>
        <v>0.89</v>
      </c>
      <c r="F17" s="103"/>
      <c r="G17" s="79">
        <f t="shared" si="5"/>
        <v>0</v>
      </c>
      <c r="H17" s="90">
        <f t="shared" si="0"/>
        <v>0</v>
      </c>
      <c r="I17" s="90">
        <f t="shared" si="6"/>
        <v>0</v>
      </c>
      <c r="J17" s="111">
        <f t="shared" si="1"/>
        <v>0</v>
      </c>
      <c r="K17" s="111">
        <f t="shared" si="7"/>
        <v>0</v>
      </c>
      <c r="L17" s="111">
        <f t="shared" si="8"/>
        <v>0</v>
      </c>
      <c r="M17" s="90">
        <f t="shared" si="9"/>
        <v>0</v>
      </c>
      <c r="N17" s="93">
        <f t="shared" si="10"/>
        <v>0</v>
      </c>
      <c r="O17" s="76">
        <f t="shared" si="11"/>
        <v>0</v>
      </c>
      <c r="P17" s="107">
        <v>2</v>
      </c>
      <c r="Q17" s="79">
        <f t="shared" si="12"/>
        <v>1.8</v>
      </c>
      <c r="R17" s="90">
        <f t="shared" si="2"/>
        <v>237398.15000000002</v>
      </c>
      <c r="S17" s="90">
        <f t="shared" si="13"/>
        <v>237398.14</v>
      </c>
      <c r="T17" s="111">
        <f t="shared" si="14"/>
        <v>213658.33000000002</v>
      </c>
      <c r="U17" s="116">
        <f>ROUND((S17-W17)*(1-$S$34),2)+0.01</f>
        <v>143151.08000000002</v>
      </c>
      <c r="V17" s="116">
        <f t="shared" si="16"/>
        <v>70507.25</v>
      </c>
      <c r="W17" s="90">
        <f>ROUND(S17*(1-D17),2)+0.01</f>
        <v>23739.82</v>
      </c>
      <c r="X17" s="94">
        <f t="shared" si="18"/>
        <v>0.10000002527399751</v>
      </c>
      <c r="Y17" s="90">
        <f t="shared" si="19"/>
        <v>118699.07</v>
      </c>
      <c r="Z17" s="90"/>
      <c r="AA17" s="92">
        <f t="shared" si="20"/>
        <v>0</v>
      </c>
      <c r="AB17" s="90">
        <f t="shared" si="21"/>
        <v>0</v>
      </c>
      <c r="AC17" s="90" t="e">
        <f t="shared" si="22"/>
        <v>#DIV/0!</v>
      </c>
      <c r="AD17" s="90">
        <f t="shared" si="23"/>
        <v>0</v>
      </c>
      <c r="AE17" s="90"/>
      <c r="AF17" s="90"/>
      <c r="AG17" s="90"/>
      <c r="AH17" s="93" t="e">
        <f t="shared" si="24"/>
        <v>#DIV/0!</v>
      </c>
      <c r="AI17" s="90">
        <f t="shared" si="25"/>
        <v>0</v>
      </c>
      <c r="AJ17" s="90">
        <f t="shared" si="26"/>
        <v>0</v>
      </c>
      <c r="AK17" s="90">
        <f t="shared" si="27"/>
        <v>213658.33000000002</v>
      </c>
      <c r="AL17" s="90">
        <f t="shared" si="28"/>
        <v>0</v>
      </c>
      <c r="AM17" s="90">
        <f t="shared" si="29"/>
        <v>0</v>
      </c>
      <c r="AN17" s="90">
        <f t="shared" si="4"/>
        <v>213.7</v>
      </c>
      <c r="AO17" s="90">
        <f t="shared" si="4"/>
        <v>0</v>
      </c>
    </row>
    <row r="18" spans="1:41" ht="15.75" x14ac:dyDescent="0.2">
      <c r="A18" s="98">
        <v>13</v>
      </c>
      <c r="B18" s="77" t="s">
        <v>15</v>
      </c>
      <c r="C18" s="78">
        <f>+'расчет точ'!C19</f>
        <v>0.9</v>
      </c>
      <c r="D18" s="78">
        <f>+'расчет точ'!D19</f>
        <v>0.9</v>
      </c>
      <c r="E18" s="78">
        <f>+'расчет точ'!E19</f>
        <v>0.9</v>
      </c>
      <c r="F18" s="103"/>
      <c r="G18" s="79">
        <f t="shared" si="5"/>
        <v>0</v>
      </c>
      <c r="H18" s="90">
        <f t="shared" si="0"/>
        <v>0</v>
      </c>
      <c r="I18" s="90">
        <f t="shared" si="6"/>
        <v>0</v>
      </c>
      <c r="J18" s="111">
        <f t="shared" si="1"/>
        <v>0</v>
      </c>
      <c r="K18" s="111">
        <f t="shared" si="7"/>
        <v>0</v>
      </c>
      <c r="L18" s="111">
        <f t="shared" si="8"/>
        <v>0</v>
      </c>
      <c r="M18" s="90">
        <f t="shared" si="9"/>
        <v>0</v>
      </c>
      <c r="N18" s="93">
        <f t="shared" si="10"/>
        <v>0</v>
      </c>
      <c r="O18" s="76">
        <f t="shared" si="11"/>
        <v>0</v>
      </c>
      <c r="P18" s="107">
        <v>1</v>
      </c>
      <c r="Q18" s="79">
        <f t="shared" si="12"/>
        <v>0.9</v>
      </c>
      <c r="R18" s="90">
        <f t="shared" si="2"/>
        <v>118699.07</v>
      </c>
      <c r="S18" s="90">
        <f t="shared" si="13"/>
        <v>118699.07</v>
      </c>
      <c r="T18" s="111">
        <f t="shared" si="14"/>
        <v>106829.16</v>
      </c>
      <c r="U18" s="116">
        <f t="shared" si="15"/>
        <v>71575.539999999994</v>
      </c>
      <c r="V18" s="116">
        <f t="shared" si="16"/>
        <v>35253.620000000003</v>
      </c>
      <c r="W18" s="90">
        <f t="shared" si="17"/>
        <v>11869.91</v>
      </c>
      <c r="X18" s="94">
        <f t="shared" si="18"/>
        <v>0.10000002527399751</v>
      </c>
      <c r="Y18" s="90">
        <f t="shared" si="19"/>
        <v>118699.07</v>
      </c>
      <c r="Z18" s="90"/>
      <c r="AA18" s="92">
        <f t="shared" si="20"/>
        <v>0</v>
      </c>
      <c r="AB18" s="90">
        <f t="shared" si="21"/>
        <v>0</v>
      </c>
      <c r="AC18" s="90" t="e">
        <f t="shared" si="22"/>
        <v>#DIV/0!</v>
      </c>
      <c r="AD18" s="90">
        <f t="shared" si="23"/>
        <v>0</v>
      </c>
      <c r="AE18" s="90"/>
      <c r="AF18" s="90"/>
      <c r="AG18" s="90"/>
      <c r="AH18" s="93" t="e">
        <f t="shared" si="24"/>
        <v>#DIV/0!</v>
      </c>
      <c r="AI18" s="90">
        <f t="shared" si="25"/>
        <v>0</v>
      </c>
      <c r="AJ18" s="90">
        <f t="shared" si="26"/>
        <v>0</v>
      </c>
      <c r="AK18" s="90">
        <f t="shared" si="27"/>
        <v>106829.16</v>
      </c>
      <c r="AL18" s="90">
        <f t="shared" si="28"/>
        <v>0</v>
      </c>
      <c r="AM18" s="90">
        <f t="shared" si="29"/>
        <v>0</v>
      </c>
      <c r="AN18" s="90">
        <f t="shared" si="4"/>
        <v>106.8</v>
      </c>
      <c r="AO18" s="90">
        <f t="shared" si="4"/>
        <v>0</v>
      </c>
    </row>
    <row r="19" spans="1:41" ht="15.75" x14ac:dyDescent="0.2">
      <c r="A19" s="98">
        <v>14</v>
      </c>
      <c r="B19" s="77" t="s">
        <v>16</v>
      </c>
      <c r="C19" s="78">
        <f>+'расчет точ'!C20</f>
        <v>0.89</v>
      </c>
      <c r="D19" s="78">
        <f>+'расчет точ'!D20</f>
        <v>0.89</v>
      </c>
      <c r="E19" s="78">
        <f>+'расчет точ'!E20</f>
        <v>0.89</v>
      </c>
      <c r="F19" s="103"/>
      <c r="G19" s="79">
        <f t="shared" si="5"/>
        <v>0</v>
      </c>
      <c r="H19" s="90">
        <f t="shared" si="0"/>
        <v>0</v>
      </c>
      <c r="I19" s="90">
        <f t="shared" si="6"/>
        <v>0</v>
      </c>
      <c r="J19" s="111">
        <f t="shared" si="1"/>
        <v>0</v>
      </c>
      <c r="K19" s="111">
        <f t="shared" si="7"/>
        <v>0</v>
      </c>
      <c r="L19" s="111">
        <f t="shared" si="8"/>
        <v>0</v>
      </c>
      <c r="M19" s="90">
        <f t="shared" si="9"/>
        <v>0</v>
      </c>
      <c r="N19" s="93">
        <f t="shared" si="10"/>
        <v>0</v>
      </c>
      <c r="O19" s="76">
        <f t="shared" si="11"/>
        <v>0</v>
      </c>
      <c r="P19" s="107">
        <v>1</v>
      </c>
      <c r="Q19" s="79">
        <f t="shared" si="12"/>
        <v>0.89</v>
      </c>
      <c r="R19" s="90">
        <f t="shared" si="2"/>
        <v>118699.07999999999</v>
      </c>
      <c r="S19" s="90">
        <f t="shared" si="13"/>
        <v>118699.07</v>
      </c>
      <c r="T19" s="111">
        <f t="shared" si="14"/>
        <v>105642.18</v>
      </c>
      <c r="U19" s="116">
        <f t="shared" si="15"/>
        <v>70780.25</v>
      </c>
      <c r="V19" s="116">
        <f>ROUND((S19-W19)*$S$34,2)+0.01</f>
        <v>34861.93</v>
      </c>
      <c r="W19" s="90">
        <f t="shared" si="17"/>
        <v>13056.9</v>
      </c>
      <c r="X19" s="94">
        <f t="shared" si="18"/>
        <v>0.11000001937673141</v>
      </c>
      <c r="Y19" s="90">
        <f t="shared" si="19"/>
        <v>118699.07</v>
      </c>
      <c r="Z19" s="90"/>
      <c r="AA19" s="92">
        <f t="shared" si="20"/>
        <v>0</v>
      </c>
      <c r="AB19" s="90">
        <f t="shared" si="21"/>
        <v>0</v>
      </c>
      <c r="AC19" s="90" t="e">
        <f t="shared" si="22"/>
        <v>#DIV/0!</v>
      </c>
      <c r="AD19" s="90">
        <f t="shared" si="23"/>
        <v>0</v>
      </c>
      <c r="AE19" s="90"/>
      <c r="AF19" s="90"/>
      <c r="AG19" s="90"/>
      <c r="AH19" s="93" t="e">
        <f t="shared" si="24"/>
        <v>#DIV/0!</v>
      </c>
      <c r="AI19" s="90">
        <f t="shared" si="25"/>
        <v>0</v>
      </c>
      <c r="AJ19" s="90">
        <f t="shared" si="26"/>
        <v>0</v>
      </c>
      <c r="AK19" s="90">
        <f t="shared" si="27"/>
        <v>105642.18</v>
      </c>
      <c r="AL19" s="90">
        <f t="shared" si="28"/>
        <v>0</v>
      </c>
      <c r="AM19" s="90">
        <f t="shared" si="29"/>
        <v>0</v>
      </c>
      <c r="AN19" s="90">
        <f t="shared" si="4"/>
        <v>105.6</v>
      </c>
      <c r="AO19" s="90">
        <f t="shared" si="4"/>
        <v>0</v>
      </c>
    </row>
    <row r="20" spans="1:41" ht="15.75" x14ac:dyDescent="0.2">
      <c r="A20" s="98">
        <v>15</v>
      </c>
      <c r="B20" s="77" t="s">
        <v>17</v>
      </c>
      <c r="C20" s="78">
        <f>+'расчет точ'!C21</f>
        <v>0.9</v>
      </c>
      <c r="D20" s="78">
        <f>+'расчет точ'!D21</f>
        <v>0.89</v>
      </c>
      <c r="E20" s="78">
        <f>+'расчет точ'!E21</f>
        <v>0.88</v>
      </c>
      <c r="F20" s="103">
        <v>2</v>
      </c>
      <c r="G20" s="79">
        <f t="shared" si="5"/>
        <v>1.8</v>
      </c>
      <c r="H20" s="90">
        <f t="shared" si="0"/>
        <v>225020</v>
      </c>
      <c r="I20" s="90">
        <f t="shared" si="6"/>
        <v>225019.98</v>
      </c>
      <c r="J20" s="111">
        <f t="shared" si="1"/>
        <v>202518</v>
      </c>
      <c r="K20" s="111">
        <f>ROUND((I20-M20)*(1-$H$34),2)+0.01</f>
        <v>126705.04</v>
      </c>
      <c r="L20" s="111">
        <f>ROUND((I20-M20)*$H$34,2)+0.01</f>
        <v>75812.959999999992</v>
      </c>
      <c r="M20" s="90">
        <f t="shared" si="9"/>
        <v>22502</v>
      </c>
      <c r="N20" s="93">
        <f t="shared" si="10"/>
        <v>0.10000000888809962</v>
      </c>
      <c r="O20" s="76">
        <f t="shared" si="11"/>
        <v>112509.99</v>
      </c>
      <c r="P20" s="107"/>
      <c r="Q20" s="79">
        <f t="shared" si="12"/>
        <v>0</v>
      </c>
      <c r="R20" s="90">
        <f t="shared" si="2"/>
        <v>0</v>
      </c>
      <c r="S20" s="90">
        <f t="shared" si="13"/>
        <v>0</v>
      </c>
      <c r="T20" s="111">
        <f t="shared" si="14"/>
        <v>0</v>
      </c>
      <c r="U20" s="116">
        <f>ROUND((S20-W20)*(1-$S$34),2)</f>
        <v>0</v>
      </c>
      <c r="V20" s="116">
        <f>ROUND((S20-W20)*$S$34,2)</f>
        <v>0</v>
      </c>
      <c r="W20" s="90">
        <f t="shared" si="17"/>
        <v>0</v>
      </c>
      <c r="X20" s="94">
        <f t="shared" si="18"/>
        <v>0</v>
      </c>
      <c r="Y20" s="90">
        <f t="shared" si="19"/>
        <v>0</v>
      </c>
      <c r="Z20" s="90"/>
      <c r="AA20" s="92">
        <f t="shared" si="20"/>
        <v>0</v>
      </c>
      <c r="AB20" s="90">
        <f t="shared" si="21"/>
        <v>0</v>
      </c>
      <c r="AC20" s="90" t="e">
        <f t="shared" si="22"/>
        <v>#DIV/0!</v>
      </c>
      <c r="AD20" s="90">
        <f t="shared" si="23"/>
        <v>0</v>
      </c>
      <c r="AE20" s="90"/>
      <c r="AF20" s="90"/>
      <c r="AG20" s="90"/>
      <c r="AH20" s="93" t="e">
        <f t="shared" si="24"/>
        <v>#DIV/0!</v>
      </c>
      <c r="AI20" s="90">
        <f t="shared" si="25"/>
        <v>0</v>
      </c>
      <c r="AJ20" s="90">
        <f t="shared" si="26"/>
        <v>202518</v>
      </c>
      <c r="AK20" s="90">
        <f t="shared" si="27"/>
        <v>0</v>
      </c>
      <c r="AL20" s="90">
        <f t="shared" si="28"/>
        <v>0</v>
      </c>
      <c r="AM20" s="90">
        <f t="shared" si="29"/>
        <v>202.5</v>
      </c>
      <c r="AN20" s="90">
        <f t="shared" si="4"/>
        <v>0</v>
      </c>
      <c r="AO20" s="90">
        <f t="shared" si="4"/>
        <v>0</v>
      </c>
    </row>
    <row r="21" spans="1:41" ht="15.75" x14ac:dyDescent="0.2">
      <c r="A21" s="98">
        <v>16</v>
      </c>
      <c r="B21" s="77" t="s">
        <v>18</v>
      </c>
      <c r="C21" s="78">
        <f>+'расчет точ'!C22</f>
        <v>0.9</v>
      </c>
      <c r="D21" s="78">
        <f>+'расчет точ'!D22</f>
        <v>0.91</v>
      </c>
      <c r="E21" s="78">
        <f>+'расчет точ'!E22</f>
        <v>0.91</v>
      </c>
      <c r="F21" s="104"/>
      <c r="G21" s="79">
        <f t="shared" si="5"/>
        <v>0</v>
      </c>
      <c r="H21" s="90">
        <f t="shared" si="0"/>
        <v>0</v>
      </c>
      <c r="I21" s="90">
        <f t="shared" si="6"/>
        <v>0</v>
      </c>
      <c r="J21" s="111">
        <f t="shared" si="1"/>
        <v>0</v>
      </c>
      <c r="K21" s="111">
        <f t="shared" si="7"/>
        <v>0</v>
      </c>
      <c r="L21" s="111">
        <f t="shared" si="8"/>
        <v>0</v>
      </c>
      <c r="M21" s="90">
        <f t="shared" si="9"/>
        <v>0</v>
      </c>
      <c r="N21" s="93">
        <f t="shared" si="10"/>
        <v>0</v>
      </c>
      <c r="O21" s="76">
        <f t="shared" si="11"/>
        <v>0</v>
      </c>
      <c r="P21" s="107"/>
      <c r="Q21" s="79">
        <f t="shared" si="12"/>
        <v>0</v>
      </c>
      <c r="R21" s="90">
        <f t="shared" si="2"/>
        <v>0</v>
      </c>
      <c r="S21" s="90">
        <f t="shared" si="13"/>
        <v>0</v>
      </c>
      <c r="T21" s="111">
        <f t="shared" si="14"/>
        <v>0</v>
      </c>
      <c r="U21" s="116">
        <f t="shared" si="15"/>
        <v>0</v>
      </c>
      <c r="V21" s="116">
        <f t="shared" si="16"/>
        <v>0</v>
      </c>
      <c r="W21" s="90">
        <f t="shared" si="17"/>
        <v>0</v>
      </c>
      <c r="X21" s="94">
        <f t="shared" si="18"/>
        <v>0</v>
      </c>
      <c r="Y21" s="90">
        <f t="shared" si="19"/>
        <v>0</v>
      </c>
      <c r="Z21" s="90"/>
      <c r="AA21" s="92">
        <f t="shared" si="20"/>
        <v>0</v>
      </c>
      <c r="AB21" s="90">
        <f t="shared" si="21"/>
        <v>0</v>
      </c>
      <c r="AC21" s="90" t="e">
        <f t="shared" si="22"/>
        <v>#DIV/0!</v>
      </c>
      <c r="AD21" s="90">
        <f t="shared" si="23"/>
        <v>0</v>
      </c>
      <c r="AE21" s="90"/>
      <c r="AF21" s="90"/>
      <c r="AG21" s="90"/>
      <c r="AH21" s="93" t="e">
        <f t="shared" si="24"/>
        <v>#DIV/0!</v>
      </c>
      <c r="AI21" s="90">
        <f t="shared" si="25"/>
        <v>0</v>
      </c>
      <c r="AJ21" s="90">
        <f t="shared" si="26"/>
        <v>0</v>
      </c>
      <c r="AK21" s="90">
        <f t="shared" si="27"/>
        <v>0</v>
      </c>
      <c r="AL21" s="90">
        <f t="shared" si="28"/>
        <v>0</v>
      </c>
      <c r="AM21" s="90">
        <f t="shared" si="29"/>
        <v>0</v>
      </c>
      <c r="AN21" s="90">
        <f t="shared" si="4"/>
        <v>0</v>
      </c>
      <c r="AO21" s="90">
        <f t="shared" si="4"/>
        <v>0</v>
      </c>
    </row>
    <row r="22" spans="1:41" ht="15.75" x14ac:dyDescent="0.2">
      <c r="A22" s="98">
        <v>17</v>
      </c>
      <c r="B22" s="77" t="s">
        <v>19</v>
      </c>
      <c r="C22" s="78">
        <f>+'расчет точ'!C23</f>
        <v>0.9</v>
      </c>
      <c r="D22" s="78">
        <f>+'расчет точ'!D23</f>
        <v>0.89</v>
      </c>
      <c r="E22" s="78">
        <f>+'расчет точ'!E23</f>
        <v>0.89</v>
      </c>
      <c r="F22" s="104"/>
      <c r="G22" s="79">
        <f t="shared" si="5"/>
        <v>0</v>
      </c>
      <c r="H22" s="90">
        <f t="shared" si="0"/>
        <v>0</v>
      </c>
      <c r="I22" s="90">
        <f t="shared" si="6"/>
        <v>0</v>
      </c>
      <c r="J22" s="111">
        <f t="shared" si="1"/>
        <v>0</v>
      </c>
      <c r="K22" s="111">
        <f>ROUND((I22-M22)*(1-$H$34),2)</f>
        <v>0</v>
      </c>
      <c r="L22" s="111">
        <f>ROUND((I22-M22)*$H$34,2)</f>
        <v>0</v>
      </c>
      <c r="M22" s="90">
        <f t="shared" si="9"/>
        <v>0</v>
      </c>
      <c r="N22" s="93">
        <f t="shared" si="10"/>
        <v>0</v>
      </c>
      <c r="O22" s="76">
        <f t="shared" si="11"/>
        <v>0</v>
      </c>
      <c r="P22" s="107">
        <v>2</v>
      </c>
      <c r="Q22" s="79">
        <f t="shared" si="12"/>
        <v>1.78</v>
      </c>
      <c r="R22" s="90">
        <f t="shared" si="2"/>
        <v>237398.15000000002</v>
      </c>
      <c r="S22" s="90">
        <f t="shared" si="13"/>
        <v>237398.14</v>
      </c>
      <c r="T22" s="111">
        <f t="shared" si="14"/>
        <v>211284.35000000003</v>
      </c>
      <c r="U22" s="116">
        <f>ROUND((S22-W22)*(1-$S$34),2)+0.01</f>
        <v>141560.52000000002</v>
      </c>
      <c r="V22" s="116">
        <f>ROUND((S22-W22)*$S$34,2)</f>
        <v>69723.83</v>
      </c>
      <c r="W22" s="90">
        <f t="shared" si="17"/>
        <v>26113.8</v>
      </c>
      <c r="X22" s="94">
        <f t="shared" si="18"/>
        <v>0.11000001937673141</v>
      </c>
      <c r="Y22" s="90">
        <f t="shared" si="19"/>
        <v>118699.07</v>
      </c>
      <c r="Z22" s="90"/>
      <c r="AA22" s="92">
        <f t="shared" si="20"/>
        <v>0</v>
      </c>
      <c r="AB22" s="90">
        <f t="shared" si="21"/>
        <v>0</v>
      </c>
      <c r="AC22" s="90" t="e">
        <f t="shared" si="22"/>
        <v>#DIV/0!</v>
      </c>
      <c r="AD22" s="90">
        <f>AE22+AF22</f>
        <v>0</v>
      </c>
      <c r="AE22" s="90"/>
      <c r="AF22" s="90"/>
      <c r="AG22" s="90"/>
      <c r="AH22" s="93" t="e">
        <f t="shared" si="24"/>
        <v>#DIV/0!</v>
      </c>
      <c r="AI22" s="90">
        <f t="shared" si="25"/>
        <v>0</v>
      </c>
      <c r="AJ22" s="90">
        <f t="shared" si="26"/>
        <v>0</v>
      </c>
      <c r="AK22" s="90">
        <f t="shared" si="27"/>
        <v>211284.35000000003</v>
      </c>
      <c r="AL22" s="90">
        <f t="shared" si="28"/>
        <v>0</v>
      </c>
      <c r="AM22" s="90">
        <f t="shared" si="29"/>
        <v>0</v>
      </c>
      <c r="AN22" s="90">
        <f>ROUND(AK22/1000,1)</f>
        <v>211.3</v>
      </c>
      <c r="AO22" s="90">
        <f>ROUND(AL22/1000,1)</f>
        <v>0</v>
      </c>
    </row>
    <row r="23" spans="1:41" ht="15.75" x14ac:dyDescent="0.2">
      <c r="A23" s="98">
        <v>18</v>
      </c>
      <c r="B23" s="4" t="s">
        <v>20</v>
      </c>
      <c r="C23" s="78">
        <f>+'расчет точ'!C24</f>
        <v>0.77</v>
      </c>
      <c r="D23" s="78">
        <f>+'расчет точ'!D24</f>
        <v>0.76</v>
      </c>
      <c r="E23" s="78">
        <f>+'расчет точ'!E24</f>
        <v>0.78</v>
      </c>
      <c r="F23" s="104"/>
      <c r="G23" s="79">
        <f t="shared" si="5"/>
        <v>0</v>
      </c>
      <c r="H23" s="90">
        <f t="shared" si="0"/>
        <v>0</v>
      </c>
      <c r="I23" s="90">
        <f t="shared" si="6"/>
        <v>0</v>
      </c>
      <c r="J23" s="111">
        <f t="shared" si="1"/>
        <v>0</v>
      </c>
      <c r="K23" s="111">
        <f t="shared" si="7"/>
        <v>0</v>
      </c>
      <c r="L23" s="111">
        <f t="shared" si="8"/>
        <v>0</v>
      </c>
      <c r="M23" s="90">
        <f t="shared" si="9"/>
        <v>0</v>
      </c>
      <c r="N23" s="93">
        <f t="shared" si="10"/>
        <v>0</v>
      </c>
      <c r="O23" s="76">
        <f t="shared" si="11"/>
        <v>0</v>
      </c>
      <c r="P23" s="108"/>
      <c r="Q23" s="79">
        <f t="shared" si="12"/>
        <v>0</v>
      </c>
      <c r="R23" s="90">
        <f t="shared" si="2"/>
        <v>0</v>
      </c>
      <c r="S23" s="90">
        <f t="shared" si="13"/>
        <v>0</v>
      </c>
      <c r="T23" s="111">
        <f t="shared" si="14"/>
        <v>0</v>
      </c>
      <c r="U23" s="116">
        <f t="shared" si="15"/>
        <v>0</v>
      </c>
      <c r="V23" s="116">
        <f t="shared" si="16"/>
        <v>0</v>
      </c>
      <c r="W23" s="90">
        <f t="shared" si="17"/>
        <v>0</v>
      </c>
      <c r="X23" s="94">
        <f t="shared" si="18"/>
        <v>0</v>
      </c>
      <c r="Y23" s="90">
        <f t="shared" si="19"/>
        <v>0</v>
      </c>
      <c r="Z23" s="90"/>
      <c r="AA23" s="92">
        <f t="shared" si="20"/>
        <v>0</v>
      </c>
      <c r="AB23" s="90">
        <f t="shared" si="21"/>
        <v>0</v>
      </c>
      <c r="AC23" s="90" t="e">
        <f t="shared" si="22"/>
        <v>#DIV/0!</v>
      </c>
      <c r="AD23" s="90">
        <f t="shared" si="23"/>
        <v>0</v>
      </c>
      <c r="AE23" s="90"/>
      <c r="AF23" s="90"/>
      <c r="AG23" s="90"/>
      <c r="AH23" s="93" t="e">
        <f t="shared" si="24"/>
        <v>#DIV/0!</v>
      </c>
      <c r="AI23" s="90">
        <f t="shared" si="25"/>
        <v>0</v>
      </c>
      <c r="AJ23" s="90">
        <f t="shared" si="26"/>
        <v>0</v>
      </c>
      <c r="AK23" s="90">
        <f t="shared" si="27"/>
        <v>0</v>
      </c>
      <c r="AL23" s="90">
        <f t="shared" si="28"/>
        <v>0</v>
      </c>
      <c r="AM23" s="90">
        <f t="shared" si="29"/>
        <v>0</v>
      </c>
      <c r="AN23" s="90">
        <f>ROUND(AK23/1000,1)</f>
        <v>0</v>
      </c>
      <c r="AO23" s="90">
        <f>ROUND(AL23/1000,1)</f>
        <v>0</v>
      </c>
    </row>
    <row r="24" spans="1:41" ht="15.75" x14ac:dyDescent="0.2">
      <c r="A24" s="98"/>
      <c r="B24" s="77" t="s">
        <v>58</v>
      </c>
      <c r="C24" s="78"/>
      <c r="D24" s="78"/>
      <c r="E24" s="78"/>
      <c r="F24" s="107">
        <f t="shared" ref="F24" si="30">SUM(F6:F23)</f>
        <v>14</v>
      </c>
      <c r="G24" s="91">
        <f t="shared" ref="G24:M24" si="31">SUM(G6:G23)</f>
        <v>12.51</v>
      </c>
      <c r="H24" s="90">
        <f t="shared" si="31"/>
        <v>1575139.9</v>
      </c>
      <c r="I24" s="90">
        <f t="shared" si="31"/>
        <v>1575139.8699999999</v>
      </c>
      <c r="J24" s="111">
        <f t="shared" si="31"/>
        <v>1407500</v>
      </c>
      <c r="K24" s="111">
        <f t="shared" si="31"/>
        <v>880600</v>
      </c>
      <c r="L24" s="111">
        <f t="shared" si="31"/>
        <v>526899.99999999988</v>
      </c>
      <c r="M24" s="90">
        <f t="shared" si="31"/>
        <v>167639.9</v>
      </c>
      <c r="N24" s="93">
        <f t="shared" si="10"/>
        <v>0.10642858021237188</v>
      </c>
      <c r="O24" s="76">
        <f t="shared" si="11"/>
        <v>112509.99071428571</v>
      </c>
      <c r="P24" s="107">
        <f t="shared" ref="P24:W24" si="32">SUM(P6:P23)</f>
        <v>14</v>
      </c>
      <c r="Q24" s="90">
        <f t="shared" si="32"/>
        <v>12.510000000000002</v>
      </c>
      <c r="R24" s="90">
        <f t="shared" si="32"/>
        <v>1661787.0200000005</v>
      </c>
      <c r="S24" s="90">
        <f t="shared" si="32"/>
        <v>1661786.9800000004</v>
      </c>
      <c r="T24" s="111">
        <f t="shared" si="32"/>
        <v>1484925.37</v>
      </c>
      <c r="U24" s="116">
        <f t="shared" si="32"/>
        <v>994900</v>
      </c>
      <c r="V24" s="116">
        <f t="shared" si="32"/>
        <v>490025.37</v>
      </c>
      <c r="W24" s="90">
        <f t="shared" si="32"/>
        <v>176861.65</v>
      </c>
      <c r="X24" s="94">
        <f t="shared" si="18"/>
        <v>0.10642859291146928</v>
      </c>
      <c r="Y24" s="90">
        <f t="shared" si="19"/>
        <v>118699.07000000004</v>
      </c>
      <c r="Z24" s="90">
        <f t="shared" ref="Z24:AG24" si="33">SUM(Z6:Z23)</f>
        <v>0</v>
      </c>
      <c r="AA24" s="92">
        <f t="shared" si="33"/>
        <v>0</v>
      </c>
      <c r="AB24" s="90">
        <f t="shared" si="33"/>
        <v>0</v>
      </c>
      <c r="AC24" s="90" t="e">
        <f t="shared" si="33"/>
        <v>#DIV/0!</v>
      </c>
      <c r="AD24" s="90">
        <f t="shared" si="33"/>
        <v>0</v>
      </c>
      <c r="AE24" s="90">
        <f t="shared" si="33"/>
        <v>0</v>
      </c>
      <c r="AF24" s="90">
        <f t="shared" si="33"/>
        <v>0</v>
      </c>
      <c r="AG24" s="90">
        <f t="shared" si="33"/>
        <v>0</v>
      </c>
      <c r="AH24" s="93" t="e">
        <f t="shared" si="24"/>
        <v>#DIV/0!</v>
      </c>
      <c r="AI24" s="90">
        <f t="shared" si="25"/>
        <v>0</v>
      </c>
      <c r="AJ24" s="90">
        <f t="shared" ref="AJ24:AO24" si="34">SUM(AJ6:AJ23)</f>
        <v>1407500</v>
      </c>
      <c r="AK24" s="90">
        <f t="shared" si="34"/>
        <v>1484925.37</v>
      </c>
      <c r="AL24" s="90">
        <f t="shared" si="34"/>
        <v>0</v>
      </c>
      <c r="AM24" s="90">
        <f t="shared" si="34"/>
        <v>1407.3999999999999</v>
      </c>
      <c r="AN24" s="90">
        <f t="shared" si="34"/>
        <v>1484.7999999999997</v>
      </c>
      <c r="AO24" s="90">
        <f t="shared" si="34"/>
        <v>0</v>
      </c>
    </row>
    <row r="25" spans="1:41" ht="15.75" x14ac:dyDescent="0.2">
      <c r="A25" s="89" t="s">
        <v>60</v>
      </c>
      <c r="B25" s="77" t="s">
        <v>59</v>
      </c>
      <c r="C25" s="78"/>
      <c r="D25" s="78"/>
      <c r="E25" s="78"/>
      <c r="F25" s="104"/>
      <c r="G25" s="79">
        <f>C25*F25</f>
        <v>0</v>
      </c>
      <c r="H25" s="90">
        <f>K25+L25+M25</f>
        <v>0</v>
      </c>
      <c r="I25" s="90">
        <f>ROUND($H$32/$G$28*F25,2)</f>
        <v>0</v>
      </c>
      <c r="J25" s="111">
        <f>K25+L25</f>
        <v>0</v>
      </c>
      <c r="K25" s="111">
        <f>ROUND((I25-M25)*(1-$H$34),2)</f>
        <v>0</v>
      </c>
      <c r="L25" s="111">
        <f>ROUND((I25-M25)*$H$34,2)</f>
        <v>0</v>
      </c>
      <c r="M25" s="90">
        <f>ROUNDUP(I25*(1-C25),2)</f>
        <v>0</v>
      </c>
      <c r="N25" s="93">
        <f t="shared" si="10"/>
        <v>0</v>
      </c>
      <c r="O25" s="76">
        <f t="shared" si="11"/>
        <v>0</v>
      </c>
      <c r="P25" s="104"/>
      <c r="Q25" s="79">
        <f>P25*D25</f>
        <v>0</v>
      </c>
      <c r="R25" s="90">
        <f t="shared" si="2"/>
        <v>0</v>
      </c>
      <c r="S25" s="90">
        <f>ROUND($S$32/$Q$28*P25,2)</f>
        <v>0</v>
      </c>
      <c r="T25" s="111">
        <f>U25+V25</f>
        <v>0</v>
      </c>
      <c r="U25" s="116">
        <f>ROUND((S25-W25)*(1-$S$34),2)</f>
        <v>0</v>
      </c>
      <c r="V25" s="116">
        <f>ROUND((S25-W25)*$S$34,2)</f>
        <v>0</v>
      </c>
      <c r="W25" s="90">
        <f>ROUND(S25*(1-D25),2)</f>
        <v>0</v>
      </c>
      <c r="X25" s="94">
        <f t="shared" si="18"/>
        <v>0</v>
      </c>
      <c r="Y25" s="90">
        <f t="shared" si="19"/>
        <v>0</v>
      </c>
      <c r="Z25" s="90"/>
      <c r="AA25" s="92"/>
      <c r="AB25" s="90">
        <f t="shared" si="21"/>
        <v>0</v>
      </c>
      <c r="AC25" s="90" t="e">
        <f>ROUND($AC$32/$AA$28*Z25,2)</f>
        <v>#DIV/0!</v>
      </c>
      <c r="AD25" s="90">
        <f>AE25+AF25</f>
        <v>0</v>
      </c>
      <c r="AE25" s="90"/>
      <c r="AF25" s="90"/>
      <c r="AG25" s="90"/>
      <c r="AH25" s="93" t="e">
        <f t="shared" si="24"/>
        <v>#DIV/0!</v>
      </c>
      <c r="AI25" s="90">
        <f t="shared" si="25"/>
        <v>0</v>
      </c>
      <c r="AJ25" s="90">
        <f t="shared" si="26"/>
        <v>0</v>
      </c>
      <c r="AK25" s="90">
        <f t="shared" si="27"/>
        <v>0</v>
      </c>
      <c r="AL25" s="90">
        <f t="shared" si="28"/>
        <v>0</v>
      </c>
      <c r="AM25" s="90">
        <f t="shared" ref="AM25:AO27" si="35">ROUND(AJ25/1000,1)</f>
        <v>0</v>
      </c>
      <c r="AN25" s="90">
        <f t="shared" si="35"/>
        <v>0</v>
      </c>
      <c r="AO25" s="90">
        <f t="shared" si="35"/>
        <v>0</v>
      </c>
    </row>
    <row r="26" spans="1:41" ht="15.75" x14ac:dyDescent="0.2">
      <c r="A26" s="89" t="s">
        <v>61</v>
      </c>
      <c r="B26" s="77" t="s">
        <v>59</v>
      </c>
      <c r="C26" s="78"/>
      <c r="D26" s="78"/>
      <c r="E26" s="78"/>
      <c r="F26" s="104"/>
      <c r="G26" s="79">
        <f>C26*F26</f>
        <v>0</v>
      </c>
      <c r="H26" s="90">
        <f>K26+L26+M26</f>
        <v>0</v>
      </c>
      <c r="I26" s="90">
        <f>ROUND($H$32/$G$28*F26,2)</f>
        <v>0</v>
      </c>
      <c r="J26" s="111">
        <f>K26+L26</f>
        <v>0</v>
      </c>
      <c r="K26" s="111">
        <f>ROUND((I26-M26)*(1-$H$34),2)</f>
        <v>0</v>
      </c>
      <c r="L26" s="111">
        <f>ROUND((I26-M26)*$H$34,2)</f>
        <v>0</v>
      </c>
      <c r="M26" s="90">
        <f>ROUNDUP(I26*(1-C26),2)</f>
        <v>0</v>
      </c>
      <c r="N26" s="93">
        <f t="shared" si="10"/>
        <v>0</v>
      </c>
      <c r="O26" s="76">
        <f t="shared" si="11"/>
        <v>0</v>
      </c>
      <c r="P26" s="104"/>
      <c r="Q26" s="79">
        <f>P26*D26</f>
        <v>0</v>
      </c>
      <c r="R26" s="90">
        <f t="shared" si="2"/>
        <v>0</v>
      </c>
      <c r="S26" s="90">
        <f>ROUND($S$32/$Q$28*P26,2)</f>
        <v>0</v>
      </c>
      <c r="T26" s="111">
        <f>U26+V26</f>
        <v>0</v>
      </c>
      <c r="U26" s="116">
        <f>ROUND((S26-W26)*(1-$S$34),2)</f>
        <v>0</v>
      </c>
      <c r="V26" s="116">
        <f>ROUND((S26-W26)*$S$34,2)</f>
        <v>0</v>
      </c>
      <c r="W26" s="90">
        <f>ROUND(S26*(1-D26),2)</f>
        <v>0</v>
      </c>
      <c r="X26" s="94">
        <f t="shared" si="18"/>
        <v>0</v>
      </c>
      <c r="Y26" s="90">
        <f t="shared" si="19"/>
        <v>0</v>
      </c>
      <c r="Z26" s="90"/>
      <c r="AA26" s="92"/>
      <c r="AB26" s="90">
        <f t="shared" si="21"/>
        <v>0</v>
      </c>
      <c r="AC26" s="90" t="e">
        <f>ROUND($AC$32/$AA$28*Z26,2)</f>
        <v>#DIV/0!</v>
      </c>
      <c r="AD26" s="90">
        <f>AE26+AF26</f>
        <v>0</v>
      </c>
      <c r="AE26" s="90"/>
      <c r="AF26" s="90"/>
      <c r="AG26" s="90"/>
      <c r="AH26" s="93" t="e">
        <f t="shared" si="24"/>
        <v>#DIV/0!</v>
      </c>
      <c r="AI26" s="90">
        <f t="shared" si="25"/>
        <v>0</v>
      </c>
      <c r="AJ26" s="90">
        <f t="shared" si="26"/>
        <v>0</v>
      </c>
      <c r="AK26" s="90">
        <f t="shared" si="27"/>
        <v>0</v>
      </c>
      <c r="AL26" s="90">
        <f t="shared" si="28"/>
        <v>0</v>
      </c>
      <c r="AM26" s="90">
        <f t="shared" si="35"/>
        <v>0</v>
      </c>
      <c r="AN26" s="90">
        <f t="shared" si="35"/>
        <v>0</v>
      </c>
      <c r="AO26" s="90">
        <f t="shared" si="35"/>
        <v>0</v>
      </c>
    </row>
    <row r="27" spans="1:41" ht="15.75" x14ac:dyDescent="0.2">
      <c r="A27" s="89" t="s">
        <v>62</v>
      </c>
      <c r="B27" s="77" t="s">
        <v>59</v>
      </c>
      <c r="C27" s="78"/>
      <c r="D27" s="78"/>
      <c r="E27" s="78"/>
      <c r="F27" s="104"/>
      <c r="G27" s="79">
        <f>C27*F27</f>
        <v>0</v>
      </c>
      <c r="H27" s="90">
        <f>K27+L27+M27</f>
        <v>0</v>
      </c>
      <c r="I27" s="90">
        <f>ROUND($H$32/$G$28*F27,2)</f>
        <v>0</v>
      </c>
      <c r="J27" s="111">
        <f>K27+L27</f>
        <v>0</v>
      </c>
      <c r="K27" s="111">
        <f>ROUND((I27-M27)*(1-$H$34),2)</f>
        <v>0</v>
      </c>
      <c r="L27" s="111">
        <f>ROUND((I27-M27)*$H$34,2)</f>
        <v>0</v>
      </c>
      <c r="M27" s="90">
        <f>ROUNDUP(I27*(1-C27),2)</f>
        <v>0</v>
      </c>
      <c r="N27" s="93">
        <f t="shared" si="10"/>
        <v>0</v>
      </c>
      <c r="O27" s="76">
        <f t="shared" si="11"/>
        <v>0</v>
      </c>
      <c r="P27" s="104"/>
      <c r="Q27" s="79">
        <f>P27*D27</f>
        <v>0</v>
      </c>
      <c r="R27" s="90">
        <f t="shared" si="2"/>
        <v>0</v>
      </c>
      <c r="S27" s="90">
        <f>ROUND($S$32/$Q$28*P27,2)</f>
        <v>0</v>
      </c>
      <c r="T27" s="111">
        <f>U27+V27</f>
        <v>0</v>
      </c>
      <c r="U27" s="116">
        <f>ROUND((S27-W27)*(1-$S$34),2)</f>
        <v>0</v>
      </c>
      <c r="V27" s="116">
        <f>ROUND((S27-W27)*$S$34,2)</f>
        <v>0</v>
      </c>
      <c r="W27" s="90">
        <f>ROUND(S27*(1-D27),2)</f>
        <v>0</v>
      </c>
      <c r="X27" s="94">
        <f t="shared" si="18"/>
        <v>0</v>
      </c>
      <c r="Y27" s="90">
        <f t="shared" si="19"/>
        <v>0</v>
      </c>
      <c r="Z27" s="90"/>
      <c r="AA27" s="92"/>
      <c r="AB27" s="90">
        <f t="shared" si="21"/>
        <v>0</v>
      </c>
      <c r="AC27" s="90" t="e">
        <f>ROUND($AC$32/$AA$28*Z27,2)</f>
        <v>#DIV/0!</v>
      </c>
      <c r="AD27" s="90">
        <f>AE27+AF27</f>
        <v>0</v>
      </c>
      <c r="AE27" s="90"/>
      <c r="AF27" s="90"/>
      <c r="AG27" s="90"/>
      <c r="AH27" s="93" t="e">
        <f t="shared" si="24"/>
        <v>#DIV/0!</v>
      </c>
      <c r="AI27" s="90">
        <f t="shared" si="25"/>
        <v>0</v>
      </c>
      <c r="AJ27" s="90">
        <f t="shared" si="26"/>
        <v>0</v>
      </c>
      <c r="AK27" s="90">
        <f t="shared" si="27"/>
        <v>0</v>
      </c>
      <c r="AL27" s="90">
        <f t="shared" si="28"/>
        <v>0</v>
      </c>
      <c r="AM27" s="90">
        <f t="shared" si="35"/>
        <v>0</v>
      </c>
      <c r="AN27" s="90">
        <f t="shared" si="35"/>
        <v>0</v>
      </c>
      <c r="AO27" s="90">
        <f t="shared" si="35"/>
        <v>0</v>
      </c>
    </row>
    <row r="28" spans="1:41" ht="15.75" x14ac:dyDescent="0.2">
      <c r="A28" s="98"/>
      <c r="B28" s="77" t="s">
        <v>25</v>
      </c>
      <c r="C28" s="80"/>
      <c r="D28" s="80"/>
      <c r="E28" s="80"/>
      <c r="F28" s="104">
        <f>F24+F25+F26+F27</f>
        <v>14</v>
      </c>
      <c r="G28" s="91">
        <f t="shared" ref="G28:AG28" si="36">G24+G25+G26+G27</f>
        <v>12.51</v>
      </c>
      <c r="H28" s="90">
        <f t="shared" si="36"/>
        <v>1575139.9</v>
      </c>
      <c r="I28" s="90">
        <f t="shared" si="36"/>
        <v>1575139.8699999999</v>
      </c>
      <c r="J28" s="111">
        <f t="shared" si="36"/>
        <v>1407500</v>
      </c>
      <c r="K28" s="111">
        <f t="shared" si="36"/>
        <v>880600</v>
      </c>
      <c r="L28" s="111">
        <f t="shared" si="36"/>
        <v>526899.99999999988</v>
      </c>
      <c r="M28" s="90">
        <f t="shared" si="36"/>
        <v>167639.9</v>
      </c>
      <c r="N28" s="93">
        <f t="shared" si="10"/>
        <v>0.10642858021237188</v>
      </c>
      <c r="O28" s="76">
        <f t="shared" si="11"/>
        <v>112509.99071428571</v>
      </c>
      <c r="P28" s="104">
        <f t="shared" si="36"/>
        <v>14</v>
      </c>
      <c r="Q28" s="92">
        <f t="shared" si="36"/>
        <v>12.510000000000002</v>
      </c>
      <c r="R28" s="90">
        <f t="shared" si="36"/>
        <v>1661787.0200000005</v>
      </c>
      <c r="S28" s="90">
        <f t="shared" si="36"/>
        <v>1661786.9800000004</v>
      </c>
      <c r="T28" s="111">
        <f t="shared" si="36"/>
        <v>1484925.37</v>
      </c>
      <c r="U28" s="116">
        <f t="shared" si="36"/>
        <v>994900</v>
      </c>
      <c r="V28" s="116">
        <f t="shared" si="36"/>
        <v>490025.37</v>
      </c>
      <c r="W28" s="90">
        <f t="shared" si="36"/>
        <v>176861.65</v>
      </c>
      <c r="X28" s="94">
        <f t="shared" si="18"/>
        <v>0.10642859291146928</v>
      </c>
      <c r="Y28" s="90">
        <f t="shared" si="19"/>
        <v>118699.07000000004</v>
      </c>
      <c r="Z28" s="90">
        <f t="shared" si="36"/>
        <v>0</v>
      </c>
      <c r="AA28" s="92">
        <f t="shared" si="36"/>
        <v>0</v>
      </c>
      <c r="AB28" s="90">
        <f t="shared" si="36"/>
        <v>0</v>
      </c>
      <c r="AC28" s="90" t="e">
        <f t="shared" si="36"/>
        <v>#DIV/0!</v>
      </c>
      <c r="AD28" s="90">
        <f t="shared" si="36"/>
        <v>0</v>
      </c>
      <c r="AE28" s="90">
        <f t="shared" si="36"/>
        <v>0</v>
      </c>
      <c r="AF28" s="90">
        <f t="shared" si="36"/>
        <v>0</v>
      </c>
      <c r="AG28" s="90">
        <f t="shared" si="36"/>
        <v>0</v>
      </c>
      <c r="AH28" s="93" t="e">
        <f t="shared" si="24"/>
        <v>#DIV/0!</v>
      </c>
      <c r="AI28" s="90">
        <f t="shared" si="25"/>
        <v>0</v>
      </c>
      <c r="AJ28" s="90">
        <f t="shared" ref="AJ28:AO28" si="37">AJ24+AJ25+AJ26+AJ27</f>
        <v>1407500</v>
      </c>
      <c r="AK28" s="90">
        <f t="shared" si="37"/>
        <v>1484925.37</v>
      </c>
      <c r="AL28" s="90">
        <f t="shared" si="37"/>
        <v>0</v>
      </c>
      <c r="AM28" s="90">
        <f t="shared" si="37"/>
        <v>1407.3999999999999</v>
      </c>
      <c r="AN28" s="90">
        <f t="shared" si="37"/>
        <v>1484.7999999999997</v>
      </c>
      <c r="AO28" s="90">
        <f t="shared" si="37"/>
        <v>0</v>
      </c>
    </row>
    <row r="29" spans="1:41" x14ac:dyDescent="0.2">
      <c r="O29" s="86"/>
      <c r="X29" s="87"/>
      <c r="Y29" s="76"/>
      <c r="AM29" s="95">
        <f>ROUND(AJ29/1000,1)</f>
        <v>0</v>
      </c>
      <c r="AN29" s="95">
        <f>ROUND(AK29/1000,1)</f>
        <v>0</v>
      </c>
      <c r="AO29" s="95">
        <f>ROUND(AL29/1000,1)</f>
        <v>0</v>
      </c>
    </row>
    <row r="30" spans="1:41" ht="15" x14ac:dyDescent="0.25">
      <c r="G30" s="81" t="s">
        <v>30</v>
      </c>
      <c r="H30" s="105">
        <v>880600</v>
      </c>
      <c r="I30" s="88">
        <f>H30-K28</f>
        <v>0</v>
      </c>
      <c r="S30" s="115">
        <v>994900</v>
      </c>
      <c r="T30" s="100">
        <f>S30-U28</f>
        <v>0</v>
      </c>
      <c r="U30" s="83"/>
      <c r="AC30" s="82"/>
      <c r="AD30" s="88">
        <f>AC30-AE28</f>
        <v>0</v>
      </c>
    </row>
    <row r="31" spans="1:41" ht="15" x14ac:dyDescent="0.25">
      <c r="G31" s="81" t="s">
        <v>29</v>
      </c>
      <c r="H31" s="105">
        <v>526900</v>
      </c>
      <c r="I31" s="88">
        <f>H31-L28</f>
        <v>0</v>
      </c>
      <c r="S31" s="115">
        <f>S30/67*33</f>
        <v>490025.3731343284</v>
      </c>
      <c r="T31" s="100">
        <f>S31-V28</f>
        <v>3.134328406304121E-3</v>
      </c>
      <c r="U31" s="83"/>
      <c r="AC31" s="82">
        <f>AC30/67*33</f>
        <v>0</v>
      </c>
      <c r="AD31" s="88">
        <f>AC31-AF28</f>
        <v>0</v>
      </c>
    </row>
    <row r="32" spans="1:41" x14ac:dyDescent="0.2">
      <c r="G32" s="81" t="s">
        <v>36</v>
      </c>
      <c r="H32" s="106">
        <f>SUM(H30:H31)</f>
        <v>1407500</v>
      </c>
      <c r="S32" s="106">
        <f>SUM(S30:S31)</f>
        <v>1484925.3731343285</v>
      </c>
      <c r="T32" s="85"/>
      <c r="U32" s="83"/>
      <c r="AC32" s="84">
        <f>SUM(AC30:AC31)</f>
        <v>0</v>
      </c>
    </row>
    <row r="33" spans="8:29" x14ac:dyDescent="0.2">
      <c r="AC33" s="81"/>
    </row>
    <row r="34" spans="8:29" x14ac:dyDescent="0.2">
      <c r="H34" s="72">
        <f>H31/H32</f>
        <v>0.37435168738898755</v>
      </c>
      <c r="S34" s="72">
        <f>S31/S32</f>
        <v>0.33</v>
      </c>
      <c r="AC34" s="28" t="e">
        <f>AC31/AC32</f>
        <v>#DIV/0!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M2:AO4"/>
    <mergeCell ref="F3:O3"/>
    <mergeCell ref="P3:Y3"/>
    <mergeCell ref="Z3:AI3"/>
    <mergeCell ref="F4:F5"/>
    <mergeCell ref="G4:G5"/>
    <mergeCell ref="H4:H5"/>
    <mergeCell ref="I4:M4"/>
    <mergeCell ref="N4:N5"/>
    <mergeCell ref="O4:O5"/>
    <mergeCell ref="AJ2:AL4"/>
    <mergeCell ref="AH4:AH5"/>
    <mergeCell ref="AI4:AI5"/>
    <mergeCell ref="X4:X5"/>
    <mergeCell ref="Y4:Y5"/>
    <mergeCell ref="Z4:Z5"/>
    <mergeCell ref="C1:M1"/>
    <mergeCell ref="A2:A5"/>
    <mergeCell ref="B2:B5"/>
    <mergeCell ref="C2:E4"/>
    <mergeCell ref="P4:P5"/>
    <mergeCell ref="AC4:AG4"/>
    <mergeCell ref="Q4:Q5"/>
    <mergeCell ref="R4:R5"/>
    <mergeCell ref="S4:W4"/>
    <mergeCell ref="AA4:AA5"/>
    <mergeCell ref="AB4:AB5"/>
  </mergeCells>
  <pageMargins left="0.19685039370078741" right="0.23622047244094491" top="0.74803149606299213" bottom="0.74803149606299213" header="0.31496062992125984" footer="0.31496062992125984"/>
  <pageSetup paperSize="9" scale="34" orientation="landscape" r:id="rId1"/>
  <headerFooter>
    <oddHeader>&amp;RПриложение 1</oddHeader>
  </headerFooter>
  <colBreaks count="2" manualBreakCount="2">
    <brk id="17" max="33" man="1"/>
    <brk id="27" max="3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O35"/>
  <sheetViews>
    <sheetView zoomScale="85" zoomScaleNormal="85" zoomScaleSheetLayoutView="71" workbookViewId="0">
      <pane xSplit="2" ySplit="6" topLeftCell="C7" activePane="bottomRight" state="frozen"/>
      <selection activeCell="H6" sqref="H6"/>
      <selection pane="topRight" activeCell="H6" sqref="H6"/>
      <selection pane="bottomLeft" activeCell="H6" sqref="H6"/>
      <selection pane="bottomRight" activeCell="F3" sqref="F3:I3"/>
    </sheetView>
  </sheetViews>
  <sheetFormatPr defaultRowHeight="12.75" x14ac:dyDescent="0.2"/>
  <cols>
    <col min="1" max="1" width="6.42578125" style="119" customWidth="1"/>
    <col min="2" max="2" width="22.7109375" style="119" customWidth="1"/>
    <col min="3" max="3" width="7" style="119" customWidth="1"/>
    <col min="4" max="4" width="7.140625" style="119" customWidth="1"/>
    <col min="5" max="5" width="7.5703125" style="119" customWidth="1"/>
    <col min="6" max="6" width="7.7109375" style="119" customWidth="1"/>
    <col min="7" max="7" width="8.5703125" style="119" hidden="1" customWidth="1"/>
    <col min="8" max="8" width="18.85546875" style="119" customWidth="1"/>
    <col min="9" max="9" width="18.85546875" style="119" bestFit="1" customWidth="1"/>
    <col min="10" max="12" width="18.85546875" style="119" customWidth="1"/>
    <col min="13" max="13" width="17.5703125" style="119" customWidth="1"/>
    <col min="14" max="14" width="21.42578125" style="119" hidden="1" customWidth="1"/>
    <col min="15" max="15" width="14.7109375" style="119" bestFit="1" customWidth="1"/>
    <col min="16" max="16" width="9.85546875" style="119" customWidth="1"/>
    <col min="17" max="17" width="9.85546875" style="119" hidden="1" customWidth="1"/>
    <col min="18" max="18" width="18" style="119" bestFit="1" customWidth="1"/>
    <col min="19" max="21" width="18.85546875" style="119" customWidth="1"/>
    <col min="22" max="22" width="18.5703125" style="119" customWidth="1"/>
    <col min="23" max="23" width="17.5703125" style="119" bestFit="1" customWidth="1"/>
    <col min="24" max="24" width="21.7109375" style="119" hidden="1" customWidth="1"/>
    <col min="25" max="25" width="15" style="119" customWidth="1"/>
    <col min="26" max="26" width="14.7109375" style="119" hidden="1" customWidth="1"/>
    <col min="27" max="27" width="11" style="119" hidden="1" customWidth="1"/>
    <col min="28" max="28" width="15.28515625" style="119" hidden="1" customWidth="1"/>
    <col min="29" max="29" width="20.85546875" style="119" hidden="1" customWidth="1"/>
    <col min="30" max="31" width="20" style="119" hidden="1" customWidth="1"/>
    <col min="32" max="32" width="18.5703125" style="119" hidden="1" customWidth="1"/>
    <col min="33" max="33" width="18.85546875" style="119" hidden="1" customWidth="1"/>
    <col min="34" max="34" width="20.42578125" style="119" hidden="1" customWidth="1"/>
    <col min="35" max="35" width="16.7109375" style="119" hidden="1" customWidth="1"/>
    <col min="36" max="37" width="14.7109375" style="119" bestFit="1" customWidth="1"/>
    <col min="38" max="38" width="15.7109375" style="119" bestFit="1" customWidth="1"/>
    <col min="39" max="39" width="12" style="119" customWidth="1"/>
    <col min="40" max="40" width="13.7109375" style="119" customWidth="1"/>
    <col min="41" max="41" width="13.85546875" style="119" customWidth="1"/>
    <col min="42" max="16384" width="9.140625" style="119"/>
  </cols>
  <sheetData>
    <row r="1" spans="1:41" x14ac:dyDescent="0.2">
      <c r="AO1" s="290" t="s">
        <v>74</v>
      </c>
    </row>
    <row r="2" spans="1:41" ht="63" customHeight="1" x14ac:dyDescent="0.2">
      <c r="A2" s="288" t="s">
        <v>68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  <c r="AI2" s="288"/>
      <c r="AJ2" s="288"/>
      <c r="AK2" s="288"/>
      <c r="AL2" s="288"/>
      <c r="AM2" s="288"/>
      <c r="AN2" s="288"/>
      <c r="AO2" s="288"/>
    </row>
    <row r="3" spans="1:41" ht="15.75" customHeight="1" x14ac:dyDescent="0.2">
      <c r="A3" s="247" t="s">
        <v>39</v>
      </c>
      <c r="B3" s="248" t="s">
        <v>40</v>
      </c>
      <c r="C3" s="249" t="s">
        <v>41</v>
      </c>
      <c r="D3" s="250"/>
      <c r="E3" s="250"/>
      <c r="F3" s="120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2"/>
      <c r="AJ3" s="257" t="s">
        <v>64</v>
      </c>
      <c r="AK3" s="257"/>
      <c r="AL3" s="257"/>
      <c r="AM3" s="257" t="s">
        <v>65</v>
      </c>
      <c r="AN3" s="257"/>
      <c r="AO3" s="257"/>
    </row>
    <row r="4" spans="1:41" ht="15.75" customHeight="1" x14ac:dyDescent="0.2">
      <c r="A4" s="247"/>
      <c r="B4" s="248"/>
      <c r="C4" s="250"/>
      <c r="D4" s="250"/>
      <c r="E4" s="250"/>
      <c r="F4" s="274" t="s">
        <v>42</v>
      </c>
      <c r="G4" s="274"/>
      <c r="H4" s="274"/>
      <c r="I4" s="274"/>
      <c r="J4" s="274"/>
      <c r="K4" s="274"/>
      <c r="L4" s="274"/>
      <c r="M4" s="274"/>
      <c r="N4" s="274"/>
      <c r="O4" s="274"/>
      <c r="P4" s="275" t="s">
        <v>43</v>
      </c>
      <c r="Q4" s="275"/>
      <c r="R4" s="275"/>
      <c r="S4" s="275"/>
      <c r="T4" s="275"/>
      <c r="U4" s="275"/>
      <c r="V4" s="275"/>
      <c r="W4" s="275"/>
      <c r="X4" s="275"/>
      <c r="Y4" s="275"/>
      <c r="Z4" s="251" t="s">
        <v>67</v>
      </c>
      <c r="AA4" s="251"/>
      <c r="AB4" s="251"/>
      <c r="AC4" s="251"/>
      <c r="AD4" s="251"/>
      <c r="AE4" s="251"/>
      <c r="AF4" s="251"/>
      <c r="AG4" s="251"/>
      <c r="AH4" s="251"/>
      <c r="AI4" s="251"/>
      <c r="AJ4" s="257"/>
      <c r="AK4" s="257"/>
      <c r="AL4" s="257"/>
      <c r="AM4" s="257"/>
      <c r="AN4" s="257"/>
      <c r="AO4" s="257"/>
    </row>
    <row r="5" spans="1:41" ht="15.75" customHeight="1" x14ac:dyDescent="0.2">
      <c r="A5" s="247"/>
      <c r="B5" s="248"/>
      <c r="C5" s="250"/>
      <c r="D5" s="250"/>
      <c r="E5" s="250"/>
      <c r="F5" s="252" t="s">
        <v>44</v>
      </c>
      <c r="G5" s="252"/>
      <c r="H5" s="249" t="s">
        <v>45</v>
      </c>
      <c r="I5" s="249" t="s">
        <v>46</v>
      </c>
      <c r="J5" s="249"/>
      <c r="K5" s="249"/>
      <c r="L5" s="249"/>
      <c r="M5" s="249"/>
      <c r="N5" s="254" t="s">
        <v>63</v>
      </c>
      <c r="O5" s="273" t="s">
        <v>57</v>
      </c>
      <c r="P5" s="252" t="s">
        <v>44</v>
      </c>
      <c r="Q5" s="252"/>
      <c r="R5" s="249" t="s">
        <v>45</v>
      </c>
      <c r="S5" s="249" t="s">
        <v>46</v>
      </c>
      <c r="T5" s="249"/>
      <c r="U5" s="249"/>
      <c r="V5" s="249"/>
      <c r="W5" s="249"/>
      <c r="X5" s="254" t="s">
        <v>63</v>
      </c>
      <c r="Y5" s="273" t="s">
        <v>57</v>
      </c>
      <c r="Z5" s="252" t="s">
        <v>44</v>
      </c>
      <c r="AA5" s="252"/>
      <c r="AB5" s="249" t="s">
        <v>45</v>
      </c>
      <c r="AC5" s="249" t="s">
        <v>46</v>
      </c>
      <c r="AD5" s="249"/>
      <c r="AE5" s="249"/>
      <c r="AF5" s="249"/>
      <c r="AG5" s="249"/>
      <c r="AH5" s="254" t="s">
        <v>63</v>
      </c>
      <c r="AI5" s="255" t="s">
        <v>57</v>
      </c>
      <c r="AJ5" s="257"/>
      <c r="AK5" s="257"/>
      <c r="AL5" s="257"/>
      <c r="AM5" s="257"/>
      <c r="AN5" s="257"/>
      <c r="AO5" s="257"/>
    </row>
    <row r="6" spans="1:41" ht="58.15" customHeight="1" x14ac:dyDescent="0.2">
      <c r="A6" s="247"/>
      <c r="B6" s="248"/>
      <c r="C6" s="123">
        <f>+'расчет точ'!C6</f>
        <v>2023</v>
      </c>
      <c r="D6" s="123">
        <f>+'расчет точ'!D6</f>
        <v>2024</v>
      </c>
      <c r="E6" s="123">
        <f>+'расчет точ'!E6</f>
        <v>2025</v>
      </c>
      <c r="F6" s="252"/>
      <c r="G6" s="252"/>
      <c r="H6" s="249"/>
      <c r="I6" s="124" t="s">
        <v>50</v>
      </c>
      <c r="J6" s="125" t="s">
        <v>47</v>
      </c>
      <c r="K6" s="126" t="s">
        <v>48</v>
      </c>
      <c r="L6" s="126" t="s">
        <v>51</v>
      </c>
      <c r="M6" s="174" t="s">
        <v>52</v>
      </c>
      <c r="N6" s="255"/>
      <c r="O6" s="273"/>
      <c r="P6" s="252"/>
      <c r="Q6" s="252"/>
      <c r="R6" s="249"/>
      <c r="S6" s="124" t="s">
        <v>50</v>
      </c>
      <c r="T6" s="125" t="s">
        <v>47</v>
      </c>
      <c r="U6" s="126" t="s">
        <v>48</v>
      </c>
      <c r="V6" s="126" t="s">
        <v>51</v>
      </c>
      <c r="W6" s="126" t="s">
        <v>52</v>
      </c>
      <c r="X6" s="255"/>
      <c r="Y6" s="273"/>
      <c r="Z6" s="252"/>
      <c r="AA6" s="252"/>
      <c r="AB6" s="249"/>
      <c r="AC6" s="124" t="s">
        <v>50</v>
      </c>
      <c r="AD6" s="130" t="s">
        <v>47</v>
      </c>
      <c r="AE6" s="124" t="s">
        <v>48</v>
      </c>
      <c r="AF6" s="124" t="s">
        <v>49</v>
      </c>
      <c r="AG6" s="124" t="s">
        <v>52</v>
      </c>
      <c r="AH6" s="255"/>
      <c r="AI6" s="255"/>
      <c r="AJ6" s="131">
        <v>2023</v>
      </c>
      <c r="AK6" s="131">
        <v>2024</v>
      </c>
      <c r="AL6" s="131">
        <v>2025</v>
      </c>
      <c r="AM6" s="131">
        <v>2023</v>
      </c>
      <c r="AN6" s="131">
        <v>2024</v>
      </c>
      <c r="AO6" s="131">
        <v>2025</v>
      </c>
    </row>
    <row r="7" spans="1:41" ht="15.75" x14ac:dyDescent="0.2">
      <c r="A7" s="132">
        <v>1</v>
      </c>
      <c r="B7" s="133" t="s">
        <v>3</v>
      </c>
      <c r="C7" s="134">
        <f>+'расчет точ'!C7</f>
        <v>0.89</v>
      </c>
      <c r="D7" s="134">
        <f>+'расчет точ'!D7</f>
        <v>0.89</v>
      </c>
      <c r="E7" s="134">
        <f>+'расчет точ'!E7</f>
        <v>0.9</v>
      </c>
      <c r="F7" s="175">
        <v>2</v>
      </c>
      <c r="G7" s="136">
        <f>C7*F7</f>
        <v>1.78</v>
      </c>
      <c r="H7" s="156">
        <f>ROUND(F7*O7,0)</f>
        <v>4335955</v>
      </c>
      <c r="I7" s="156">
        <f>+H7</f>
        <v>4335955</v>
      </c>
      <c r="J7" s="156">
        <f t="shared" ref="J7:J24" si="0">K7+L7</f>
        <v>3858999.95</v>
      </c>
      <c r="K7" s="156">
        <v>125297.2</v>
      </c>
      <c r="L7" s="156">
        <f>+H7-K7-M7</f>
        <v>3733702.75</v>
      </c>
      <c r="M7" s="156">
        <f>ROUNDUP(I7*(1-C7),2)</f>
        <v>476955.05</v>
      </c>
      <c r="N7" s="157">
        <f>IF(I7=0,0,M7/I7)</f>
        <v>0.11</v>
      </c>
      <c r="O7" s="176">
        <v>2167977.6166666667</v>
      </c>
      <c r="P7" s="177">
        <v>1</v>
      </c>
      <c r="Q7" s="136">
        <f>P7*D7</f>
        <v>0.89</v>
      </c>
      <c r="R7" s="155">
        <f>ROUND(P7*Y7,0)</f>
        <v>2167978</v>
      </c>
      <c r="S7" s="155">
        <f>+R7</f>
        <v>2167978</v>
      </c>
      <c r="T7" s="156">
        <f>U7+V7</f>
        <v>1929499.42</v>
      </c>
      <c r="U7" s="178">
        <v>70780.25</v>
      </c>
      <c r="V7" s="178">
        <f>+R7-U7-W7-1</f>
        <v>1858719.17</v>
      </c>
      <c r="W7" s="156">
        <f>ROUND(S7*(1-D7),2)</f>
        <v>238477.58</v>
      </c>
      <c r="X7" s="160">
        <f>IF(S7=0,0,W7/S7)</f>
        <v>0.11</v>
      </c>
      <c r="Y7" s="176">
        <v>2167977.6166666667</v>
      </c>
      <c r="Z7" s="155"/>
      <c r="AA7" s="161">
        <f>E7*Z7</f>
        <v>0</v>
      </c>
      <c r="AB7" s="155">
        <f>AE7+AF7+AG7</f>
        <v>0</v>
      </c>
      <c r="AC7" s="155" t="e">
        <f>ROUND($AC$33/$AA$29*Z7,2)</f>
        <v>#DIV/0!</v>
      </c>
      <c r="AD7" s="155">
        <f>AE7+AF7</f>
        <v>0</v>
      </c>
      <c r="AE7" s="155"/>
      <c r="AF7" s="155"/>
      <c r="AG7" s="155"/>
      <c r="AH7" s="157" t="e">
        <f>IF(AC7=0,0,AG7/AC7)</f>
        <v>#DIV/0!</v>
      </c>
      <c r="AI7" s="155">
        <f>IF(Z7=0,0,AC7/Z7)</f>
        <v>0</v>
      </c>
      <c r="AJ7" s="155">
        <f>K7+L7</f>
        <v>3858999.95</v>
      </c>
      <c r="AK7" s="155">
        <f>U7+V7</f>
        <v>1929499.42</v>
      </c>
      <c r="AL7" s="155">
        <f>AE7+AF7</f>
        <v>0</v>
      </c>
      <c r="AM7" s="155">
        <f t="shared" ref="AM7:AO22" si="1">ROUND(AJ7/1000,1)</f>
        <v>3859</v>
      </c>
      <c r="AN7" s="155">
        <f>ROUND(AK7/1000,1)-0.1</f>
        <v>1929.4</v>
      </c>
      <c r="AO7" s="155">
        <f>ROUND(AL7/1000,1)</f>
        <v>0</v>
      </c>
    </row>
    <row r="8" spans="1:41" ht="15.75" x14ac:dyDescent="0.2">
      <c r="A8" s="132">
        <v>2</v>
      </c>
      <c r="B8" s="133" t="s">
        <v>53</v>
      </c>
      <c r="C8" s="134">
        <f>+'расчет точ'!C8</f>
        <v>0.9</v>
      </c>
      <c r="D8" s="134">
        <f>+'расчет точ'!D8</f>
        <v>0.9</v>
      </c>
      <c r="E8" s="134">
        <f>+'расчет точ'!E8</f>
        <v>0.89</v>
      </c>
      <c r="F8" s="175"/>
      <c r="G8" s="136">
        <f t="shared" ref="G8:G24" si="2">C8*F8</f>
        <v>0</v>
      </c>
      <c r="H8" s="156">
        <f t="shared" ref="H8:H24" si="3">ROUND(F8*O8,0)</f>
        <v>0</v>
      </c>
      <c r="I8" s="156">
        <f t="shared" ref="I8:I24" si="4">+H8</f>
        <v>0</v>
      </c>
      <c r="J8" s="156">
        <f t="shared" si="0"/>
        <v>0</v>
      </c>
      <c r="K8" s="156">
        <v>0</v>
      </c>
      <c r="L8" s="156">
        <f t="shared" ref="L8:L24" si="5">+H8-K8-M8</f>
        <v>0</v>
      </c>
      <c r="M8" s="156">
        <f t="shared" ref="M8:M24" si="6">ROUNDUP(I8*(1-C8),2)</f>
        <v>0</v>
      </c>
      <c r="N8" s="157">
        <f t="shared" ref="N8:N29" si="7">IF(I8=0,0,M8/I8)</f>
        <v>0</v>
      </c>
      <c r="O8" s="176">
        <v>2167977.6166666667</v>
      </c>
      <c r="P8" s="177"/>
      <c r="Q8" s="136">
        <f t="shared" ref="Q8:Q24" si="8">P8*D8</f>
        <v>0</v>
      </c>
      <c r="R8" s="155">
        <f t="shared" ref="R8:R28" si="9">ROUND(P8*Y8,0)</f>
        <v>0</v>
      </c>
      <c r="S8" s="155">
        <f t="shared" ref="S8:S29" si="10">+R8</f>
        <v>0</v>
      </c>
      <c r="T8" s="156">
        <f t="shared" ref="T8:T24" si="11">U8+V8</f>
        <v>0</v>
      </c>
      <c r="U8" s="178">
        <v>0</v>
      </c>
      <c r="V8" s="178">
        <f t="shared" ref="V8:V28" si="12">+R8-U8-W8</f>
        <v>0</v>
      </c>
      <c r="W8" s="156">
        <f t="shared" ref="W8:W24" si="13">ROUND(S8*(1-D8),2)</f>
        <v>0</v>
      </c>
      <c r="X8" s="160">
        <f t="shared" ref="X8:X29" si="14">IF(S8=0,0,W8/S8)</f>
        <v>0</v>
      </c>
      <c r="Y8" s="176">
        <v>2167977.6166666667</v>
      </c>
      <c r="Z8" s="155"/>
      <c r="AA8" s="161">
        <f t="shared" ref="AA8:AA24" si="15">E8*Z8</f>
        <v>0</v>
      </c>
      <c r="AB8" s="155">
        <f t="shared" ref="AB8:AB28" si="16">AE8+AF8+AG8</f>
        <v>0</v>
      </c>
      <c r="AC8" s="155" t="e">
        <f t="shared" ref="AC8:AC24" si="17">ROUND($AC$33/$AA$29*Z8,2)</f>
        <v>#DIV/0!</v>
      </c>
      <c r="AD8" s="155">
        <f t="shared" ref="AD8:AD24" si="18">AE8+AF8</f>
        <v>0</v>
      </c>
      <c r="AE8" s="155"/>
      <c r="AF8" s="155"/>
      <c r="AG8" s="155"/>
      <c r="AH8" s="157" t="e">
        <f t="shared" ref="AH8:AH29" si="19">IF(AC8=0,0,AG8/AC8)</f>
        <v>#DIV/0!</v>
      </c>
      <c r="AI8" s="155">
        <f t="shared" ref="AI8:AI29" si="20">IF(Z8=0,0,AC8/Z8)</f>
        <v>0</v>
      </c>
      <c r="AJ8" s="155">
        <f t="shared" ref="AJ8:AJ28" si="21">K8+L8</f>
        <v>0</v>
      </c>
      <c r="AK8" s="155">
        <f t="shared" ref="AK8:AK28" si="22">U8+V8</f>
        <v>0</v>
      </c>
      <c r="AL8" s="155">
        <f t="shared" ref="AL8:AL28" si="23">AE8+AF8</f>
        <v>0</v>
      </c>
      <c r="AM8" s="155">
        <f t="shared" si="1"/>
        <v>0</v>
      </c>
      <c r="AN8" s="155">
        <f t="shared" si="1"/>
        <v>0</v>
      </c>
      <c r="AO8" s="155">
        <f t="shared" si="1"/>
        <v>0</v>
      </c>
    </row>
    <row r="9" spans="1:41" ht="15.75" x14ac:dyDescent="0.2">
      <c r="A9" s="132">
        <v>3</v>
      </c>
      <c r="B9" s="133" t="s">
        <v>54</v>
      </c>
      <c r="C9" s="134">
        <f>+'расчет точ'!C9</f>
        <v>0.9</v>
      </c>
      <c r="D9" s="134">
        <f>+'расчет точ'!D9</f>
        <v>0.9</v>
      </c>
      <c r="E9" s="134">
        <f>+'расчет точ'!E9</f>
        <v>0.9</v>
      </c>
      <c r="F9" s="175">
        <v>1</v>
      </c>
      <c r="G9" s="136">
        <f t="shared" si="2"/>
        <v>0.9</v>
      </c>
      <c r="H9" s="156">
        <f t="shared" si="3"/>
        <v>2167978</v>
      </c>
      <c r="I9" s="156">
        <f t="shared" si="4"/>
        <v>2167978</v>
      </c>
      <c r="J9" s="156">
        <f t="shared" si="0"/>
        <v>1951180.2</v>
      </c>
      <c r="K9" s="156">
        <v>63352.52</v>
      </c>
      <c r="L9" s="156">
        <f t="shared" si="5"/>
        <v>1887827.68</v>
      </c>
      <c r="M9" s="156">
        <f t="shared" si="6"/>
        <v>216797.8</v>
      </c>
      <c r="N9" s="157">
        <f t="shared" si="7"/>
        <v>9.9999999999999992E-2</v>
      </c>
      <c r="O9" s="176">
        <v>2167977.6166666667</v>
      </c>
      <c r="P9" s="177">
        <v>1</v>
      </c>
      <c r="Q9" s="136">
        <f t="shared" si="8"/>
        <v>0.9</v>
      </c>
      <c r="R9" s="155">
        <f t="shared" si="9"/>
        <v>2167978</v>
      </c>
      <c r="S9" s="155">
        <f t="shared" si="10"/>
        <v>2167978</v>
      </c>
      <c r="T9" s="156">
        <f t="shared" si="11"/>
        <v>1951180.2</v>
      </c>
      <c r="U9" s="178">
        <v>71575.539999999994</v>
      </c>
      <c r="V9" s="178">
        <f t="shared" si="12"/>
        <v>1879604.66</v>
      </c>
      <c r="W9" s="156">
        <f t="shared" si="13"/>
        <v>216797.8</v>
      </c>
      <c r="X9" s="160">
        <f t="shared" si="14"/>
        <v>9.9999999999999992E-2</v>
      </c>
      <c r="Y9" s="176">
        <v>2167977.6166666667</v>
      </c>
      <c r="Z9" s="155"/>
      <c r="AA9" s="161">
        <f t="shared" si="15"/>
        <v>0</v>
      </c>
      <c r="AB9" s="155">
        <f t="shared" si="16"/>
        <v>0</v>
      </c>
      <c r="AC9" s="155" t="e">
        <f t="shared" si="17"/>
        <v>#DIV/0!</v>
      </c>
      <c r="AD9" s="155">
        <f t="shared" si="18"/>
        <v>0</v>
      </c>
      <c r="AE9" s="155"/>
      <c r="AF9" s="155"/>
      <c r="AG9" s="155"/>
      <c r="AH9" s="157" t="e">
        <f t="shared" si="19"/>
        <v>#DIV/0!</v>
      </c>
      <c r="AI9" s="155">
        <f t="shared" si="20"/>
        <v>0</v>
      </c>
      <c r="AJ9" s="155">
        <f t="shared" si="21"/>
        <v>1951180.2</v>
      </c>
      <c r="AK9" s="155">
        <f t="shared" si="22"/>
        <v>1951180.2</v>
      </c>
      <c r="AL9" s="155">
        <f t="shared" si="23"/>
        <v>0</v>
      </c>
      <c r="AM9" s="155">
        <f t="shared" si="1"/>
        <v>1951.2</v>
      </c>
      <c r="AN9" s="155">
        <f t="shared" si="1"/>
        <v>1951.2</v>
      </c>
      <c r="AO9" s="155">
        <f t="shared" si="1"/>
        <v>0</v>
      </c>
    </row>
    <row r="10" spans="1:41" ht="15.75" x14ac:dyDescent="0.2">
      <c r="A10" s="132">
        <v>4</v>
      </c>
      <c r="B10" s="133" t="s">
        <v>6</v>
      </c>
      <c r="C10" s="134">
        <f>+'расчет точ'!C10</f>
        <v>0.9</v>
      </c>
      <c r="D10" s="134">
        <f>+'расчет точ'!D10</f>
        <v>0.9</v>
      </c>
      <c r="E10" s="134">
        <f>+'расчет точ'!E10</f>
        <v>0.89</v>
      </c>
      <c r="F10" s="175">
        <v>4</v>
      </c>
      <c r="G10" s="136">
        <f t="shared" si="2"/>
        <v>3.6</v>
      </c>
      <c r="H10" s="156">
        <f t="shared" si="3"/>
        <v>8671910</v>
      </c>
      <c r="I10" s="156">
        <f t="shared" si="4"/>
        <v>8671910</v>
      </c>
      <c r="J10" s="156">
        <f t="shared" si="0"/>
        <v>7804719</v>
      </c>
      <c r="K10" s="156">
        <v>253410.07</v>
      </c>
      <c r="L10" s="156">
        <f t="shared" si="5"/>
        <v>7551308.9299999997</v>
      </c>
      <c r="M10" s="156">
        <f t="shared" si="6"/>
        <v>867191</v>
      </c>
      <c r="N10" s="157">
        <f t="shared" si="7"/>
        <v>0.1</v>
      </c>
      <c r="O10" s="176">
        <v>2167977.6166666667</v>
      </c>
      <c r="P10" s="177"/>
      <c r="Q10" s="136">
        <f t="shared" si="8"/>
        <v>0</v>
      </c>
      <c r="R10" s="155">
        <f t="shared" si="9"/>
        <v>0</v>
      </c>
      <c r="S10" s="155">
        <f t="shared" si="10"/>
        <v>0</v>
      </c>
      <c r="T10" s="156">
        <f t="shared" si="11"/>
        <v>0</v>
      </c>
      <c r="U10" s="178">
        <v>0</v>
      </c>
      <c r="V10" s="178">
        <f t="shared" si="12"/>
        <v>0</v>
      </c>
      <c r="W10" s="156">
        <f t="shared" si="13"/>
        <v>0</v>
      </c>
      <c r="X10" s="160">
        <f t="shared" si="14"/>
        <v>0</v>
      </c>
      <c r="Y10" s="176">
        <v>2167977.6166666667</v>
      </c>
      <c r="Z10" s="155"/>
      <c r="AA10" s="161">
        <f t="shared" si="15"/>
        <v>0</v>
      </c>
      <c r="AB10" s="155">
        <f t="shared" si="16"/>
        <v>0</v>
      </c>
      <c r="AC10" s="155" t="e">
        <f t="shared" si="17"/>
        <v>#DIV/0!</v>
      </c>
      <c r="AD10" s="155">
        <f t="shared" si="18"/>
        <v>0</v>
      </c>
      <c r="AE10" s="155"/>
      <c r="AF10" s="155"/>
      <c r="AG10" s="155"/>
      <c r="AH10" s="157" t="e">
        <f t="shared" si="19"/>
        <v>#DIV/0!</v>
      </c>
      <c r="AI10" s="155">
        <f t="shared" si="20"/>
        <v>0</v>
      </c>
      <c r="AJ10" s="155">
        <f t="shared" si="21"/>
        <v>7804719</v>
      </c>
      <c r="AK10" s="155">
        <f t="shared" si="22"/>
        <v>0</v>
      </c>
      <c r="AL10" s="155">
        <f t="shared" si="23"/>
        <v>0</v>
      </c>
      <c r="AM10" s="155">
        <f t="shared" si="1"/>
        <v>7804.7</v>
      </c>
      <c r="AN10" s="155">
        <f t="shared" si="1"/>
        <v>0</v>
      </c>
      <c r="AO10" s="155">
        <f t="shared" si="1"/>
        <v>0</v>
      </c>
    </row>
    <row r="11" spans="1:41" ht="15.75" x14ac:dyDescent="0.2">
      <c r="A11" s="132">
        <v>5</v>
      </c>
      <c r="B11" s="133" t="s">
        <v>7</v>
      </c>
      <c r="C11" s="134">
        <f>+'расчет точ'!C11</f>
        <v>0.89</v>
      </c>
      <c r="D11" s="134">
        <f>+'расчет точ'!D11</f>
        <v>0.89</v>
      </c>
      <c r="E11" s="134">
        <f>+'расчет точ'!E11</f>
        <v>0.9</v>
      </c>
      <c r="F11" s="175">
        <v>1</v>
      </c>
      <c r="G11" s="136">
        <f t="shared" si="2"/>
        <v>0.89</v>
      </c>
      <c r="H11" s="156">
        <f t="shared" si="3"/>
        <v>2167978</v>
      </c>
      <c r="I11" s="156">
        <f t="shared" si="4"/>
        <v>2167978</v>
      </c>
      <c r="J11" s="156">
        <f t="shared" si="0"/>
        <v>1929500.42</v>
      </c>
      <c r="K11" s="156">
        <v>62648.6</v>
      </c>
      <c r="L11" s="156">
        <f t="shared" si="5"/>
        <v>1866851.8199999998</v>
      </c>
      <c r="M11" s="156">
        <f t="shared" si="6"/>
        <v>238477.58</v>
      </c>
      <c r="N11" s="157">
        <f t="shared" si="7"/>
        <v>0.11</v>
      </c>
      <c r="O11" s="176">
        <v>2167977.6166666667</v>
      </c>
      <c r="P11" s="177">
        <v>3</v>
      </c>
      <c r="Q11" s="136">
        <f t="shared" si="8"/>
        <v>2.67</v>
      </c>
      <c r="R11" s="155">
        <f t="shared" si="9"/>
        <v>6503933</v>
      </c>
      <c r="S11" s="155">
        <f t="shared" si="10"/>
        <v>6503933</v>
      </c>
      <c r="T11" s="156">
        <f t="shared" si="11"/>
        <v>5788500.3600000003</v>
      </c>
      <c r="U11" s="178">
        <v>212340.76</v>
      </c>
      <c r="V11" s="178">
        <f t="shared" si="12"/>
        <v>5576159.6000000006</v>
      </c>
      <c r="W11" s="156">
        <f>ROUND(S11*(1-D11),2)+0.01</f>
        <v>715432.64</v>
      </c>
      <c r="X11" s="160">
        <f t="shared" si="14"/>
        <v>0.11000000153753121</v>
      </c>
      <c r="Y11" s="176">
        <v>2167977.6166666667</v>
      </c>
      <c r="Z11" s="155"/>
      <c r="AA11" s="161">
        <f t="shared" si="15"/>
        <v>0</v>
      </c>
      <c r="AB11" s="155">
        <f t="shared" si="16"/>
        <v>0</v>
      </c>
      <c r="AC11" s="155" t="e">
        <f t="shared" si="17"/>
        <v>#DIV/0!</v>
      </c>
      <c r="AD11" s="155">
        <f>AE11+AF11</f>
        <v>0</v>
      </c>
      <c r="AE11" s="155"/>
      <c r="AF11" s="155"/>
      <c r="AG11" s="155"/>
      <c r="AH11" s="157" t="e">
        <f t="shared" si="19"/>
        <v>#DIV/0!</v>
      </c>
      <c r="AI11" s="155">
        <f t="shared" si="20"/>
        <v>0</v>
      </c>
      <c r="AJ11" s="155">
        <f t="shared" si="21"/>
        <v>1929500.42</v>
      </c>
      <c r="AK11" s="155">
        <f t="shared" si="22"/>
        <v>5788500.3600000003</v>
      </c>
      <c r="AL11" s="155">
        <f t="shared" si="23"/>
        <v>0</v>
      </c>
      <c r="AM11" s="155">
        <f t="shared" si="1"/>
        <v>1929.5</v>
      </c>
      <c r="AN11" s="155">
        <f t="shared" si="1"/>
        <v>5788.5</v>
      </c>
      <c r="AO11" s="155">
        <f t="shared" si="1"/>
        <v>0</v>
      </c>
    </row>
    <row r="12" spans="1:41" ht="15.75" x14ac:dyDescent="0.2">
      <c r="A12" s="132">
        <v>6</v>
      </c>
      <c r="B12" s="133" t="s">
        <v>55</v>
      </c>
      <c r="C12" s="134">
        <f>+'расчет точ'!C12</f>
        <v>0.87</v>
      </c>
      <c r="D12" s="134">
        <f>+'расчет точ'!D12</f>
        <v>0.87</v>
      </c>
      <c r="E12" s="134">
        <f>+'расчет точ'!E12</f>
        <v>0.87</v>
      </c>
      <c r="F12" s="175">
        <v>1</v>
      </c>
      <c r="G12" s="136">
        <f t="shared" si="2"/>
        <v>0.87</v>
      </c>
      <c r="H12" s="156">
        <f t="shared" si="3"/>
        <v>2167978</v>
      </c>
      <c r="I12" s="156">
        <f t="shared" si="4"/>
        <v>2167978</v>
      </c>
      <c r="J12" s="156">
        <f t="shared" si="0"/>
        <v>1886140.8599999999</v>
      </c>
      <c r="K12" s="156">
        <v>61240.77</v>
      </c>
      <c r="L12" s="156">
        <f t="shared" si="5"/>
        <v>1824900.0899999999</v>
      </c>
      <c r="M12" s="156">
        <f t="shared" si="6"/>
        <v>281837.14</v>
      </c>
      <c r="N12" s="157">
        <f t="shared" si="7"/>
        <v>0.13</v>
      </c>
      <c r="O12" s="176">
        <v>2167977.6166666667</v>
      </c>
      <c r="P12" s="177"/>
      <c r="Q12" s="136">
        <f t="shared" si="8"/>
        <v>0</v>
      </c>
      <c r="R12" s="155">
        <f t="shared" si="9"/>
        <v>0</v>
      </c>
      <c r="S12" s="155">
        <f t="shared" si="10"/>
        <v>0</v>
      </c>
      <c r="T12" s="156">
        <f t="shared" si="11"/>
        <v>0</v>
      </c>
      <c r="U12" s="178">
        <v>0</v>
      </c>
      <c r="V12" s="178">
        <f t="shared" si="12"/>
        <v>0</v>
      </c>
      <c r="W12" s="156">
        <f t="shared" si="13"/>
        <v>0</v>
      </c>
      <c r="X12" s="160">
        <f t="shared" si="14"/>
        <v>0</v>
      </c>
      <c r="Y12" s="176">
        <v>2167977.6166666667</v>
      </c>
      <c r="Z12" s="155"/>
      <c r="AA12" s="161">
        <f t="shared" si="15"/>
        <v>0</v>
      </c>
      <c r="AB12" s="155">
        <f t="shared" si="16"/>
        <v>0</v>
      </c>
      <c r="AC12" s="155" t="e">
        <f t="shared" si="17"/>
        <v>#DIV/0!</v>
      </c>
      <c r="AD12" s="155">
        <f t="shared" si="18"/>
        <v>0</v>
      </c>
      <c r="AE12" s="155"/>
      <c r="AF12" s="155"/>
      <c r="AG12" s="155"/>
      <c r="AH12" s="157" t="e">
        <f t="shared" si="19"/>
        <v>#DIV/0!</v>
      </c>
      <c r="AI12" s="155">
        <f t="shared" si="20"/>
        <v>0</v>
      </c>
      <c r="AJ12" s="155">
        <f t="shared" si="21"/>
        <v>1886140.8599999999</v>
      </c>
      <c r="AK12" s="155">
        <f t="shared" si="22"/>
        <v>0</v>
      </c>
      <c r="AL12" s="155">
        <f t="shared" si="23"/>
        <v>0</v>
      </c>
      <c r="AM12" s="155">
        <f t="shared" si="1"/>
        <v>1886.1</v>
      </c>
      <c r="AN12" s="155">
        <f t="shared" si="1"/>
        <v>0</v>
      </c>
      <c r="AO12" s="155">
        <f t="shared" si="1"/>
        <v>0</v>
      </c>
    </row>
    <row r="13" spans="1:41" ht="15.75" x14ac:dyDescent="0.2">
      <c r="A13" s="132">
        <v>7</v>
      </c>
      <c r="B13" s="133" t="s">
        <v>9</v>
      </c>
      <c r="C13" s="134">
        <f>+'расчет точ'!C13</f>
        <v>0.89</v>
      </c>
      <c r="D13" s="134">
        <f>+'расчет точ'!D13</f>
        <v>0.9</v>
      </c>
      <c r="E13" s="134">
        <f>+'расчет точ'!E13</f>
        <v>0.89</v>
      </c>
      <c r="F13" s="175">
        <v>2</v>
      </c>
      <c r="G13" s="136">
        <f t="shared" si="2"/>
        <v>1.78</v>
      </c>
      <c r="H13" s="156">
        <f t="shared" si="3"/>
        <v>4335955</v>
      </c>
      <c r="I13" s="156">
        <f t="shared" si="4"/>
        <v>4335955</v>
      </c>
      <c r="J13" s="156">
        <f t="shared" si="0"/>
        <v>3858999.95</v>
      </c>
      <c r="K13" s="156">
        <v>125297.2</v>
      </c>
      <c r="L13" s="156">
        <f t="shared" si="5"/>
        <v>3733702.75</v>
      </c>
      <c r="M13" s="156">
        <f t="shared" si="6"/>
        <v>476955.05</v>
      </c>
      <c r="N13" s="157">
        <f t="shared" si="7"/>
        <v>0.11</v>
      </c>
      <c r="O13" s="176">
        <v>2167977.6166666667</v>
      </c>
      <c r="P13" s="177">
        <v>1</v>
      </c>
      <c r="Q13" s="136">
        <f t="shared" si="8"/>
        <v>0.9</v>
      </c>
      <c r="R13" s="155">
        <f t="shared" si="9"/>
        <v>2167978</v>
      </c>
      <c r="S13" s="155">
        <f t="shared" si="10"/>
        <v>2167978</v>
      </c>
      <c r="T13" s="156">
        <f t="shared" si="11"/>
        <v>1951180.2</v>
      </c>
      <c r="U13" s="178">
        <v>71575.539999999994</v>
      </c>
      <c r="V13" s="178">
        <f t="shared" si="12"/>
        <v>1879604.66</v>
      </c>
      <c r="W13" s="156">
        <f t="shared" si="13"/>
        <v>216797.8</v>
      </c>
      <c r="X13" s="160">
        <f t="shared" si="14"/>
        <v>9.9999999999999992E-2</v>
      </c>
      <c r="Y13" s="176">
        <v>2167977.6166666667</v>
      </c>
      <c r="Z13" s="155"/>
      <c r="AA13" s="161">
        <f t="shared" si="15"/>
        <v>0</v>
      </c>
      <c r="AB13" s="155">
        <f t="shared" si="16"/>
        <v>0</v>
      </c>
      <c r="AC13" s="155" t="e">
        <f t="shared" si="17"/>
        <v>#DIV/0!</v>
      </c>
      <c r="AD13" s="155">
        <f t="shared" si="18"/>
        <v>0</v>
      </c>
      <c r="AE13" s="155"/>
      <c r="AF13" s="155"/>
      <c r="AG13" s="155"/>
      <c r="AH13" s="157" t="e">
        <f t="shared" si="19"/>
        <v>#DIV/0!</v>
      </c>
      <c r="AI13" s="155">
        <f t="shared" si="20"/>
        <v>0</v>
      </c>
      <c r="AJ13" s="155">
        <f t="shared" si="21"/>
        <v>3858999.95</v>
      </c>
      <c r="AK13" s="155">
        <f t="shared" si="22"/>
        <v>1951180.2</v>
      </c>
      <c r="AL13" s="155">
        <f t="shared" si="23"/>
        <v>0</v>
      </c>
      <c r="AM13" s="155">
        <f>ROUND(AJ13/1000,1)-0.1</f>
        <v>3858.9</v>
      </c>
      <c r="AN13" s="155">
        <f t="shared" si="1"/>
        <v>1951.2</v>
      </c>
      <c r="AO13" s="155">
        <f t="shared" si="1"/>
        <v>0</v>
      </c>
    </row>
    <row r="14" spans="1:41" ht="15.75" x14ac:dyDescent="0.2">
      <c r="A14" s="132">
        <v>8</v>
      </c>
      <c r="B14" s="133" t="s">
        <v>10</v>
      </c>
      <c r="C14" s="134">
        <f>+'расчет точ'!C14</f>
        <v>0.89</v>
      </c>
      <c r="D14" s="134">
        <f>+'расчет точ'!D14</f>
        <v>0.9</v>
      </c>
      <c r="E14" s="134">
        <f>+'расчет точ'!E14</f>
        <v>0.9</v>
      </c>
      <c r="F14" s="175"/>
      <c r="G14" s="136">
        <f t="shared" si="2"/>
        <v>0</v>
      </c>
      <c r="H14" s="156">
        <f t="shared" si="3"/>
        <v>0</v>
      </c>
      <c r="I14" s="156">
        <f t="shared" si="4"/>
        <v>0</v>
      </c>
      <c r="J14" s="156">
        <f t="shared" si="0"/>
        <v>0</v>
      </c>
      <c r="K14" s="156">
        <v>0</v>
      </c>
      <c r="L14" s="156">
        <f t="shared" si="5"/>
        <v>0</v>
      </c>
      <c r="M14" s="156">
        <f t="shared" si="6"/>
        <v>0</v>
      </c>
      <c r="N14" s="157">
        <f t="shared" si="7"/>
        <v>0</v>
      </c>
      <c r="O14" s="176">
        <v>2167977.6166666667</v>
      </c>
      <c r="P14" s="177"/>
      <c r="Q14" s="136">
        <f t="shared" si="8"/>
        <v>0</v>
      </c>
      <c r="R14" s="155">
        <f t="shared" si="9"/>
        <v>0</v>
      </c>
      <c r="S14" s="155">
        <f t="shared" si="10"/>
        <v>0</v>
      </c>
      <c r="T14" s="156">
        <f t="shared" si="11"/>
        <v>0</v>
      </c>
      <c r="U14" s="178">
        <v>0</v>
      </c>
      <c r="V14" s="178">
        <f t="shared" si="12"/>
        <v>0</v>
      </c>
      <c r="W14" s="156">
        <f t="shared" si="13"/>
        <v>0</v>
      </c>
      <c r="X14" s="160">
        <f t="shared" si="14"/>
        <v>0</v>
      </c>
      <c r="Y14" s="176">
        <v>2167977.6166666667</v>
      </c>
      <c r="Z14" s="155"/>
      <c r="AA14" s="161">
        <f t="shared" si="15"/>
        <v>0</v>
      </c>
      <c r="AB14" s="155">
        <f t="shared" si="16"/>
        <v>0</v>
      </c>
      <c r="AC14" s="155" t="e">
        <f t="shared" si="17"/>
        <v>#DIV/0!</v>
      </c>
      <c r="AD14" s="155">
        <f t="shared" si="18"/>
        <v>0</v>
      </c>
      <c r="AE14" s="155"/>
      <c r="AF14" s="155"/>
      <c r="AG14" s="155"/>
      <c r="AH14" s="157" t="e">
        <f t="shared" si="19"/>
        <v>#DIV/0!</v>
      </c>
      <c r="AI14" s="155">
        <f t="shared" si="20"/>
        <v>0</v>
      </c>
      <c r="AJ14" s="155">
        <f t="shared" si="21"/>
        <v>0</v>
      </c>
      <c r="AK14" s="155">
        <f t="shared" si="22"/>
        <v>0</v>
      </c>
      <c r="AL14" s="155">
        <f t="shared" si="23"/>
        <v>0</v>
      </c>
      <c r="AM14" s="155">
        <f t="shared" ref="AM14:AM24" si="24">ROUND(AJ14/1000,1)</f>
        <v>0</v>
      </c>
      <c r="AN14" s="155">
        <f t="shared" si="1"/>
        <v>0</v>
      </c>
      <c r="AO14" s="155">
        <f t="shared" si="1"/>
        <v>0</v>
      </c>
    </row>
    <row r="15" spans="1:41" ht="15.75" x14ac:dyDescent="0.2">
      <c r="A15" s="132">
        <v>9</v>
      </c>
      <c r="B15" s="133" t="s">
        <v>11</v>
      </c>
      <c r="C15" s="134">
        <f>+'расчет точ'!C15</f>
        <v>0.9</v>
      </c>
      <c r="D15" s="134">
        <f>+'расчет точ'!D15</f>
        <v>0.9</v>
      </c>
      <c r="E15" s="134">
        <f>+'расчет точ'!E15</f>
        <v>0.89</v>
      </c>
      <c r="F15" s="175"/>
      <c r="G15" s="136">
        <f t="shared" si="2"/>
        <v>0</v>
      </c>
      <c r="H15" s="156">
        <f t="shared" si="3"/>
        <v>0</v>
      </c>
      <c r="I15" s="156">
        <f t="shared" si="4"/>
        <v>0</v>
      </c>
      <c r="J15" s="156">
        <f t="shared" si="0"/>
        <v>0</v>
      </c>
      <c r="K15" s="156">
        <v>0</v>
      </c>
      <c r="L15" s="156">
        <f t="shared" si="5"/>
        <v>0</v>
      </c>
      <c r="M15" s="156">
        <f t="shared" si="6"/>
        <v>0</v>
      </c>
      <c r="N15" s="157">
        <f t="shared" si="7"/>
        <v>0</v>
      </c>
      <c r="O15" s="176">
        <v>2167977.6166666667</v>
      </c>
      <c r="P15" s="177"/>
      <c r="Q15" s="136">
        <f t="shared" si="8"/>
        <v>0</v>
      </c>
      <c r="R15" s="155">
        <f t="shared" si="9"/>
        <v>0</v>
      </c>
      <c r="S15" s="155">
        <f t="shared" si="10"/>
        <v>0</v>
      </c>
      <c r="T15" s="156">
        <f t="shared" si="11"/>
        <v>0</v>
      </c>
      <c r="U15" s="178">
        <v>0</v>
      </c>
      <c r="V15" s="178">
        <f t="shared" si="12"/>
        <v>0</v>
      </c>
      <c r="W15" s="156">
        <f t="shared" si="13"/>
        <v>0</v>
      </c>
      <c r="X15" s="160">
        <f t="shared" si="14"/>
        <v>0</v>
      </c>
      <c r="Y15" s="176">
        <v>2167977.6166666667</v>
      </c>
      <c r="Z15" s="155"/>
      <c r="AA15" s="161">
        <f t="shared" si="15"/>
        <v>0</v>
      </c>
      <c r="AB15" s="155">
        <f t="shared" si="16"/>
        <v>0</v>
      </c>
      <c r="AC15" s="155" t="e">
        <f t="shared" si="17"/>
        <v>#DIV/0!</v>
      </c>
      <c r="AD15" s="155">
        <f t="shared" si="18"/>
        <v>0</v>
      </c>
      <c r="AE15" s="155"/>
      <c r="AF15" s="155"/>
      <c r="AG15" s="155"/>
      <c r="AH15" s="157" t="e">
        <f t="shared" si="19"/>
        <v>#DIV/0!</v>
      </c>
      <c r="AI15" s="155">
        <f t="shared" si="20"/>
        <v>0</v>
      </c>
      <c r="AJ15" s="155">
        <f t="shared" si="21"/>
        <v>0</v>
      </c>
      <c r="AK15" s="155">
        <f t="shared" si="22"/>
        <v>0</v>
      </c>
      <c r="AL15" s="155">
        <f t="shared" si="23"/>
        <v>0</v>
      </c>
      <c r="AM15" s="155">
        <f t="shared" si="24"/>
        <v>0</v>
      </c>
      <c r="AN15" s="155">
        <f t="shared" si="1"/>
        <v>0</v>
      </c>
      <c r="AO15" s="155">
        <f t="shared" si="1"/>
        <v>0</v>
      </c>
    </row>
    <row r="16" spans="1:41" ht="15.75" x14ac:dyDescent="0.2">
      <c r="A16" s="132">
        <v>10</v>
      </c>
      <c r="B16" s="133" t="s">
        <v>12</v>
      </c>
      <c r="C16" s="134">
        <f>+'расчет точ'!C16</f>
        <v>0.9</v>
      </c>
      <c r="D16" s="134">
        <f>+'расчет точ'!D16</f>
        <v>0.89</v>
      </c>
      <c r="E16" s="134">
        <f>+'расчет точ'!E16</f>
        <v>0.9</v>
      </c>
      <c r="F16" s="175"/>
      <c r="G16" s="136">
        <f t="shared" si="2"/>
        <v>0</v>
      </c>
      <c r="H16" s="156">
        <f t="shared" si="3"/>
        <v>0</v>
      </c>
      <c r="I16" s="156">
        <f t="shared" si="4"/>
        <v>0</v>
      </c>
      <c r="J16" s="156">
        <f t="shared" si="0"/>
        <v>0</v>
      </c>
      <c r="K16" s="156">
        <v>0</v>
      </c>
      <c r="L16" s="156">
        <f t="shared" si="5"/>
        <v>0</v>
      </c>
      <c r="M16" s="156">
        <f t="shared" si="6"/>
        <v>0</v>
      </c>
      <c r="N16" s="157">
        <f t="shared" si="7"/>
        <v>0</v>
      </c>
      <c r="O16" s="176">
        <v>2167977.6166666667</v>
      </c>
      <c r="P16" s="177">
        <v>2</v>
      </c>
      <c r="Q16" s="136">
        <f t="shared" si="8"/>
        <v>1.78</v>
      </c>
      <c r="R16" s="155">
        <f t="shared" si="9"/>
        <v>4335955</v>
      </c>
      <c r="S16" s="155">
        <f t="shared" si="10"/>
        <v>4335955</v>
      </c>
      <c r="T16" s="156">
        <f t="shared" si="11"/>
        <v>3858999.9500000007</v>
      </c>
      <c r="U16" s="178">
        <v>141560.52000000002</v>
      </c>
      <c r="V16" s="178">
        <f t="shared" si="12"/>
        <v>3717439.4300000006</v>
      </c>
      <c r="W16" s="156">
        <f t="shared" si="13"/>
        <v>476955.05</v>
      </c>
      <c r="X16" s="160">
        <f t="shared" si="14"/>
        <v>0.11</v>
      </c>
      <c r="Y16" s="176">
        <v>2167977.6166666667</v>
      </c>
      <c r="Z16" s="155"/>
      <c r="AA16" s="161">
        <f t="shared" si="15"/>
        <v>0</v>
      </c>
      <c r="AB16" s="155">
        <f t="shared" si="16"/>
        <v>0</v>
      </c>
      <c r="AC16" s="155" t="e">
        <f t="shared" si="17"/>
        <v>#DIV/0!</v>
      </c>
      <c r="AD16" s="155">
        <f t="shared" si="18"/>
        <v>0</v>
      </c>
      <c r="AE16" s="155"/>
      <c r="AF16" s="155"/>
      <c r="AG16" s="155"/>
      <c r="AH16" s="157" t="e">
        <f t="shared" si="19"/>
        <v>#DIV/0!</v>
      </c>
      <c r="AI16" s="155">
        <f t="shared" si="20"/>
        <v>0</v>
      </c>
      <c r="AJ16" s="155">
        <f t="shared" si="21"/>
        <v>0</v>
      </c>
      <c r="AK16" s="155">
        <f t="shared" si="22"/>
        <v>3858999.9500000007</v>
      </c>
      <c r="AL16" s="155">
        <f t="shared" si="23"/>
        <v>0</v>
      </c>
      <c r="AM16" s="155">
        <f t="shared" si="24"/>
        <v>0</v>
      </c>
      <c r="AN16" s="155">
        <f t="shared" si="1"/>
        <v>3859</v>
      </c>
      <c r="AO16" s="155">
        <f t="shared" si="1"/>
        <v>0</v>
      </c>
    </row>
    <row r="17" spans="1:41" ht="15.75" x14ac:dyDescent="0.2">
      <c r="A17" s="132">
        <v>11</v>
      </c>
      <c r="B17" s="133" t="s">
        <v>56</v>
      </c>
      <c r="C17" s="134">
        <f>+'расчет точ'!C17</f>
        <v>0.89</v>
      </c>
      <c r="D17" s="134">
        <f>+'расчет точ'!D17</f>
        <v>0.89</v>
      </c>
      <c r="E17" s="134">
        <f>+'расчет точ'!E17</f>
        <v>0.9</v>
      </c>
      <c r="F17" s="175">
        <v>1</v>
      </c>
      <c r="G17" s="136">
        <f t="shared" si="2"/>
        <v>0.89</v>
      </c>
      <c r="H17" s="156">
        <f t="shared" si="3"/>
        <v>2167978</v>
      </c>
      <c r="I17" s="156">
        <f t="shared" si="4"/>
        <v>2167978</v>
      </c>
      <c r="J17" s="156">
        <f t="shared" si="0"/>
        <v>1929500.42</v>
      </c>
      <c r="K17" s="156">
        <v>62648.6</v>
      </c>
      <c r="L17" s="156">
        <f t="shared" si="5"/>
        <v>1866851.8199999998</v>
      </c>
      <c r="M17" s="156">
        <f t="shared" si="6"/>
        <v>238477.58</v>
      </c>
      <c r="N17" s="157">
        <f t="shared" si="7"/>
        <v>0.11</v>
      </c>
      <c r="O17" s="176">
        <v>2167977.6166666667</v>
      </c>
      <c r="P17" s="177"/>
      <c r="Q17" s="136">
        <f t="shared" si="8"/>
        <v>0</v>
      </c>
      <c r="R17" s="155">
        <f t="shared" si="9"/>
        <v>0</v>
      </c>
      <c r="S17" s="155">
        <f t="shared" si="10"/>
        <v>0</v>
      </c>
      <c r="T17" s="156">
        <f t="shared" si="11"/>
        <v>0</v>
      </c>
      <c r="U17" s="178">
        <v>0</v>
      </c>
      <c r="V17" s="178">
        <f t="shared" si="12"/>
        <v>0</v>
      </c>
      <c r="W17" s="156">
        <f t="shared" si="13"/>
        <v>0</v>
      </c>
      <c r="X17" s="160">
        <f t="shared" si="14"/>
        <v>0</v>
      </c>
      <c r="Y17" s="176">
        <v>2167977.6166666667</v>
      </c>
      <c r="Z17" s="155"/>
      <c r="AA17" s="161">
        <f t="shared" si="15"/>
        <v>0</v>
      </c>
      <c r="AB17" s="155">
        <f t="shared" si="16"/>
        <v>0</v>
      </c>
      <c r="AC17" s="155" t="e">
        <f t="shared" si="17"/>
        <v>#DIV/0!</v>
      </c>
      <c r="AD17" s="155">
        <f t="shared" si="18"/>
        <v>0</v>
      </c>
      <c r="AE17" s="155"/>
      <c r="AF17" s="155"/>
      <c r="AG17" s="155"/>
      <c r="AH17" s="157" t="e">
        <f t="shared" si="19"/>
        <v>#DIV/0!</v>
      </c>
      <c r="AI17" s="155">
        <f t="shared" si="20"/>
        <v>0</v>
      </c>
      <c r="AJ17" s="155">
        <f t="shared" si="21"/>
        <v>1929500.42</v>
      </c>
      <c r="AK17" s="155">
        <f t="shared" si="22"/>
        <v>0</v>
      </c>
      <c r="AL17" s="155">
        <f t="shared" si="23"/>
        <v>0</v>
      </c>
      <c r="AM17" s="155">
        <f t="shared" si="24"/>
        <v>1929.5</v>
      </c>
      <c r="AN17" s="155">
        <f t="shared" si="1"/>
        <v>0</v>
      </c>
      <c r="AO17" s="155">
        <f t="shared" si="1"/>
        <v>0</v>
      </c>
    </row>
    <row r="18" spans="1:41" ht="15.75" x14ac:dyDescent="0.2">
      <c r="A18" s="132">
        <v>12</v>
      </c>
      <c r="B18" s="133" t="s">
        <v>14</v>
      </c>
      <c r="C18" s="134">
        <f>+'расчет точ'!C18</f>
        <v>0.9</v>
      </c>
      <c r="D18" s="134">
        <f>+'расчет точ'!D18</f>
        <v>0.9</v>
      </c>
      <c r="E18" s="134">
        <f>+'расчет точ'!E18</f>
        <v>0.89</v>
      </c>
      <c r="F18" s="175"/>
      <c r="G18" s="136">
        <f t="shared" si="2"/>
        <v>0</v>
      </c>
      <c r="H18" s="156">
        <f t="shared" si="3"/>
        <v>0</v>
      </c>
      <c r="I18" s="156">
        <f t="shared" si="4"/>
        <v>0</v>
      </c>
      <c r="J18" s="156">
        <f t="shared" si="0"/>
        <v>0</v>
      </c>
      <c r="K18" s="156">
        <v>0</v>
      </c>
      <c r="L18" s="156">
        <f t="shared" si="5"/>
        <v>0</v>
      </c>
      <c r="M18" s="156">
        <f t="shared" si="6"/>
        <v>0</v>
      </c>
      <c r="N18" s="157">
        <f t="shared" si="7"/>
        <v>0</v>
      </c>
      <c r="O18" s="176">
        <v>2167977.6166666667</v>
      </c>
      <c r="P18" s="177">
        <v>2</v>
      </c>
      <c r="Q18" s="136">
        <f t="shared" si="8"/>
        <v>1.8</v>
      </c>
      <c r="R18" s="155">
        <f t="shared" si="9"/>
        <v>4335955</v>
      </c>
      <c r="S18" s="155">
        <f t="shared" si="10"/>
        <v>4335955</v>
      </c>
      <c r="T18" s="156">
        <f t="shared" si="11"/>
        <v>3902359.49</v>
      </c>
      <c r="U18" s="178">
        <v>143151.08000000002</v>
      </c>
      <c r="V18" s="178">
        <f t="shared" si="12"/>
        <v>3759208.41</v>
      </c>
      <c r="W18" s="156">
        <f>ROUND(S18*(1-D18),2)+0.01</f>
        <v>433595.51</v>
      </c>
      <c r="X18" s="160">
        <f t="shared" si="14"/>
        <v>0.10000000230629701</v>
      </c>
      <c r="Y18" s="176">
        <v>2167977.6166666667</v>
      </c>
      <c r="Z18" s="155"/>
      <c r="AA18" s="161">
        <f t="shared" si="15"/>
        <v>0</v>
      </c>
      <c r="AB18" s="155">
        <f t="shared" si="16"/>
        <v>0</v>
      </c>
      <c r="AC18" s="155" t="e">
        <f t="shared" si="17"/>
        <v>#DIV/0!</v>
      </c>
      <c r="AD18" s="155">
        <f t="shared" si="18"/>
        <v>0</v>
      </c>
      <c r="AE18" s="155"/>
      <c r="AF18" s="155"/>
      <c r="AG18" s="155"/>
      <c r="AH18" s="157" t="e">
        <f t="shared" si="19"/>
        <v>#DIV/0!</v>
      </c>
      <c r="AI18" s="155">
        <f t="shared" si="20"/>
        <v>0</v>
      </c>
      <c r="AJ18" s="155">
        <f t="shared" si="21"/>
        <v>0</v>
      </c>
      <c r="AK18" s="155">
        <f t="shared" si="22"/>
        <v>3902359.49</v>
      </c>
      <c r="AL18" s="155">
        <f t="shared" si="23"/>
        <v>0</v>
      </c>
      <c r="AM18" s="155">
        <f t="shared" si="24"/>
        <v>0</v>
      </c>
      <c r="AN18" s="155">
        <f t="shared" si="1"/>
        <v>3902.4</v>
      </c>
      <c r="AO18" s="155">
        <f t="shared" si="1"/>
        <v>0</v>
      </c>
    </row>
    <row r="19" spans="1:41" ht="15.75" x14ac:dyDescent="0.2">
      <c r="A19" s="132">
        <v>13</v>
      </c>
      <c r="B19" s="133" t="s">
        <v>15</v>
      </c>
      <c r="C19" s="134">
        <f>+'расчет точ'!C19</f>
        <v>0.9</v>
      </c>
      <c r="D19" s="134">
        <f>+'расчет точ'!D19</f>
        <v>0.9</v>
      </c>
      <c r="E19" s="134">
        <f>+'расчет точ'!E19</f>
        <v>0.9</v>
      </c>
      <c r="F19" s="175"/>
      <c r="G19" s="136">
        <f t="shared" si="2"/>
        <v>0</v>
      </c>
      <c r="H19" s="156">
        <f t="shared" si="3"/>
        <v>0</v>
      </c>
      <c r="I19" s="156">
        <f t="shared" si="4"/>
        <v>0</v>
      </c>
      <c r="J19" s="156">
        <f t="shared" si="0"/>
        <v>0</v>
      </c>
      <c r="K19" s="156">
        <v>0</v>
      </c>
      <c r="L19" s="156">
        <f t="shared" si="5"/>
        <v>0</v>
      </c>
      <c r="M19" s="156">
        <f t="shared" si="6"/>
        <v>0</v>
      </c>
      <c r="N19" s="157">
        <f t="shared" si="7"/>
        <v>0</v>
      </c>
      <c r="O19" s="176">
        <v>2167977.6166666667</v>
      </c>
      <c r="P19" s="177">
        <v>1</v>
      </c>
      <c r="Q19" s="136">
        <f t="shared" si="8"/>
        <v>0.9</v>
      </c>
      <c r="R19" s="155">
        <f t="shared" si="9"/>
        <v>2167978</v>
      </c>
      <c r="S19" s="155">
        <f t="shared" si="10"/>
        <v>2167978</v>
      </c>
      <c r="T19" s="156">
        <f t="shared" si="11"/>
        <v>1951180.2</v>
      </c>
      <c r="U19" s="178">
        <v>71575.539999999994</v>
      </c>
      <c r="V19" s="178">
        <f t="shared" si="12"/>
        <v>1879604.66</v>
      </c>
      <c r="W19" s="156">
        <f t="shared" si="13"/>
        <v>216797.8</v>
      </c>
      <c r="X19" s="160">
        <f t="shared" si="14"/>
        <v>9.9999999999999992E-2</v>
      </c>
      <c r="Y19" s="176">
        <v>2167977.6166666667</v>
      </c>
      <c r="Z19" s="155"/>
      <c r="AA19" s="161">
        <f t="shared" si="15"/>
        <v>0</v>
      </c>
      <c r="AB19" s="155">
        <f t="shared" si="16"/>
        <v>0</v>
      </c>
      <c r="AC19" s="155" t="e">
        <f t="shared" si="17"/>
        <v>#DIV/0!</v>
      </c>
      <c r="AD19" s="155">
        <f t="shared" si="18"/>
        <v>0</v>
      </c>
      <c r="AE19" s="155"/>
      <c r="AF19" s="155"/>
      <c r="AG19" s="155"/>
      <c r="AH19" s="157" t="e">
        <f t="shared" si="19"/>
        <v>#DIV/0!</v>
      </c>
      <c r="AI19" s="155">
        <f t="shared" si="20"/>
        <v>0</v>
      </c>
      <c r="AJ19" s="155">
        <f t="shared" si="21"/>
        <v>0</v>
      </c>
      <c r="AK19" s="155">
        <f t="shared" si="22"/>
        <v>1951180.2</v>
      </c>
      <c r="AL19" s="155">
        <f t="shared" si="23"/>
        <v>0</v>
      </c>
      <c r="AM19" s="155">
        <f t="shared" si="24"/>
        <v>0</v>
      </c>
      <c r="AN19" s="155">
        <f t="shared" si="1"/>
        <v>1951.2</v>
      </c>
      <c r="AO19" s="155">
        <f t="shared" si="1"/>
        <v>0</v>
      </c>
    </row>
    <row r="20" spans="1:41" ht="15.75" x14ac:dyDescent="0.2">
      <c r="A20" s="132">
        <v>14</v>
      </c>
      <c r="B20" s="133" t="s">
        <v>16</v>
      </c>
      <c r="C20" s="134">
        <f>+'расчет точ'!C20</f>
        <v>0.89</v>
      </c>
      <c r="D20" s="134">
        <f>+'расчет точ'!D20</f>
        <v>0.89</v>
      </c>
      <c r="E20" s="134">
        <f>+'расчет точ'!E20</f>
        <v>0.89</v>
      </c>
      <c r="F20" s="175"/>
      <c r="G20" s="136">
        <f t="shared" si="2"/>
        <v>0</v>
      </c>
      <c r="H20" s="156">
        <f t="shared" si="3"/>
        <v>0</v>
      </c>
      <c r="I20" s="156">
        <f t="shared" si="4"/>
        <v>0</v>
      </c>
      <c r="J20" s="156">
        <f t="shared" si="0"/>
        <v>0</v>
      </c>
      <c r="K20" s="156">
        <v>0</v>
      </c>
      <c r="L20" s="156">
        <f t="shared" si="5"/>
        <v>0</v>
      </c>
      <c r="M20" s="156">
        <f t="shared" si="6"/>
        <v>0</v>
      </c>
      <c r="N20" s="157">
        <f t="shared" si="7"/>
        <v>0</v>
      </c>
      <c r="O20" s="176">
        <v>2167977.6166666667</v>
      </c>
      <c r="P20" s="177">
        <v>1</v>
      </c>
      <c r="Q20" s="136">
        <f t="shared" si="8"/>
        <v>0.89</v>
      </c>
      <c r="R20" s="155">
        <f t="shared" si="9"/>
        <v>2167978</v>
      </c>
      <c r="S20" s="155">
        <f t="shared" si="10"/>
        <v>2167978</v>
      </c>
      <c r="T20" s="156">
        <f t="shared" si="11"/>
        <v>1929500.42</v>
      </c>
      <c r="U20" s="178">
        <v>70780.25</v>
      </c>
      <c r="V20" s="178">
        <f t="shared" si="12"/>
        <v>1858720.17</v>
      </c>
      <c r="W20" s="156">
        <f t="shared" si="13"/>
        <v>238477.58</v>
      </c>
      <c r="X20" s="160">
        <f t="shared" si="14"/>
        <v>0.11</v>
      </c>
      <c r="Y20" s="176">
        <v>2167977.6166666667</v>
      </c>
      <c r="Z20" s="155"/>
      <c r="AA20" s="161">
        <f t="shared" si="15"/>
        <v>0</v>
      </c>
      <c r="AB20" s="155">
        <f t="shared" si="16"/>
        <v>0</v>
      </c>
      <c r="AC20" s="155" t="e">
        <f t="shared" si="17"/>
        <v>#DIV/0!</v>
      </c>
      <c r="AD20" s="155">
        <f t="shared" si="18"/>
        <v>0</v>
      </c>
      <c r="AE20" s="155"/>
      <c r="AF20" s="155"/>
      <c r="AG20" s="155"/>
      <c r="AH20" s="157" t="e">
        <f t="shared" si="19"/>
        <v>#DIV/0!</v>
      </c>
      <c r="AI20" s="155">
        <f t="shared" si="20"/>
        <v>0</v>
      </c>
      <c r="AJ20" s="155">
        <f t="shared" si="21"/>
        <v>0</v>
      </c>
      <c r="AK20" s="155">
        <f t="shared" si="22"/>
        <v>1929500.42</v>
      </c>
      <c r="AL20" s="155">
        <f t="shared" si="23"/>
        <v>0</v>
      </c>
      <c r="AM20" s="155">
        <f t="shared" si="24"/>
        <v>0</v>
      </c>
      <c r="AN20" s="155">
        <f t="shared" si="1"/>
        <v>1929.5</v>
      </c>
      <c r="AO20" s="155">
        <f t="shared" si="1"/>
        <v>0</v>
      </c>
    </row>
    <row r="21" spans="1:41" ht="15.75" x14ac:dyDescent="0.2">
      <c r="A21" s="132">
        <v>15</v>
      </c>
      <c r="B21" s="133" t="s">
        <v>17</v>
      </c>
      <c r="C21" s="134">
        <f>+'расчет точ'!C21</f>
        <v>0.9</v>
      </c>
      <c r="D21" s="134">
        <f>+'расчет точ'!D21</f>
        <v>0.89</v>
      </c>
      <c r="E21" s="134">
        <f>+'расчет точ'!E21</f>
        <v>0.88</v>
      </c>
      <c r="F21" s="175">
        <v>2</v>
      </c>
      <c r="G21" s="136">
        <f t="shared" si="2"/>
        <v>1.8</v>
      </c>
      <c r="H21" s="156">
        <f t="shared" si="3"/>
        <v>4335955</v>
      </c>
      <c r="I21" s="156">
        <f t="shared" si="4"/>
        <v>4335955</v>
      </c>
      <c r="J21" s="156">
        <f t="shared" si="0"/>
        <v>3902359.5</v>
      </c>
      <c r="K21" s="156">
        <v>126705.04</v>
      </c>
      <c r="L21" s="156">
        <f t="shared" si="5"/>
        <v>3775654.46</v>
      </c>
      <c r="M21" s="156">
        <f t="shared" si="6"/>
        <v>433595.5</v>
      </c>
      <c r="N21" s="157">
        <f t="shared" si="7"/>
        <v>0.1</v>
      </c>
      <c r="O21" s="176">
        <v>2167977.6166666667</v>
      </c>
      <c r="P21" s="177"/>
      <c r="Q21" s="136">
        <f t="shared" si="8"/>
        <v>0</v>
      </c>
      <c r="R21" s="155">
        <f t="shared" si="9"/>
        <v>0</v>
      </c>
      <c r="S21" s="155">
        <f t="shared" si="10"/>
        <v>0</v>
      </c>
      <c r="T21" s="156">
        <f t="shared" si="11"/>
        <v>0</v>
      </c>
      <c r="U21" s="178">
        <v>0</v>
      </c>
      <c r="V21" s="178">
        <f t="shared" si="12"/>
        <v>0</v>
      </c>
      <c r="W21" s="156">
        <f t="shared" si="13"/>
        <v>0</v>
      </c>
      <c r="X21" s="160">
        <f t="shared" si="14"/>
        <v>0</v>
      </c>
      <c r="Y21" s="176">
        <v>2167977.6166666667</v>
      </c>
      <c r="Z21" s="155"/>
      <c r="AA21" s="161">
        <f t="shared" si="15"/>
        <v>0</v>
      </c>
      <c r="AB21" s="155">
        <f t="shared" si="16"/>
        <v>0</v>
      </c>
      <c r="AC21" s="155" t="e">
        <f t="shared" si="17"/>
        <v>#DIV/0!</v>
      </c>
      <c r="AD21" s="155">
        <f t="shared" si="18"/>
        <v>0</v>
      </c>
      <c r="AE21" s="155"/>
      <c r="AF21" s="155"/>
      <c r="AG21" s="155"/>
      <c r="AH21" s="157" t="e">
        <f t="shared" si="19"/>
        <v>#DIV/0!</v>
      </c>
      <c r="AI21" s="155">
        <f t="shared" si="20"/>
        <v>0</v>
      </c>
      <c r="AJ21" s="155">
        <f t="shared" si="21"/>
        <v>3902359.5</v>
      </c>
      <c r="AK21" s="155">
        <f t="shared" si="22"/>
        <v>0</v>
      </c>
      <c r="AL21" s="155">
        <f t="shared" si="23"/>
        <v>0</v>
      </c>
      <c r="AM21" s="155">
        <f t="shared" si="24"/>
        <v>3902.4</v>
      </c>
      <c r="AN21" s="155">
        <f t="shared" si="1"/>
        <v>0</v>
      </c>
      <c r="AO21" s="155">
        <f t="shared" si="1"/>
        <v>0</v>
      </c>
    </row>
    <row r="22" spans="1:41" ht="15.75" x14ac:dyDescent="0.2">
      <c r="A22" s="132">
        <v>16</v>
      </c>
      <c r="B22" s="133" t="s">
        <v>18</v>
      </c>
      <c r="C22" s="134">
        <f>+'расчет точ'!C22</f>
        <v>0.9</v>
      </c>
      <c r="D22" s="134">
        <f>+'расчет точ'!D22</f>
        <v>0.91</v>
      </c>
      <c r="E22" s="134">
        <f>+'расчет точ'!E22</f>
        <v>0.91</v>
      </c>
      <c r="F22" s="148"/>
      <c r="G22" s="136">
        <f t="shared" si="2"/>
        <v>0</v>
      </c>
      <c r="H22" s="156">
        <f t="shared" si="3"/>
        <v>0</v>
      </c>
      <c r="I22" s="156">
        <f t="shared" si="4"/>
        <v>0</v>
      </c>
      <c r="J22" s="156">
        <f t="shared" si="0"/>
        <v>0</v>
      </c>
      <c r="K22" s="156">
        <v>0</v>
      </c>
      <c r="L22" s="156">
        <f t="shared" si="5"/>
        <v>0</v>
      </c>
      <c r="M22" s="156">
        <f t="shared" si="6"/>
        <v>0</v>
      </c>
      <c r="N22" s="157">
        <f t="shared" si="7"/>
        <v>0</v>
      </c>
      <c r="O22" s="176">
        <v>2167977.6166666667</v>
      </c>
      <c r="P22" s="177"/>
      <c r="Q22" s="136">
        <f t="shared" si="8"/>
        <v>0</v>
      </c>
      <c r="R22" s="155">
        <f t="shared" si="9"/>
        <v>0</v>
      </c>
      <c r="S22" s="155">
        <f t="shared" si="10"/>
        <v>0</v>
      </c>
      <c r="T22" s="156">
        <f t="shared" si="11"/>
        <v>0</v>
      </c>
      <c r="U22" s="178">
        <v>0</v>
      </c>
      <c r="V22" s="178">
        <f t="shared" si="12"/>
        <v>0</v>
      </c>
      <c r="W22" s="156">
        <f t="shared" si="13"/>
        <v>0</v>
      </c>
      <c r="X22" s="160">
        <f t="shared" si="14"/>
        <v>0</v>
      </c>
      <c r="Y22" s="176">
        <v>2167977.6166666667</v>
      </c>
      <c r="Z22" s="155"/>
      <c r="AA22" s="161">
        <f t="shared" si="15"/>
        <v>0</v>
      </c>
      <c r="AB22" s="155">
        <f t="shared" si="16"/>
        <v>0</v>
      </c>
      <c r="AC22" s="155" t="e">
        <f t="shared" si="17"/>
        <v>#DIV/0!</v>
      </c>
      <c r="AD22" s="155">
        <f t="shared" si="18"/>
        <v>0</v>
      </c>
      <c r="AE22" s="155"/>
      <c r="AF22" s="155"/>
      <c r="AG22" s="155"/>
      <c r="AH22" s="157" t="e">
        <f t="shared" si="19"/>
        <v>#DIV/0!</v>
      </c>
      <c r="AI22" s="155">
        <f t="shared" si="20"/>
        <v>0</v>
      </c>
      <c r="AJ22" s="155">
        <f t="shared" si="21"/>
        <v>0</v>
      </c>
      <c r="AK22" s="155">
        <f t="shared" si="22"/>
        <v>0</v>
      </c>
      <c r="AL22" s="155">
        <f t="shared" si="23"/>
        <v>0</v>
      </c>
      <c r="AM22" s="155">
        <f t="shared" si="24"/>
        <v>0</v>
      </c>
      <c r="AN22" s="155">
        <f t="shared" si="1"/>
        <v>0</v>
      </c>
      <c r="AO22" s="155">
        <f t="shared" si="1"/>
        <v>0</v>
      </c>
    </row>
    <row r="23" spans="1:41" ht="15.75" x14ac:dyDescent="0.2">
      <c r="A23" s="132">
        <v>17</v>
      </c>
      <c r="B23" s="133" t="s">
        <v>19</v>
      </c>
      <c r="C23" s="134">
        <f>+'расчет точ'!C23</f>
        <v>0.9</v>
      </c>
      <c r="D23" s="134">
        <f>+'расчет точ'!D23</f>
        <v>0.89</v>
      </c>
      <c r="E23" s="134">
        <f>+'расчет точ'!E23</f>
        <v>0.89</v>
      </c>
      <c r="F23" s="148"/>
      <c r="G23" s="136">
        <f t="shared" si="2"/>
        <v>0</v>
      </c>
      <c r="H23" s="156">
        <f t="shared" si="3"/>
        <v>0</v>
      </c>
      <c r="I23" s="156">
        <f t="shared" si="4"/>
        <v>0</v>
      </c>
      <c r="J23" s="156">
        <f t="shared" si="0"/>
        <v>0</v>
      </c>
      <c r="K23" s="156">
        <v>0</v>
      </c>
      <c r="L23" s="156">
        <f t="shared" si="5"/>
        <v>0</v>
      </c>
      <c r="M23" s="156">
        <f t="shared" si="6"/>
        <v>0</v>
      </c>
      <c r="N23" s="157">
        <f t="shared" si="7"/>
        <v>0</v>
      </c>
      <c r="O23" s="176">
        <v>2167977.6166666667</v>
      </c>
      <c r="P23" s="177">
        <v>2</v>
      </c>
      <c r="Q23" s="136">
        <f t="shared" si="8"/>
        <v>1.78</v>
      </c>
      <c r="R23" s="155">
        <f t="shared" si="9"/>
        <v>4335955</v>
      </c>
      <c r="S23" s="155">
        <f t="shared" si="10"/>
        <v>4335955</v>
      </c>
      <c r="T23" s="156">
        <f t="shared" si="11"/>
        <v>3858999.9500000007</v>
      </c>
      <c r="U23" s="178">
        <v>141560.52000000002</v>
      </c>
      <c r="V23" s="178">
        <f t="shared" si="12"/>
        <v>3717439.4300000006</v>
      </c>
      <c r="W23" s="156">
        <f t="shared" si="13"/>
        <v>476955.05</v>
      </c>
      <c r="X23" s="160">
        <f t="shared" si="14"/>
        <v>0.11</v>
      </c>
      <c r="Y23" s="176">
        <v>2167977.6166666667</v>
      </c>
      <c r="Z23" s="155"/>
      <c r="AA23" s="161">
        <f t="shared" si="15"/>
        <v>0</v>
      </c>
      <c r="AB23" s="155">
        <f t="shared" si="16"/>
        <v>0</v>
      </c>
      <c r="AC23" s="155" t="e">
        <f t="shared" si="17"/>
        <v>#DIV/0!</v>
      </c>
      <c r="AD23" s="155">
        <f>AE23+AF23</f>
        <v>0</v>
      </c>
      <c r="AE23" s="155"/>
      <c r="AF23" s="155"/>
      <c r="AG23" s="155"/>
      <c r="AH23" s="157" t="e">
        <f t="shared" si="19"/>
        <v>#DIV/0!</v>
      </c>
      <c r="AI23" s="155">
        <f t="shared" si="20"/>
        <v>0</v>
      </c>
      <c r="AJ23" s="155">
        <f t="shared" si="21"/>
        <v>0</v>
      </c>
      <c r="AK23" s="155">
        <f t="shared" si="22"/>
        <v>3858999.9500000007</v>
      </c>
      <c r="AL23" s="155">
        <f t="shared" si="23"/>
        <v>0</v>
      </c>
      <c r="AM23" s="155">
        <f t="shared" si="24"/>
        <v>0</v>
      </c>
      <c r="AN23" s="155">
        <f>ROUND(AK23/1000,1)</f>
        <v>3859</v>
      </c>
      <c r="AO23" s="155">
        <f>ROUND(AL23/1000,1)</f>
        <v>0</v>
      </c>
    </row>
    <row r="24" spans="1:41" ht="15.75" x14ac:dyDescent="0.2">
      <c r="A24" s="132">
        <v>18</v>
      </c>
      <c r="B24" s="149" t="s">
        <v>20</v>
      </c>
      <c r="C24" s="134">
        <f>+'расчет точ'!C24</f>
        <v>0.77</v>
      </c>
      <c r="D24" s="134">
        <f>+'расчет точ'!D24</f>
        <v>0.76</v>
      </c>
      <c r="E24" s="134">
        <f>+'расчет точ'!E24</f>
        <v>0.78</v>
      </c>
      <c r="F24" s="148"/>
      <c r="G24" s="136">
        <f t="shared" si="2"/>
        <v>0</v>
      </c>
      <c r="H24" s="156">
        <f t="shared" si="3"/>
        <v>0</v>
      </c>
      <c r="I24" s="156">
        <f t="shared" si="4"/>
        <v>0</v>
      </c>
      <c r="J24" s="156">
        <f t="shared" si="0"/>
        <v>0</v>
      </c>
      <c r="K24" s="156">
        <v>0</v>
      </c>
      <c r="L24" s="156">
        <f t="shared" si="5"/>
        <v>0</v>
      </c>
      <c r="M24" s="156">
        <f t="shared" si="6"/>
        <v>0</v>
      </c>
      <c r="N24" s="157">
        <f t="shared" si="7"/>
        <v>0</v>
      </c>
      <c r="O24" s="176">
        <v>2167977.6166666667</v>
      </c>
      <c r="P24" s="179"/>
      <c r="Q24" s="136">
        <f t="shared" si="8"/>
        <v>0</v>
      </c>
      <c r="R24" s="155">
        <f t="shared" si="9"/>
        <v>0</v>
      </c>
      <c r="S24" s="155">
        <f t="shared" si="10"/>
        <v>0</v>
      </c>
      <c r="T24" s="156">
        <f t="shared" si="11"/>
        <v>0</v>
      </c>
      <c r="U24" s="178">
        <v>0</v>
      </c>
      <c r="V24" s="178">
        <f t="shared" si="12"/>
        <v>0</v>
      </c>
      <c r="W24" s="156">
        <f t="shared" si="13"/>
        <v>0</v>
      </c>
      <c r="X24" s="160">
        <f t="shared" si="14"/>
        <v>0</v>
      </c>
      <c r="Y24" s="176">
        <v>2167977.6166666667</v>
      </c>
      <c r="Z24" s="155"/>
      <c r="AA24" s="161">
        <f t="shared" si="15"/>
        <v>0</v>
      </c>
      <c r="AB24" s="155">
        <f t="shared" si="16"/>
        <v>0</v>
      </c>
      <c r="AC24" s="155" t="e">
        <f t="shared" si="17"/>
        <v>#DIV/0!</v>
      </c>
      <c r="AD24" s="155">
        <f t="shared" si="18"/>
        <v>0</v>
      </c>
      <c r="AE24" s="155"/>
      <c r="AF24" s="155"/>
      <c r="AG24" s="155"/>
      <c r="AH24" s="157" t="e">
        <f t="shared" si="19"/>
        <v>#DIV/0!</v>
      </c>
      <c r="AI24" s="155">
        <f t="shared" si="20"/>
        <v>0</v>
      </c>
      <c r="AJ24" s="155">
        <f t="shared" si="21"/>
        <v>0</v>
      </c>
      <c r="AK24" s="155">
        <f t="shared" si="22"/>
        <v>0</v>
      </c>
      <c r="AL24" s="155">
        <f t="shared" si="23"/>
        <v>0</v>
      </c>
      <c r="AM24" s="155">
        <f t="shared" si="24"/>
        <v>0</v>
      </c>
      <c r="AN24" s="155">
        <f>ROUND(AK24/1000,1)</f>
        <v>0</v>
      </c>
      <c r="AO24" s="155">
        <f>ROUND(AL24/1000,1)</f>
        <v>0</v>
      </c>
    </row>
    <row r="25" spans="1:41" ht="15.75" x14ac:dyDescent="0.2">
      <c r="A25" s="132"/>
      <c r="B25" s="133" t="s">
        <v>58</v>
      </c>
      <c r="C25" s="134"/>
      <c r="D25" s="134"/>
      <c r="E25" s="134"/>
      <c r="F25" s="177">
        <f t="shared" ref="F25:M25" si="25">SUM(F7:F24)</f>
        <v>14</v>
      </c>
      <c r="G25" s="164">
        <f t="shared" si="25"/>
        <v>12.51</v>
      </c>
      <c r="H25" s="156">
        <f t="shared" si="25"/>
        <v>30351687</v>
      </c>
      <c r="I25" s="156">
        <f t="shared" si="25"/>
        <v>30351687</v>
      </c>
      <c r="J25" s="156">
        <f t="shared" si="25"/>
        <v>27121400.299999997</v>
      </c>
      <c r="K25" s="156">
        <f t="shared" si="25"/>
        <v>880600</v>
      </c>
      <c r="L25" s="156">
        <f t="shared" si="25"/>
        <v>26240800.300000001</v>
      </c>
      <c r="M25" s="156">
        <f t="shared" si="25"/>
        <v>3230286.7</v>
      </c>
      <c r="N25" s="157">
        <f t="shared" si="7"/>
        <v>0.10642857182864333</v>
      </c>
      <c r="O25" s="176">
        <v>2167977.6166666667</v>
      </c>
      <c r="P25" s="177">
        <f t="shared" ref="P25:W25" si="26">SUM(P7:P24)</f>
        <v>14</v>
      </c>
      <c r="Q25" s="155">
        <f t="shared" si="26"/>
        <v>12.510000000000002</v>
      </c>
      <c r="R25" s="155">
        <f t="shared" si="9"/>
        <v>30351687</v>
      </c>
      <c r="S25" s="155">
        <f t="shared" si="10"/>
        <v>30351687</v>
      </c>
      <c r="T25" s="156">
        <f t="shared" si="26"/>
        <v>27121400.190000001</v>
      </c>
      <c r="U25" s="178">
        <v>994900</v>
      </c>
      <c r="V25" s="178">
        <f t="shared" si="12"/>
        <v>26126500.190000001</v>
      </c>
      <c r="W25" s="156">
        <f t="shared" si="26"/>
        <v>3230286.8099999996</v>
      </c>
      <c r="X25" s="160">
        <f t="shared" si="14"/>
        <v>0.10642857545282408</v>
      </c>
      <c r="Y25" s="176">
        <v>2167977.6166666667</v>
      </c>
      <c r="Z25" s="155">
        <f t="shared" ref="Z25:AG25" si="27">SUM(Z7:Z24)</f>
        <v>0</v>
      </c>
      <c r="AA25" s="161">
        <f t="shared" si="27"/>
        <v>0</v>
      </c>
      <c r="AB25" s="155">
        <f t="shared" si="27"/>
        <v>0</v>
      </c>
      <c r="AC25" s="155" t="e">
        <f t="shared" si="27"/>
        <v>#DIV/0!</v>
      </c>
      <c r="AD25" s="155">
        <f t="shared" si="27"/>
        <v>0</v>
      </c>
      <c r="AE25" s="155">
        <f t="shared" si="27"/>
        <v>0</v>
      </c>
      <c r="AF25" s="155">
        <f t="shared" si="27"/>
        <v>0</v>
      </c>
      <c r="AG25" s="155">
        <f t="shared" si="27"/>
        <v>0</v>
      </c>
      <c r="AH25" s="157" t="e">
        <f t="shared" si="19"/>
        <v>#DIV/0!</v>
      </c>
      <c r="AI25" s="155">
        <f t="shared" si="20"/>
        <v>0</v>
      </c>
      <c r="AJ25" s="155">
        <f t="shared" ref="AJ25:AO25" si="28">SUM(AJ7:AJ24)</f>
        <v>27121400.299999997</v>
      </c>
      <c r="AK25" s="155">
        <f t="shared" si="28"/>
        <v>27121400.190000001</v>
      </c>
      <c r="AL25" s="155">
        <f t="shared" si="28"/>
        <v>0</v>
      </c>
      <c r="AM25" s="155">
        <f>SUM(AM7:AM24)+0.1</f>
        <v>27121.4</v>
      </c>
      <c r="AN25" s="155">
        <f t="shared" si="28"/>
        <v>27121.4</v>
      </c>
      <c r="AO25" s="155">
        <f t="shared" si="28"/>
        <v>0</v>
      </c>
    </row>
    <row r="26" spans="1:41" ht="15.75" hidden="1" x14ac:dyDescent="0.2">
      <c r="A26" s="154" t="s">
        <v>60</v>
      </c>
      <c r="B26" s="133" t="s">
        <v>59</v>
      </c>
      <c r="C26" s="134"/>
      <c r="D26" s="134"/>
      <c r="E26" s="134"/>
      <c r="F26" s="148"/>
      <c r="G26" s="136">
        <f>C26*F26</f>
        <v>0</v>
      </c>
      <c r="H26" s="156">
        <f>K26+L26+M26</f>
        <v>0</v>
      </c>
      <c r="I26" s="156">
        <f>ROUND($H$33/$G$29*F26,2)</f>
        <v>0</v>
      </c>
      <c r="J26" s="156">
        <f>K26+L26</f>
        <v>0</v>
      </c>
      <c r="K26" s="156">
        <f>ROUND((I26-M26)*(1-$H$35),2)</f>
        <v>0</v>
      </c>
      <c r="L26" s="156">
        <f>ROUND((I26-M26)*$H$35,2)</f>
        <v>0</v>
      </c>
      <c r="M26" s="156">
        <f>ROUNDUP(I26*(1-C26),2)</f>
        <v>0</v>
      </c>
      <c r="N26" s="157">
        <f t="shared" si="7"/>
        <v>0</v>
      </c>
      <c r="O26" s="176">
        <v>2167977.6166666667</v>
      </c>
      <c r="P26" s="148"/>
      <c r="Q26" s="136">
        <f>P26*D26</f>
        <v>0</v>
      </c>
      <c r="R26" s="155">
        <f t="shared" si="9"/>
        <v>0</v>
      </c>
      <c r="S26" s="155">
        <f t="shared" si="10"/>
        <v>0</v>
      </c>
      <c r="T26" s="156">
        <f>U26+V26</f>
        <v>0</v>
      </c>
      <c r="U26" s="178">
        <v>0</v>
      </c>
      <c r="V26" s="178">
        <f t="shared" si="12"/>
        <v>0</v>
      </c>
      <c r="W26" s="156">
        <f>ROUND(S26*(1-D26),2)</f>
        <v>0</v>
      </c>
      <c r="X26" s="160">
        <f t="shared" si="14"/>
        <v>0</v>
      </c>
      <c r="Y26" s="176">
        <v>2167977.6166666667</v>
      </c>
      <c r="Z26" s="155"/>
      <c r="AA26" s="161"/>
      <c r="AB26" s="155">
        <f t="shared" si="16"/>
        <v>0</v>
      </c>
      <c r="AC26" s="155" t="e">
        <f>ROUND($AC$33/$AA$29*Z26,2)</f>
        <v>#DIV/0!</v>
      </c>
      <c r="AD26" s="155">
        <f>AE26+AF26</f>
        <v>0</v>
      </c>
      <c r="AE26" s="155"/>
      <c r="AF26" s="155"/>
      <c r="AG26" s="155"/>
      <c r="AH26" s="157" t="e">
        <f t="shared" si="19"/>
        <v>#DIV/0!</v>
      </c>
      <c r="AI26" s="155">
        <f t="shared" si="20"/>
        <v>0</v>
      </c>
      <c r="AJ26" s="155">
        <f t="shared" si="21"/>
        <v>0</v>
      </c>
      <c r="AK26" s="155">
        <f t="shared" si="22"/>
        <v>0</v>
      </c>
      <c r="AL26" s="155">
        <f t="shared" si="23"/>
        <v>0</v>
      </c>
      <c r="AM26" s="155">
        <f t="shared" ref="AM26:AO28" si="29">ROUND(AJ26/1000,1)</f>
        <v>0</v>
      </c>
      <c r="AN26" s="155">
        <f t="shared" si="29"/>
        <v>0</v>
      </c>
      <c r="AO26" s="155">
        <f t="shared" si="29"/>
        <v>0</v>
      </c>
    </row>
    <row r="27" spans="1:41" ht="15.75" hidden="1" x14ac:dyDescent="0.2">
      <c r="A27" s="154" t="s">
        <v>61</v>
      </c>
      <c r="B27" s="133" t="s">
        <v>59</v>
      </c>
      <c r="C27" s="134"/>
      <c r="D27" s="134"/>
      <c r="E27" s="134"/>
      <c r="F27" s="148"/>
      <c r="G27" s="136">
        <f>C27*F27</f>
        <v>0</v>
      </c>
      <c r="H27" s="156">
        <f>K27+L27+M27</f>
        <v>0</v>
      </c>
      <c r="I27" s="156">
        <f>ROUND($H$33/$G$29*F27,2)</f>
        <v>0</v>
      </c>
      <c r="J27" s="156">
        <f>K27+L27</f>
        <v>0</v>
      </c>
      <c r="K27" s="156">
        <f>ROUND((I27-M27)*(1-$H$35),2)</f>
        <v>0</v>
      </c>
      <c r="L27" s="156">
        <f>ROUND((I27-M27)*$H$35,2)</f>
        <v>0</v>
      </c>
      <c r="M27" s="156">
        <f>ROUNDUP(I27*(1-C27),2)</f>
        <v>0</v>
      </c>
      <c r="N27" s="157">
        <f t="shared" si="7"/>
        <v>0</v>
      </c>
      <c r="O27" s="176">
        <v>2167977.6166666667</v>
      </c>
      <c r="P27" s="148"/>
      <c r="Q27" s="136">
        <f>P27*D27</f>
        <v>0</v>
      </c>
      <c r="R27" s="155">
        <f t="shared" si="9"/>
        <v>0</v>
      </c>
      <c r="S27" s="155">
        <f t="shared" si="10"/>
        <v>0</v>
      </c>
      <c r="T27" s="156">
        <f>U27+V27</f>
        <v>0</v>
      </c>
      <c r="U27" s="178">
        <v>0</v>
      </c>
      <c r="V27" s="178">
        <f t="shared" si="12"/>
        <v>0</v>
      </c>
      <c r="W27" s="156">
        <f>ROUND(S27*(1-D27),2)</f>
        <v>0</v>
      </c>
      <c r="X27" s="160">
        <f t="shared" si="14"/>
        <v>0</v>
      </c>
      <c r="Y27" s="176">
        <v>2167977.6166666667</v>
      </c>
      <c r="Z27" s="155"/>
      <c r="AA27" s="161"/>
      <c r="AB27" s="155">
        <f t="shared" si="16"/>
        <v>0</v>
      </c>
      <c r="AC27" s="155" t="e">
        <f>ROUND($AC$33/$AA$29*Z27,2)</f>
        <v>#DIV/0!</v>
      </c>
      <c r="AD27" s="155">
        <f>AE27+AF27</f>
        <v>0</v>
      </c>
      <c r="AE27" s="155"/>
      <c r="AF27" s="155"/>
      <c r="AG27" s="155"/>
      <c r="AH27" s="157" t="e">
        <f t="shared" si="19"/>
        <v>#DIV/0!</v>
      </c>
      <c r="AI27" s="155">
        <f t="shared" si="20"/>
        <v>0</v>
      </c>
      <c r="AJ27" s="155">
        <f t="shared" si="21"/>
        <v>0</v>
      </c>
      <c r="AK27" s="155">
        <f t="shared" si="22"/>
        <v>0</v>
      </c>
      <c r="AL27" s="155">
        <f t="shared" si="23"/>
        <v>0</v>
      </c>
      <c r="AM27" s="155">
        <f t="shared" si="29"/>
        <v>0</v>
      </c>
      <c r="AN27" s="155">
        <f t="shared" si="29"/>
        <v>0</v>
      </c>
      <c r="AO27" s="155">
        <f t="shared" si="29"/>
        <v>0</v>
      </c>
    </row>
    <row r="28" spans="1:41" ht="15.75" hidden="1" x14ac:dyDescent="0.2">
      <c r="A28" s="154" t="s">
        <v>62</v>
      </c>
      <c r="B28" s="133" t="s">
        <v>59</v>
      </c>
      <c r="C28" s="134"/>
      <c r="D28" s="134"/>
      <c r="E28" s="134"/>
      <c r="F28" s="148"/>
      <c r="G28" s="136">
        <f>C28*F28</f>
        <v>0</v>
      </c>
      <c r="H28" s="156">
        <f>K28+L28+M28</f>
        <v>0</v>
      </c>
      <c r="I28" s="156">
        <f>ROUND($H$33/$G$29*F28,2)</f>
        <v>0</v>
      </c>
      <c r="J28" s="156">
        <f>K28+L28</f>
        <v>0</v>
      </c>
      <c r="K28" s="156">
        <f>ROUND((I28-M28)*(1-$H$35),2)</f>
        <v>0</v>
      </c>
      <c r="L28" s="156">
        <f>ROUND((I28-M28)*$H$35,2)</f>
        <v>0</v>
      </c>
      <c r="M28" s="156">
        <f>ROUNDUP(I28*(1-C28),2)</f>
        <v>0</v>
      </c>
      <c r="N28" s="157">
        <f t="shared" si="7"/>
        <v>0</v>
      </c>
      <c r="O28" s="176">
        <v>2167977.6166666667</v>
      </c>
      <c r="P28" s="148"/>
      <c r="Q28" s="136">
        <f>P28*D28</f>
        <v>0</v>
      </c>
      <c r="R28" s="155">
        <f t="shared" si="9"/>
        <v>0</v>
      </c>
      <c r="S28" s="155">
        <f t="shared" si="10"/>
        <v>0</v>
      </c>
      <c r="T28" s="156">
        <f>U28+V28</f>
        <v>0</v>
      </c>
      <c r="U28" s="178">
        <v>0</v>
      </c>
      <c r="V28" s="178">
        <f t="shared" si="12"/>
        <v>0</v>
      </c>
      <c r="W28" s="156">
        <f>ROUND(S28*(1-D28),2)</f>
        <v>0</v>
      </c>
      <c r="X28" s="160">
        <f t="shared" si="14"/>
        <v>0</v>
      </c>
      <c r="Y28" s="176">
        <v>2167977.6166666667</v>
      </c>
      <c r="Z28" s="155"/>
      <c r="AA28" s="161"/>
      <c r="AB28" s="155">
        <f t="shared" si="16"/>
        <v>0</v>
      </c>
      <c r="AC28" s="155" t="e">
        <f>ROUND($AC$33/$AA$29*Z28,2)</f>
        <v>#DIV/0!</v>
      </c>
      <c r="AD28" s="155">
        <f>AE28+AF28</f>
        <v>0</v>
      </c>
      <c r="AE28" s="155"/>
      <c r="AF28" s="155"/>
      <c r="AG28" s="155"/>
      <c r="AH28" s="157" t="e">
        <f t="shared" si="19"/>
        <v>#DIV/0!</v>
      </c>
      <c r="AI28" s="155">
        <f t="shared" si="20"/>
        <v>0</v>
      </c>
      <c r="AJ28" s="155">
        <f t="shared" si="21"/>
        <v>0</v>
      </c>
      <c r="AK28" s="155">
        <f t="shared" si="22"/>
        <v>0</v>
      </c>
      <c r="AL28" s="155">
        <f t="shared" si="23"/>
        <v>0</v>
      </c>
      <c r="AM28" s="155">
        <f t="shared" si="29"/>
        <v>0</v>
      </c>
      <c r="AN28" s="155">
        <f t="shared" si="29"/>
        <v>0</v>
      </c>
      <c r="AO28" s="155">
        <f t="shared" si="29"/>
        <v>0</v>
      </c>
    </row>
    <row r="29" spans="1:41" ht="15.75" hidden="1" x14ac:dyDescent="0.2">
      <c r="A29" s="132"/>
      <c r="B29" s="133" t="s">
        <v>25</v>
      </c>
      <c r="C29" s="163"/>
      <c r="D29" s="163"/>
      <c r="E29" s="163"/>
      <c r="F29" s="148">
        <f>F25+F26+F27+F28</f>
        <v>14</v>
      </c>
      <c r="G29" s="164">
        <f t="shared" ref="G29:AG29" si="30">G25+G26+G27+G28</f>
        <v>12.51</v>
      </c>
      <c r="H29" s="156">
        <f t="shared" si="30"/>
        <v>30351687</v>
      </c>
      <c r="I29" s="156">
        <f t="shared" si="30"/>
        <v>30351687</v>
      </c>
      <c r="J29" s="156">
        <f t="shared" si="30"/>
        <v>27121400.299999997</v>
      </c>
      <c r="K29" s="156">
        <f t="shared" si="30"/>
        <v>880600</v>
      </c>
      <c r="L29" s="156">
        <f t="shared" si="30"/>
        <v>26240800.300000001</v>
      </c>
      <c r="M29" s="156">
        <f t="shared" si="30"/>
        <v>3230286.7</v>
      </c>
      <c r="N29" s="157">
        <f t="shared" si="7"/>
        <v>0.10642857182864333</v>
      </c>
      <c r="O29" s="176">
        <v>2167977.6166666667</v>
      </c>
      <c r="P29" s="148">
        <f t="shared" si="30"/>
        <v>14</v>
      </c>
      <c r="Q29" s="161">
        <f t="shared" si="30"/>
        <v>12.510000000000002</v>
      </c>
      <c r="R29" s="155">
        <f t="shared" si="30"/>
        <v>30351687</v>
      </c>
      <c r="S29" s="155">
        <f t="shared" si="10"/>
        <v>30351687</v>
      </c>
      <c r="T29" s="156">
        <f t="shared" si="30"/>
        <v>27121400.190000001</v>
      </c>
      <c r="U29" s="178">
        <f t="shared" si="30"/>
        <v>994900</v>
      </c>
      <c r="V29" s="156">
        <f t="shared" si="30"/>
        <v>26126500.190000001</v>
      </c>
      <c r="W29" s="156">
        <f t="shared" si="30"/>
        <v>3230286.8099999996</v>
      </c>
      <c r="X29" s="160">
        <f t="shared" si="14"/>
        <v>0.10642857545282408</v>
      </c>
      <c r="Y29" s="176">
        <v>2167977.6166666667</v>
      </c>
      <c r="Z29" s="155">
        <f t="shared" si="30"/>
        <v>0</v>
      </c>
      <c r="AA29" s="161">
        <f t="shared" si="30"/>
        <v>0</v>
      </c>
      <c r="AB29" s="155">
        <f t="shared" si="30"/>
        <v>0</v>
      </c>
      <c r="AC29" s="155" t="e">
        <f t="shared" si="30"/>
        <v>#DIV/0!</v>
      </c>
      <c r="AD29" s="155">
        <f t="shared" si="30"/>
        <v>0</v>
      </c>
      <c r="AE29" s="155">
        <f t="shared" si="30"/>
        <v>0</v>
      </c>
      <c r="AF29" s="155">
        <f t="shared" si="30"/>
        <v>0</v>
      </c>
      <c r="AG29" s="155">
        <f t="shared" si="30"/>
        <v>0</v>
      </c>
      <c r="AH29" s="157" t="e">
        <f t="shared" si="19"/>
        <v>#DIV/0!</v>
      </c>
      <c r="AI29" s="155">
        <f t="shared" si="20"/>
        <v>0</v>
      </c>
      <c r="AJ29" s="155">
        <f t="shared" ref="AJ29:AO29" si="31">AJ25+AJ26+AJ27+AJ28</f>
        <v>27121400.299999997</v>
      </c>
      <c r="AK29" s="155">
        <f t="shared" si="31"/>
        <v>27121400.190000001</v>
      </c>
      <c r="AL29" s="155">
        <f t="shared" si="31"/>
        <v>0</v>
      </c>
      <c r="AM29" s="155">
        <f t="shared" si="31"/>
        <v>27121.4</v>
      </c>
      <c r="AN29" s="155">
        <f t="shared" si="31"/>
        <v>27121.4</v>
      </c>
      <c r="AO29" s="155">
        <f t="shared" si="31"/>
        <v>0</v>
      </c>
    </row>
    <row r="30" spans="1:41" hidden="1" x14ac:dyDescent="0.2">
      <c r="J30" s="180">
        <f>+J29-K29</f>
        <v>26240800.299999997</v>
      </c>
      <c r="L30" s="181">
        <v>526900</v>
      </c>
      <c r="O30" s="167"/>
      <c r="V30" s="181">
        <v>490025.37</v>
      </c>
      <c r="X30" s="168"/>
      <c r="Y30" s="158"/>
      <c r="AM30" s="169">
        <f>ROUND(AJ30/1000,1)</f>
        <v>0</v>
      </c>
      <c r="AN30" s="169">
        <f>ROUND(AK30/1000,1)</f>
        <v>0</v>
      </c>
      <c r="AO30" s="169">
        <f>ROUND(AL30/1000,1)</f>
        <v>0</v>
      </c>
    </row>
    <row r="31" spans="1:41" ht="15" hidden="1" x14ac:dyDescent="0.25">
      <c r="G31" s="170" t="s">
        <v>30</v>
      </c>
      <c r="H31" s="171">
        <v>880600</v>
      </c>
      <c r="I31" s="172">
        <f>H31-K29</f>
        <v>0</v>
      </c>
      <c r="L31" s="181">
        <f>+L29-L30</f>
        <v>25713900.300000001</v>
      </c>
      <c r="S31" s="182">
        <v>994900</v>
      </c>
      <c r="T31" s="183">
        <f>S31-U29</f>
        <v>0</v>
      </c>
      <c r="V31" s="181">
        <f>+V29-V30</f>
        <v>25636474.82</v>
      </c>
      <c r="AC31" s="171"/>
      <c r="AD31" s="172">
        <f>AC31-AE29</f>
        <v>0</v>
      </c>
    </row>
    <row r="32" spans="1:41" ht="15" hidden="1" x14ac:dyDescent="0.25">
      <c r="G32" s="170" t="s">
        <v>29</v>
      </c>
      <c r="H32" s="171">
        <f>+L25</f>
        <v>26240800.300000001</v>
      </c>
      <c r="I32" s="172">
        <f>H32-L29</f>
        <v>0</v>
      </c>
      <c r="S32" s="182">
        <f>+V25</f>
        <v>26126500.190000001</v>
      </c>
      <c r="T32" s="183">
        <f>S32-V29</f>
        <v>0</v>
      </c>
      <c r="AC32" s="171">
        <f>AC31/67*33</f>
        <v>0</v>
      </c>
      <c r="AD32" s="172">
        <f>AC32-AF29</f>
        <v>0</v>
      </c>
    </row>
    <row r="33" spans="7:29" hidden="1" x14ac:dyDescent="0.2">
      <c r="G33" s="170" t="s">
        <v>36</v>
      </c>
      <c r="H33" s="173">
        <f>+H31+H32</f>
        <v>27121400.300000001</v>
      </c>
      <c r="S33" s="173">
        <f>SUM(S31:S32)</f>
        <v>27121400.190000001</v>
      </c>
      <c r="T33" s="173"/>
      <c r="AC33" s="173">
        <f>SUM(AC31:AC32)</f>
        <v>0</v>
      </c>
    </row>
    <row r="34" spans="7:29" hidden="1" x14ac:dyDescent="0.2">
      <c r="AC34" s="170"/>
    </row>
    <row r="35" spans="7:29" hidden="1" x14ac:dyDescent="0.2">
      <c r="H35" s="119">
        <f>H32/H33</f>
        <v>0.96753117500352659</v>
      </c>
      <c r="S35" s="119">
        <f>S32/S33</f>
        <v>0.96331679068815801</v>
      </c>
      <c r="AC35" s="184" t="e">
        <f>AC32/AC33</f>
        <v>#DIV/0!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2:AO2"/>
    <mergeCell ref="AM3:AO5"/>
    <mergeCell ref="F4:O4"/>
    <mergeCell ref="P4:Y4"/>
    <mergeCell ref="Z4:AI4"/>
    <mergeCell ref="F5:F6"/>
    <mergeCell ref="Y5:Y6"/>
    <mergeCell ref="AA5:AA6"/>
    <mergeCell ref="AB5:AB6"/>
    <mergeCell ref="AC5:AG5"/>
    <mergeCell ref="AH5:AH6"/>
    <mergeCell ref="AI5:AI6"/>
    <mergeCell ref="A3:A6"/>
    <mergeCell ref="B3:B6"/>
    <mergeCell ref="C3:E5"/>
    <mergeCell ref="AJ3:AL5"/>
    <mergeCell ref="Z5:Z6"/>
    <mergeCell ref="G5:G6"/>
    <mergeCell ref="H5:H6"/>
    <mergeCell ref="I5:M5"/>
    <mergeCell ref="N5:N6"/>
    <mergeCell ref="O5:O6"/>
    <mergeCell ref="P5:P6"/>
    <mergeCell ref="Q5:Q6"/>
    <mergeCell ref="R5:R6"/>
    <mergeCell ref="S5:W5"/>
    <mergeCell ref="X5:X6"/>
  </mergeCells>
  <pageMargins left="0.78740157480314965" right="0.39370078740157483" top="0.78740157480314965" bottom="0.78740157480314965" header="0.31496062992125984" footer="0.31496062992125984"/>
  <pageSetup paperSize="9" scale="59" fitToWidth="2" fitToHeight="0" orientation="landscape" r:id="rId1"/>
  <headerFooter>
    <oddHeader>&amp;R&amp;P</oddHeader>
  </headerFooter>
  <colBreaks count="2" manualBreakCount="2">
    <brk id="17" max="24" man="1"/>
    <brk id="27" max="2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O35"/>
  <sheetViews>
    <sheetView zoomScale="85" zoomScaleNormal="85" zoomScaleSheetLayoutView="80" workbookViewId="0">
      <pane xSplit="2" ySplit="6" topLeftCell="C7" activePane="bottomRight" state="frozen"/>
      <selection activeCell="H6" sqref="H6"/>
      <selection pane="topRight" activeCell="H6" sqref="H6"/>
      <selection pane="bottomLeft" activeCell="H6" sqref="H6"/>
      <selection pane="bottomRight" sqref="A1:AO25"/>
    </sheetView>
  </sheetViews>
  <sheetFormatPr defaultRowHeight="12.75" x14ac:dyDescent="0.2"/>
  <cols>
    <col min="1" max="1" width="6.42578125" style="119" customWidth="1"/>
    <col min="2" max="2" width="22.7109375" style="119" customWidth="1"/>
    <col min="3" max="5" width="5.5703125" style="119" customWidth="1"/>
    <col min="6" max="6" width="7.7109375" style="119" customWidth="1"/>
    <col min="7" max="7" width="8.5703125" style="119" hidden="1" customWidth="1"/>
    <col min="8" max="8" width="18.85546875" style="119" customWidth="1"/>
    <col min="9" max="9" width="18.85546875" style="119" bestFit="1" customWidth="1"/>
    <col min="10" max="12" width="18.85546875" style="119" customWidth="1"/>
    <col min="13" max="13" width="17.5703125" style="119" customWidth="1"/>
    <col min="14" max="14" width="21.42578125" style="119" hidden="1" customWidth="1"/>
    <col min="15" max="15" width="17.42578125" style="119" customWidth="1"/>
    <col min="16" max="16" width="9.85546875" style="119" customWidth="1"/>
    <col min="17" max="17" width="9.85546875" style="119" hidden="1" customWidth="1"/>
    <col min="18" max="18" width="18" style="119" bestFit="1" customWidth="1"/>
    <col min="19" max="21" width="18.85546875" style="119" customWidth="1"/>
    <col min="22" max="22" width="18.5703125" style="119" customWidth="1"/>
    <col min="23" max="23" width="17.5703125" style="119" bestFit="1" customWidth="1"/>
    <col min="24" max="24" width="21.7109375" style="119" hidden="1" customWidth="1"/>
    <col min="25" max="25" width="18.28515625" style="119" customWidth="1"/>
    <col min="26" max="26" width="14.7109375" style="119" hidden="1" customWidth="1"/>
    <col min="27" max="27" width="11" style="119" hidden="1" customWidth="1"/>
    <col min="28" max="28" width="15.28515625" style="119" hidden="1" customWidth="1"/>
    <col min="29" max="31" width="20" style="119" hidden="1" customWidth="1"/>
    <col min="32" max="32" width="18.5703125" style="119" hidden="1" customWidth="1"/>
    <col min="33" max="33" width="18.85546875" style="119" hidden="1" customWidth="1"/>
    <col min="34" max="34" width="20.42578125" style="119" hidden="1" customWidth="1"/>
    <col min="35" max="35" width="16.7109375" style="119" hidden="1" customWidth="1"/>
    <col min="36" max="36" width="16.85546875" style="119" customWidth="1"/>
    <col min="37" max="37" width="16.42578125" style="119" customWidth="1"/>
    <col min="38" max="38" width="17.28515625" style="119" customWidth="1"/>
    <col min="39" max="39" width="12" style="119" customWidth="1"/>
    <col min="40" max="40" width="13.7109375" style="119" customWidth="1"/>
    <col min="41" max="41" width="13.85546875" style="119" customWidth="1"/>
    <col min="42" max="16384" width="9.140625" style="119"/>
  </cols>
  <sheetData>
    <row r="1" spans="1:41" x14ac:dyDescent="0.2">
      <c r="AO1" s="290" t="s">
        <v>74</v>
      </c>
    </row>
    <row r="2" spans="1:41" ht="63" customHeight="1" x14ac:dyDescent="0.2">
      <c r="A2" s="288" t="s">
        <v>72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  <c r="AI2" s="288"/>
      <c r="AJ2" s="288"/>
      <c r="AK2" s="288"/>
      <c r="AL2" s="288"/>
      <c r="AM2" s="288"/>
      <c r="AN2" s="288"/>
      <c r="AO2" s="288"/>
    </row>
    <row r="3" spans="1:41" ht="15.75" customHeight="1" x14ac:dyDescent="0.2">
      <c r="A3" s="247" t="s">
        <v>39</v>
      </c>
      <c r="B3" s="248" t="s">
        <v>40</v>
      </c>
      <c r="C3" s="249" t="s">
        <v>41</v>
      </c>
      <c r="D3" s="250"/>
      <c r="E3" s="250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  <c r="X3" s="248"/>
      <c r="Y3" s="248"/>
      <c r="Z3" s="248"/>
      <c r="AA3" s="248"/>
      <c r="AB3" s="248"/>
      <c r="AC3" s="248"/>
      <c r="AD3" s="248"/>
      <c r="AE3" s="248"/>
      <c r="AF3" s="248"/>
      <c r="AG3" s="248"/>
      <c r="AH3" s="248"/>
      <c r="AI3" s="248"/>
      <c r="AJ3" s="257" t="s">
        <v>64</v>
      </c>
      <c r="AK3" s="257"/>
      <c r="AL3" s="257"/>
      <c r="AM3" s="257" t="s">
        <v>65</v>
      </c>
      <c r="AN3" s="257"/>
      <c r="AO3" s="257"/>
    </row>
    <row r="4" spans="1:41" ht="15.75" customHeight="1" x14ac:dyDescent="0.2">
      <c r="A4" s="247"/>
      <c r="B4" s="248"/>
      <c r="C4" s="250"/>
      <c r="D4" s="250"/>
      <c r="E4" s="250"/>
      <c r="F4" s="276" t="s">
        <v>42</v>
      </c>
      <c r="G4" s="276"/>
      <c r="H4" s="276"/>
      <c r="I4" s="276"/>
      <c r="J4" s="276"/>
      <c r="K4" s="276"/>
      <c r="L4" s="276"/>
      <c r="M4" s="276"/>
      <c r="N4" s="276"/>
      <c r="O4" s="276"/>
      <c r="P4" s="277" t="s">
        <v>43</v>
      </c>
      <c r="Q4" s="277"/>
      <c r="R4" s="277"/>
      <c r="S4" s="277"/>
      <c r="T4" s="277"/>
      <c r="U4" s="277"/>
      <c r="V4" s="277"/>
      <c r="W4" s="277"/>
      <c r="X4" s="277"/>
      <c r="Y4" s="277"/>
      <c r="Z4" s="251" t="s">
        <v>67</v>
      </c>
      <c r="AA4" s="251"/>
      <c r="AB4" s="251"/>
      <c r="AC4" s="251"/>
      <c r="AD4" s="251"/>
      <c r="AE4" s="251"/>
      <c r="AF4" s="251"/>
      <c r="AG4" s="251"/>
      <c r="AH4" s="251"/>
      <c r="AI4" s="251"/>
      <c r="AJ4" s="257"/>
      <c r="AK4" s="257"/>
      <c r="AL4" s="257"/>
      <c r="AM4" s="257"/>
      <c r="AN4" s="257"/>
      <c r="AO4" s="257"/>
    </row>
    <row r="5" spans="1:41" ht="15.75" customHeight="1" x14ac:dyDescent="0.2">
      <c r="A5" s="247"/>
      <c r="B5" s="248"/>
      <c r="C5" s="250"/>
      <c r="D5" s="250"/>
      <c r="E5" s="250"/>
      <c r="F5" s="252" t="s">
        <v>44</v>
      </c>
      <c r="G5" s="252"/>
      <c r="H5" s="249" t="s">
        <v>45</v>
      </c>
      <c r="I5" s="249" t="s">
        <v>46</v>
      </c>
      <c r="J5" s="249"/>
      <c r="K5" s="249"/>
      <c r="L5" s="249"/>
      <c r="M5" s="249"/>
      <c r="N5" s="254" t="s">
        <v>63</v>
      </c>
      <c r="O5" s="255" t="s">
        <v>57</v>
      </c>
      <c r="P5" s="252" t="s">
        <v>44</v>
      </c>
      <c r="Q5" s="252"/>
      <c r="R5" s="249" t="s">
        <v>45</v>
      </c>
      <c r="S5" s="249" t="s">
        <v>46</v>
      </c>
      <c r="T5" s="249"/>
      <c r="U5" s="249"/>
      <c r="V5" s="249"/>
      <c r="W5" s="249"/>
      <c r="X5" s="254" t="s">
        <v>63</v>
      </c>
      <c r="Y5" s="255" t="s">
        <v>57</v>
      </c>
      <c r="Z5" s="252" t="s">
        <v>44</v>
      </c>
      <c r="AA5" s="252"/>
      <c r="AB5" s="249" t="s">
        <v>45</v>
      </c>
      <c r="AC5" s="249" t="s">
        <v>46</v>
      </c>
      <c r="AD5" s="249"/>
      <c r="AE5" s="249"/>
      <c r="AF5" s="249"/>
      <c r="AG5" s="249"/>
      <c r="AH5" s="254" t="s">
        <v>63</v>
      </c>
      <c r="AI5" s="255" t="s">
        <v>57</v>
      </c>
      <c r="AJ5" s="257"/>
      <c r="AK5" s="257"/>
      <c r="AL5" s="257"/>
      <c r="AM5" s="257"/>
      <c r="AN5" s="257"/>
      <c r="AO5" s="257"/>
    </row>
    <row r="6" spans="1:41" ht="58.15" customHeight="1" x14ac:dyDescent="0.2">
      <c r="A6" s="247"/>
      <c r="B6" s="248"/>
      <c r="C6" s="123">
        <f>+'расчет точ'!C6</f>
        <v>2023</v>
      </c>
      <c r="D6" s="123">
        <f>+'расчет точ'!D6</f>
        <v>2024</v>
      </c>
      <c r="E6" s="123">
        <f>+'расчет точ'!E6</f>
        <v>2025</v>
      </c>
      <c r="F6" s="252"/>
      <c r="G6" s="252"/>
      <c r="H6" s="249"/>
      <c r="I6" s="124" t="s">
        <v>50</v>
      </c>
      <c r="J6" s="125" t="s">
        <v>47</v>
      </c>
      <c r="K6" s="126" t="s">
        <v>48</v>
      </c>
      <c r="L6" s="126" t="s">
        <v>51</v>
      </c>
      <c r="M6" s="127" t="s">
        <v>52</v>
      </c>
      <c r="N6" s="255"/>
      <c r="O6" s="255"/>
      <c r="P6" s="252"/>
      <c r="Q6" s="252"/>
      <c r="R6" s="249"/>
      <c r="S6" s="124" t="s">
        <v>50</v>
      </c>
      <c r="T6" s="130" t="s">
        <v>47</v>
      </c>
      <c r="U6" s="124" t="s">
        <v>48</v>
      </c>
      <c r="V6" s="124" t="s">
        <v>51</v>
      </c>
      <c r="W6" s="124" t="s">
        <v>52</v>
      </c>
      <c r="X6" s="255"/>
      <c r="Y6" s="255"/>
      <c r="Z6" s="252"/>
      <c r="AA6" s="252"/>
      <c r="AB6" s="249"/>
      <c r="AC6" s="124" t="s">
        <v>50</v>
      </c>
      <c r="AD6" s="130" t="s">
        <v>47</v>
      </c>
      <c r="AE6" s="124" t="s">
        <v>48</v>
      </c>
      <c r="AF6" s="124" t="s">
        <v>49</v>
      </c>
      <c r="AG6" s="124" t="s">
        <v>52</v>
      </c>
      <c r="AH6" s="255"/>
      <c r="AI6" s="255"/>
      <c r="AJ6" s="131">
        <v>2023</v>
      </c>
      <c r="AK6" s="131">
        <v>2024</v>
      </c>
      <c r="AL6" s="131">
        <v>2025</v>
      </c>
      <c r="AM6" s="131">
        <v>2023</v>
      </c>
      <c r="AN6" s="131">
        <v>2024</v>
      </c>
      <c r="AO6" s="131">
        <v>2025</v>
      </c>
    </row>
    <row r="7" spans="1:41" ht="15.75" x14ac:dyDescent="0.2">
      <c r="A7" s="132">
        <v>1</v>
      </c>
      <c r="B7" s="133" t="s">
        <v>3</v>
      </c>
      <c r="C7" s="134">
        <f>+'расчет точ'!C7</f>
        <v>0.89</v>
      </c>
      <c r="D7" s="134">
        <f>+'расчет точ'!D7</f>
        <v>0.89</v>
      </c>
      <c r="E7" s="134">
        <f>+'расчет точ'!E7</f>
        <v>0.9</v>
      </c>
      <c r="F7" s="175"/>
      <c r="G7" s="136">
        <f>C7*F7</f>
        <v>0</v>
      </c>
      <c r="H7" s="155">
        <f t="shared" ref="H7:H24" si="0">K7+L7+M7</f>
        <v>0</v>
      </c>
      <c r="I7" s="155">
        <f>ROUND($H$33/$G$29*F7,2)</f>
        <v>0</v>
      </c>
      <c r="J7" s="156">
        <f t="shared" ref="J7:J24" si="1">K7+L7</f>
        <v>0</v>
      </c>
      <c r="K7" s="156">
        <f>ROUND((I7-M7)*(1-$H$35),2)</f>
        <v>0</v>
      </c>
      <c r="L7" s="156">
        <f>ROUND((I7-M7)*$H$35,2)</f>
        <v>0</v>
      </c>
      <c r="M7" s="155">
        <f>ROUNDUP(I7*(1-C7),2)</f>
        <v>0</v>
      </c>
      <c r="N7" s="157">
        <f>IF(I7=0,0,M7/I7)</f>
        <v>0</v>
      </c>
      <c r="O7" s="158">
        <f>IF(F7=0,0,I7/F7)</f>
        <v>0</v>
      </c>
      <c r="P7" s="175"/>
      <c r="Q7" s="136">
        <f>P7*D7</f>
        <v>0</v>
      </c>
      <c r="R7" s="140">
        <f t="shared" ref="R7:R28" si="2">U7+V7+W7</f>
        <v>0</v>
      </c>
      <c r="S7" s="140">
        <f>ROUND($S$33/$Q$29*P7,2)</f>
        <v>0</v>
      </c>
      <c r="T7" s="186">
        <f>U7+V7</f>
        <v>0</v>
      </c>
      <c r="U7" s="187">
        <f>ROUND((S7-W7)*(1-$S$35),2)</f>
        <v>0</v>
      </c>
      <c r="V7" s="187">
        <f>ROUND((S7-W7)*$S$35,2)</f>
        <v>0</v>
      </c>
      <c r="W7" s="158">
        <f>ROUND(S7*(1-D7),2)</f>
        <v>0</v>
      </c>
      <c r="X7" s="160">
        <f>IF(S7=0,0,W7/S7)</f>
        <v>0</v>
      </c>
      <c r="Y7" s="158">
        <f>IF(P7=0,0,S7/P7)</f>
        <v>0</v>
      </c>
      <c r="Z7" s="175"/>
      <c r="AA7" s="161">
        <f>E7*Z7</f>
        <v>0</v>
      </c>
      <c r="AB7" s="155" t="e">
        <f>AE7+AF7+AG7</f>
        <v>#DIV/0!</v>
      </c>
      <c r="AC7" s="155" t="e">
        <f>ROUND($AC$33/$AA$29*Z7,2)</f>
        <v>#DIV/0!</v>
      </c>
      <c r="AD7" s="155" t="e">
        <f>AE7+AF7</f>
        <v>#DIV/0!</v>
      </c>
      <c r="AE7" s="155" t="e">
        <f>ROUND((AC7-AG7)*(1-$AC$35),2)</f>
        <v>#DIV/0!</v>
      </c>
      <c r="AF7" s="155" t="e">
        <f>ROUND((AC7-AG7)*$AC$35,2)</f>
        <v>#DIV/0!</v>
      </c>
      <c r="AG7" s="155" t="e">
        <f>ROUNDUP(AC7*(1-E7),2)</f>
        <v>#DIV/0!</v>
      </c>
      <c r="AH7" s="157" t="e">
        <f>IF(AC7=0,0,AG7/AC7)</f>
        <v>#DIV/0!</v>
      </c>
      <c r="AI7" s="158">
        <f>IF(Z7=0,0,AC7/Z7)</f>
        <v>0</v>
      </c>
      <c r="AJ7" s="162">
        <f>K7+L7</f>
        <v>0</v>
      </c>
      <c r="AK7" s="162">
        <f>U7+V7</f>
        <v>0</v>
      </c>
      <c r="AL7" s="188" t="s">
        <v>69</v>
      </c>
      <c r="AM7" s="117">
        <f t="shared" ref="AM7:AM24" si="3">ROUND(AJ7/1000,1)</f>
        <v>0</v>
      </c>
      <c r="AN7" s="117">
        <f t="shared" ref="AN7:AN22" si="4">ROUND(AK7/1000,1)</f>
        <v>0</v>
      </c>
      <c r="AO7" s="188" t="s">
        <v>69</v>
      </c>
    </row>
    <row r="8" spans="1:41" ht="15.75" x14ac:dyDescent="0.2">
      <c r="A8" s="132">
        <v>2</v>
      </c>
      <c r="B8" s="133" t="s">
        <v>53</v>
      </c>
      <c r="C8" s="134">
        <f>+'расчет точ'!C8</f>
        <v>0.9</v>
      </c>
      <c r="D8" s="134">
        <f>+'расчет точ'!D8</f>
        <v>0.9</v>
      </c>
      <c r="E8" s="134">
        <f>+'расчет точ'!E8</f>
        <v>0.89</v>
      </c>
      <c r="F8" s="175"/>
      <c r="G8" s="136">
        <f t="shared" ref="G8:G24" si="5">C8*F8</f>
        <v>0</v>
      </c>
      <c r="H8" s="155">
        <f t="shared" si="0"/>
        <v>0</v>
      </c>
      <c r="I8" s="155">
        <f t="shared" ref="I8:I24" si="6">ROUND($H$33/$G$29*F8,2)</f>
        <v>0</v>
      </c>
      <c r="J8" s="156">
        <f t="shared" si="1"/>
        <v>0</v>
      </c>
      <c r="K8" s="156">
        <f t="shared" ref="K8:K24" si="7">ROUND((I8-M8)*(1-$H$35),2)</f>
        <v>0</v>
      </c>
      <c r="L8" s="156">
        <f t="shared" ref="L8:L24" si="8">ROUND((I8-M8)*$H$35,2)</f>
        <v>0</v>
      </c>
      <c r="M8" s="155">
        <f t="shared" ref="M8:M24" si="9">ROUNDUP(I8*(1-C8),2)</f>
        <v>0</v>
      </c>
      <c r="N8" s="157">
        <f t="shared" ref="N8:N29" si="10">IF(I8=0,0,M8/I8)</f>
        <v>0</v>
      </c>
      <c r="O8" s="158">
        <f t="shared" ref="O8:O29" si="11">IF(F8=0,0,I8/F8)</f>
        <v>0</v>
      </c>
      <c r="P8" s="175"/>
      <c r="Q8" s="136">
        <f t="shared" ref="Q8:Q24" si="12">P8*D8</f>
        <v>0</v>
      </c>
      <c r="R8" s="140">
        <f t="shared" si="2"/>
        <v>0</v>
      </c>
      <c r="S8" s="140">
        <f t="shared" ref="S8:S24" si="13">ROUND($S$33/$Q$29*P8,2)</f>
        <v>0</v>
      </c>
      <c r="T8" s="186">
        <f t="shared" ref="T8:T24" si="14">U8+V8</f>
        <v>0</v>
      </c>
      <c r="U8" s="187">
        <f t="shared" ref="U8:U22" si="15">ROUND((S8-W8)*(1-$S$35),2)</f>
        <v>0</v>
      </c>
      <c r="V8" s="187">
        <f t="shared" ref="V8:V24" si="16">ROUND((S8-W8)*$S$35,2)</f>
        <v>0</v>
      </c>
      <c r="W8" s="158">
        <f t="shared" ref="W8:W23" si="17">ROUND(S8*(1-D8),2)</f>
        <v>0</v>
      </c>
      <c r="X8" s="160">
        <f t="shared" ref="X8:X29" si="18">IF(S8=0,0,W8/S8)</f>
        <v>0</v>
      </c>
      <c r="Y8" s="158">
        <f t="shared" ref="Y8:Y29" si="19">IF(P8=0,0,S8/P8)</f>
        <v>0</v>
      </c>
      <c r="Z8" s="175"/>
      <c r="AA8" s="161">
        <f t="shared" ref="AA8:AA24" si="20">E8*Z8</f>
        <v>0</v>
      </c>
      <c r="AB8" s="155" t="e">
        <f t="shared" ref="AB8:AB28" si="21">AE8+AF8+AG8</f>
        <v>#DIV/0!</v>
      </c>
      <c r="AC8" s="155" t="e">
        <f t="shared" ref="AC8:AC24" si="22">ROUND($AC$33/$AA$29*Z8,2)</f>
        <v>#DIV/0!</v>
      </c>
      <c r="AD8" s="155" t="e">
        <f t="shared" ref="AD8:AD24" si="23">AE8+AF8</f>
        <v>#DIV/0!</v>
      </c>
      <c r="AE8" s="155" t="e">
        <f t="shared" ref="AE8:AE22" si="24">ROUND((AC8-AG8)*(1-$AC$35),2)</f>
        <v>#DIV/0!</v>
      </c>
      <c r="AF8" s="155" t="e">
        <f t="shared" ref="AF8:AF24" si="25">ROUND((AC8-AG8)*$AC$35,2)</f>
        <v>#DIV/0!</v>
      </c>
      <c r="AG8" s="155" t="e">
        <f t="shared" ref="AG8:AG24" si="26">ROUNDUP(AC8*(1-E8),2)</f>
        <v>#DIV/0!</v>
      </c>
      <c r="AH8" s="157" t="e">
        <f t="shared" ref="AH8:AH29" si="27">IF(AC8=0,0,AG8/AC8)</f>
        <v>#DIV/0!</v>
      </c>
      <c r="AI8" s="158">
        <f t="shared" ref="AI8:AI29" si="28">IF(Z8=0,0,AC8/Z8)</f>
        <v>0</v>
      </c>
      <c r="AJ8" s="162">
        <f t="shared" ref="AJ8:AJ28" si="29">K8+L8</f>
        <v>0</v>
      </c>
      <c r="AK8" s="162">
        <f t="shared" ref="AK8:AK28" si="30">U8+V8</f>
        <v>0</v>
      </c>
      <c r="AL8" s="188" t="s">
        <v>69</v>
      </c>
      <c r="AM8" s="117">
        <f t="shared" si="3"/>
        <v>0</v>
      </c>
      <c r="AN8" s="117">
        <f t="shared" si="4"/>
        <v>0</v>
      </c>
      <c r="AO8" s="188" t="s">
        <v>69</v>
      </c>
    </row>
    <row r="9" spans="1:41" ht="15.75" x14ac:dyDescent="0.2">
      <c r="A9" s="132">
        <v>3</v>
      </c>
      <c r="B9" s="133" t="s">
        <v>54</v>
      </c>
      <c r="C9" s="134">
        <f>+'расчет точ'!C9</f>
        <v>0.9</v>
      </c>
      <c r="D9" s="134">
        <f>+'расчет точ'!D9</f>
        <v>0.9</v>
      </c>
      <c r="E9" s="134">
        <f>+'расчет точ'!E9</f>
        <v>0.9</v>
      </c>
      <c r="F9" s="175"/>
      <c r="G9" s="136">
        <f t="shared" si="5"/>
        <v>0</v>
      </c>
      <c r="H9" s="155">
        <f t="shared" si="0"/>
        <v>0</v>
      </c>
      <c r="I9" s="155">
        <f t="shared" si="6"/>
        <v>0</v>
      </c>
      <c r="J9" s="156">
        <f t="shared" si="1"/>
        <v>0</v>
      </c>
      <c r="K9" s="156">
        <f t="shared" si="7"/>
        <v>0</v>
      </c>
      <c r="L9" s="156">
        <f t="shared" si="8"/>
        <v>0</v>
      </c>
      <c r="M9" s="155">
        <f t="shared" si="9"/>
        <v>0</v>
      </c>
      <c r="N9" s="157">
        <f t="shared" si="10"/>
        <v>0</v>
      </c>
      <c r="O9" s="158">
        <f t="shared" si="11"/>
        <v>0</v>
      </c>
      <c r="P9" s="175"/>
      <c r="Q9" s="136">
        <f t="shared" si="12"/>
        <v>0</v>
      </c>
      <c r="R9" s="140">
        <f t="shared" si="2"/>
        <v>0</v>
      </c>
      <c r="S9" s="140">
        <f t="shared" si="13"/>
        <v>0</v>
      </c>
      <c r="T9" s="186">
        <f t="shared" si="14"/>
        <v>0</v>
      </c>
      <c r="U9" s="187">
        <f t="shared" si="15"/>
        <v>0</v>
      </c>
      <c r="V9" s="187">
        <f t="shared" si="16"/>
        <v>0</v>
      </c>
      <c r="W9" s="158">
        <f t="shared" si="17"/>
        <v>0</v>
      </c>
      <c r="X9" s="160">
        <f t="shared" si="18"/>
        <v>0</v>
      </c>
      <c r="Y9" s="158">
        <f t="shared" si="19"/>
        <v>0</v>
      </c>
      <c r="Z9" s="175"/>
      <c r="AA9" s="161">
        <f t="shared" si="20"/>
        <v>0</v>
      </c>
      <c r="AB9" s="155" t="e">
        <f t="shared" si="21"/>
        <v>#DIV/0!</v>
      </c>
      <c r="AC9" s="155" t="e">
        <f t="shared" si="22"/>
        <v>#DIV/0!</v>
      </c>
      <c r="AD9" s="155" t="e">
        <f t="shared" si="23"/>
        <v>#DIV/0!</v>
      </c>
      <c r="AE9" s="155" t="e">
        <f t="shared" si="24"/>
        <v>#DIV/0!</v>
      </c>
      <c r="AF9" s="155" t="e">
        <f t="shared" si="25"/>
        <v>#DIV/0!</v>
      </c>
      <c r="AG9" s="155" t="e">
        <f t="shared" si="26"/>
        <v>#DIV/0!</v>
      </c>
      <c r="AH9" s="157" t="e">
        <f t="shared" si="27"/>
        <v>#DIV/0!</v>
      </c>
      <c r="AI9" s="158">
        <f t="shared" si="28"/>
        <v>0</v>
      </c>
      <c r="AJ9" s="162">
        <f t="shared" si="29"/>
        <v>0</v>
      </c>
      <c r="AK9" s="162">
        <f t="shared" si="30"/>
        <v>0</v>
      </c>
      <c r="AL9" s="188" t="s">
        <v>69</v>
      </c>
      <c r="AM9" s="117">
        <f t="shared" si="3"/>
        <v>0</v>
      </c>
      <c r="AN9" s="117">
        <f t="shared" si="4"/>
        <v>0</v>
      </c>
      <c r="AO9" s="188" t="s">
        <v>69</v>
      </c>
    </row>
    <row r="10" spans="1:41" ht="15.75" x14ac:dyDescent="0.2">
      <c r="A10" s="132">
        <v>4</v>
      </c>
      <c r="B10" s="133" t="s">
        <v>6</v>
      </c>
      <c r="C10" s="134">
        <f>+'расчет точ'!C10</f>
        <v>0.9</v>
      </c>
      <c r="D10" s="134">
        <f>+'расчет точ'!D10</f>
        <v>0.9</v>
      </c>
      <c r="E10" s="134">
        <f>+'расчет точ'!E10</f>
        <v>0.89</v>
      </c>
      <c r="F10" s="175">
        <v>1</v>
      </c>
      <c r="G10" s="136">
        <f t="shared" si="5"/>
        <v>0.9</v>
      </c>
      <c r="H10" s="155">
        <f t="shared" si="0"/>
        <v>23730111.109999999</v>
      </c>
      <c r="I10" s="155">
        <f t="shared" si="6"/>
        <v>23730111.109999999</v>
      </c>
      <c r="J10" s="137">
        <f t="shared" si="1"/>
        <v>21357100</v>
      </c>
      <c r="K10" s="137">
        <f t="shared" si="7"/>
        <v>14309200</v>
      </c>
      <c r="L10" s="137">
        <f t="shared" si="8"/>
        <v>7047900</v>
      </c>
      <c r="M10" s="155">
        <f>ROUNDUP(I10*(1-C10),2)-0.01</f>
        <v>2373011.11</v>
      </c>
      <c r="N10" s="157">
        <f t="shared" si="10"/>
        <v>9.9999999957859451E-2</v>
      </c>
      <c r="O10" s="158">
        <f t="shared" si="11"/>
        <v>23730111.109999999</v>
      </c>
      <c r="P10" s="175"/>
      <c r="Q10" s="136">
        <f t="shared" si="12"/>
        <v>0</v>
      </c>
      <c r="R10" s="140">
        <f t="shared" si="2"/>
        <v>0</v>
      </c>
      <c r="S10" s="140">
        <f t="shared" si="13"/>
        <v>0</v>
      </c>
      <c r="T10" s="186">
        <f t="shared" si="14"/>
        <v>0</v>
      </c>
      <c r="U10" s="187">
        <f>ROUND((S10-W10)*(1-$S$35),2)</f>
        <v>0</v>
      </c>
      <c r="V10" s="187">
        <f>ROUND((S10-W10)*$S$35,2)</f>
        <v>0</v>
      </c>
      <c r="W10" s="158">
        <f t="shared" si="17"/>
        <v>0</v>
      </c>
      <c r="X10" s="160">
        <f t="shared" si="18"/>
        <v>0</v>
      </c>
      <c r="Y10" s="158">
        <f t="shared" si="19"/>
        <v>0</v>
      </c>
      <c r="Z10" s="175"/>
      <c r="AA10" s="161">
        <f t="shared" si="20"/>
        <v>0</v>
      </c>
      <c r="AB10" s="155" t="e">
        <f t="shared" si="21"/>
        <v>#DIV/0!</v>
      </c>
      <c r="AC10" s="155" t="e">
        <f t="shared" si="22"/>
        <v>#DIV/0!</v>
      </c>
      <c r="AD10" s="155" t="e">
        <f t="shared" si="23"/>
        <v>#DIV/0!</v>
      </c>
      <c r="AE10" s="155" t="e">
        <f t="shared" si="24"/>
        <v>#DIV/0!</v>
      </c>
      <c r="AF10" s="155" t="e">
        <f t="shared" si="25"/>
        <v>#DIV/0!</v>
      </c>
      <c r="AG10" s="155" t="e">
        <f t="shared" si="26"/>
        <v>#DIV/0!</v>
      </c>
      <c r="AH10" s="157" t="e">
        <f t="shared" si="27"/>
        <v>#DIV/0!</v>
      </c>
      <c r="AI10" s="158">
        <f t="shared" si="28"/>
        <v>0</v>
      </c>
      <c r="AJ10" s="162">
        <f t="shared" si="29"/>
        <v>21357100</v>
      </c>
      <c r="AK10" s="162">
        <f t="shared" si="30"/>
        <v>0</v>
      </c>
      <c r="AL10" s="188" t="s">
        <v>69</v>
      </c>
      <c r="AM10" s="117">
        <f t="shared" si="3"/>
        <v>21357.1</v>
      </c>
      <c r="AN10" s="117">
        <f t="shared" si="4"/>
        <v>0</v>
      </c>
      <c r="AO10" s="188" t="s">
        <v>69</v>
      </c>
    </row>
    <row r="11" spans="1:41" ht="15.75" x14ac:dyDescent="0.2">
      <c r="A11" s="132">
        <v>5</v>
      </c>
      <c r="B11" s="133" t="s">
        <v>7</v>
      </c>
      <c r="C11" s="134">
        <f>+'расчет точ'!C11</f>
        <v>0.89</v>
      </c>
      <c r="D11" s="134">
        <f>+'расчет точ'!D11</f>
        <v>0.89</v>
      </c>
      <c r="E11" s="134">
        <f>+'расчет точ'!E11</f>
        <v>0.9</v>
      </c>
      <c r="F11" s="175"/>
      <c r="G11" s="136">
        <f t="shared" si="5"/>
        <v>0</v>
      </c>
      <c r="H11" s="155">
        <f t="shared" si="0"/>
        <v>0</v>
      </c>
      <c r="I11" s="155">
        <f t="shared" si="6"/>
        <v>0</v>
      </c>
      <c r="J11" s="137">
        <f t="shared" si="1"/>
        <v>0</v>
      </c>
      <c r="K11" s="137">
        <f t="shared" si="7"/>
        <v>0</v>
      </c>
      <c r="L11" s="137">
        <f t="shared" si="8"/>
        <v>0</v>
      </c>
      <c r="M11" s="155">
        <f t="shared" si="9"/>
        <v>0</v>
      </c>
      <c r="N11" s="157">
        <f t="shared" si="10"/>
        <v>0</v>
      </c>
      <c r="O11" s="158">
        <f t="shared" si="11"/>
        <v>0</v>
      </c>
      <c r="P11" s="175"/>
      <c r="Q11" s="136">
        <f t="shared" si="12"/>
        <v>0</v>
      </c>
      <c r="R11" s="140">
        <f t="shared" si="2"/>
        <v>0</v>
      </c>
      <c r="S11" s="140">
        <f t="shared" si="13"/>
        <v>0</v>
      </c>
      <c r="T11" s="186">
        <f t="shared" si="14"/>
        <v>0</v>
      </c>
      <c r="U11" s="187">
        <f>ROUND((S11-W11)*(1-$S$35),2)</f>
        <v>0</v>
      </c>
      <c r="V11" s="187">
        <f>ROUND((S11-W11)*$S$35,2)</f>
        <v>0</v>
      </c>
      <c r="W11" s="158">
        <f t="shared" si="17"/>
        <v>0</v>
      </c>
      <c r="X11" s="160">
        <f t="shared" si="18"/>
        <v>0</v>
      </c>
      <c r="Y11" s="158">
        <f t="shared" si="19"/>
        <v>0</v>
      </c>
      <c r="Z11" s="175"/>
      <c r="AA11" s="161">
        <f t="shared" si="20"/>
        <v>0</v>
      </c>
      <c r="AB11" s="155" t="e">
        <f t="shared" si="21"/>
        <v>#DIV/0!</v>
      </c>
      <c r="AC11" s="155" t="e">
        <f t="shared" si="22"/>
        <v>#DIV/0!</v>
      </c>
      <c r="AD11" s="155" t="e">
        <f t="shared" si="23"/>
        <v>#DIV/0!</v>
      </c>
      <c r="AE11" s="155" t="e">
        <f t="shared" si="24"/>
        <v>#DIV/0!</v>
      </c>
      <c r="AF11" s="155" t="e">
        <f t="shared" si="25"/>
        <v>#DIV/0!</v>
      </c>
      <c r="AG11" s="155" t="e">
        <f t="shared" si="26"/>
        <v>#DIV/0!</v>
      </c>
      <c r="AH11" s="157" t="e">
        <f t="shared" si="27"/>
        <v>#DIV/0!</v>
      </c>
      <c r="AI11" s="158">
        <f t="shared" si="28"/>
        <v>0</v>
      </c>
      <c r="AJ11" s="162">
        <f t="shared" si="29"/>
        <v>0</v>
      </c>
      <c r="AK11" s="162">
        <f t="shared" si="30"/>
        <v>0</v>
      </c>
      <c r="AL11" s="188" t="s">
        <v>69</v>
      </c>
      <c r="AM11" s="117">
        <f t="shared" si="3"/>
        <v>0</v>
      </c>
      <c r="AN11" s="117">
        <f t="shared" si="4"/>
        <v>0</v>
      </c>
      <c r="AO11" s="188" t="s">
        <v>69</v>
      </c>
    </row>
    <row r="12" spans="1:41" ht="15.75" x14ac:dyDescent="0.2">
      <c r="A12" s="132">
        <v>6</v>
      </c>
      <c r="B12" s="133" t="s">
        <v>55</v>
      </c>
      <c r="C12" s="134">
        <f>+'расчет точ'!C12</f>
        <v>0.87</v>
      </c>
      <c r="D12" s="134">
        <f>+'расчет точ'!D12</f>
        <v>0.87</v>
      </c>
      <c r="E12" s="134">
        <f>+'расчет точ'!E12</f>
        <v>0.87</v>
      </c>
      <c r="F12" s="175"/>
      <c r="G12" s="136">
        <f t="shared" si="5"/>
        <v>0</v>
      </c>
      <c r="H12" s="155">
        <f t="shared" si="0"/>
        <v>0</v>
      </c>
      <c r="I12" s="155">
        <f t="shared" si="6"/>
        <v>0</v>
      </c>
      <c r="J12" s="137">
        <f t="shared" si="1"/>
        <v>0</v>
      </c>
      <c r="K12" s="137">
        <f t="shared" si="7"/>
        <v>0</v>
      </c>
      <c r="L12" s="137">
        <f t="shared" si="8"/>
        <v>0</v>
      </c>
      <c r="M12" s="155">
        <f t="shared" si="9"/>
        <v>0</v>
      </c>
      <c r="N12" s="157">
        <f t="shared" si="10"/>
        <v>0</v>
      </c>
      <c r="O12" s="158">
        <f t="shared" si="11"/>
        <v>0</v>
      </c>
      <c r="P12" s="175"/>
      <c r="Q12" s="136">
        <f t="shared" si="12"/>
        <v>0</v>
      </c>
      <c r="R12" s="140">
        <f t="shared" si="2"/>
        <v>0</v>
      </c>
      <c r="S12" s="140">
        <f t="shared" si="13"/>
        <v>0</v>
      </c>
      <c r="T12" s="186">
        <f t="shared" si="14"/>
        <v>0</v>
      </c>
      <c r="U12" s="187">
        <f t="shared" si="15"/>
        <v>0</v>
      </c>
      <c r="V12" s="187">
        <f t="shared" si="16"/>
        <v>0</v>
      </c>
      <c r="W12" s="158">
        <f t="shared" si="17"/>
        <v>0</v>
      </c>
      <c r="X12" s="160">
        <f t="shared" si="18"/>
        <v>0</v>
      </c>
      <c r="Y12" s="158">
        <f t="shared" si="19"/>
        <v>0</v>
      </c>
      <c r="Z12" s="175"/>
      <c r="AA12" s="161">
        <f t="shared" si="20"/>
        <v>0</v>
      </c>
      <c r="AB12" s="155" t="e">
        <f t="shared" si="21"/>
        <v>#DIV/0!</v>
      </c>
      <c r="AC12" s="155" t="e">
        <f t="shared" si="22"/>
        <v>#DIV/0!</v>
      </c>
      <c r="AD12" s="155" t="e">
        <f t="shared" si="23"/>
        <v>#DIV/0!</v>
      </c>
      <c r="AE12" s="155" t="e">
        <f t="shared" si="24"/>
        <v>#DIV/0!</v>
      </c>
      <c r="AF12" s="155" t="e">
        <f t="shared" si="25"/>
        <v>#DIV/0!</v>
      </c>
      <c r="AG12" s="155" t="e">
        <f t="shared" si="26"/>
        <v>#DIV/0!</v>
      </c>
      <c r="AH12" s="157" t="e">
        <f t="shared" si="27"/>
        <v>#DIV/0!</v>
      </c>
      <c r="AI12" s="158">
        <f t="shared" si="28"/>
        <v>0</v>
      </c>
      <c r="AJ12" s="162">
        <f t="shared" si="29"/>
        <v>0</v>
      </c>
      <c r="AK12" s="162">
        <f t="shared" si="30"/>
        <v>0</v>
      </c>
      <c r="AL12" s="188" t="s">
        <v>69</v>
      </c>
      <c r="AM12" s="117">
        <f t="shared" si="3"/>
        <v>0</v>
      </c>
      <c r="AN12" s="117">
        <f t="shared" si="4"/>
        <v>0</v>
      </c>
      <c r="AO12" s="188" t="s">
        <v>69</v>
      </c>
    </row>
    <row r="13" spans="1:41" ht="15.75" x14ac:dyDescent="0.2">
      <c r="A13" s="132">
        <v>7</v>
      </c>
      <c r="B13" s="133" t="s">
        <v>9</v>
      </c>
      <c r="C13" s="134">
        <f>+'расчет точ'!C13</f>
        <v>0.89</v>
      </c>
      <c r="D13" s="134">
        <f>+'расчет точ'!D13</f>
        <v>0.9</v>
      </c>
      <c r="E13" s="134">
        <f>+'расчет точ'!E13</f>
        <v>0.89</v>
      </c>
      <c r="F13" s="175"/>
      <c r="G13" s="136">
        <f t="shared" si="5"/>
        <v>0</v>
      </c>
      <c r="H13" s="155">
        <f t="shared" si="0"/>
        <v>0</v>
      </c>
      <c r="I13" s="155">
        <f t="shared" si="6"/>
        <v>0</v>
      </c>
      <c r="J13" s="137">
        <f t="shared" si="1"/>
        <v>0</v>
      </c>
      <c r="K13" s="137">
        <f t="shared" si="7"/>
        <v>0</v>
      </c>
      <c r="L13" s="137">
        <f t="shared" si="8"/>
        <v>0</v>
      </c>
      <c r="M13" s="155">
        <f t="shared" si="9"/>
        <v>0</v>
      </c>
      <c r="N13" s="157">
        <f t="shared" si="10"/>
        <v>0</v>
      </c>
      <c r="O13" s="158">
        <f t="shared" si="11"/>
        <v>0</v>
      </c>
      <c r="P13" s="175"/>
      <c r="Q13" s="136">
        <f t="shared" si="12"/>
        <v>0</v>
      </c>
      <c r="R13" s="140">
        <f t="shared" si="2"/>
        <v>0</v>
      </c>
      <c r="S13" s="140">
        <f t="shared" si="13"/>
        <v>0</v>
      </c>
      <c r="T13" s="186">
        <f t="shared" si="14"/>
        <v>0</v>
      </c>
      <c r="U13" s="187">
        <f t="shared" si="15"/>
        <v>0</v>
      </c>
      <c r="V13" s="187">
        <f t="shared" si="16"/>
        <v>0</v>
      </c>
      <c r="W13" s="158">
        <f t="shared" si="17"/>
        <v>0</v>
      </c>
      <c r="X13" s="160">
        <f t="shared" si="18"/>
        <v>0</v>
      </c>
      <c r="Y13" s="158">
        <f t="shared" si="19"/>
        <v>0</v>
      </c>
      <c r="Z13" s="175"/>
      <c r="AA13" s="161">
        <f t="shared" si="20"/>
        <v>0</v>
      </c>
      <c r="AB13" s="155" t="e">
        <f t="shared" si="21"/>
        <v>#DIV/0!</v>
      </c>
      <c r="AC13" s="155" t="e">
        <f t="shared" si="22"/>
        <v>#DIV/0!</v>
      </c>
      <c r="AD13" s="155" t="e">
        <f t="shared" si="23"/>
        <v>#DIV/0!</v>
      </c>
      <c r="AE13" s="155" t="e">
        <f t="shared" si="24"/>
        <v>#DIV/0!</v>
      </c>
      <c r="AF13" s="155" t="e">
        <f t="shared" si="25"/>
        <v>#DIV/0!</v>
      </c>
      <c r="AG13" s="155" t="e">
        <f t="shared" si="26"/>
        <v>#DIV/0!</v>
      </c>
      <c r="AH13" s="157" t="e">
        <f t="shared" si="27"/>
        <v>#DIV/0!</v>
      </c>
      <c r="AI13" s="158">
        <f t="shared" si="28"/>
        <v>0</v>
      </c>
      <c r="AJ13" s="162">
        <f t="shared" si="29"/>
        <v>0</v>
      </c>
      <c r="AK13" s="162">
        <f t="shared" si="30"/>
        <v>0</v>
      </c>
      <c r="AL13" s="188" t="s">
        <v>69</v>
      </c>
      <c r="AM13" s="117">
        <f t="shared" si="3"/>
        <v>0</v>
      </c>
      <c r="AN13" s="117">
        <f t="shared" si="4"/>
        <v>0</v>
      </c>
      <c r="AO13" s="188" t="s">
        <v>69</v>
      </c>
    </row>
    <row r="14" spans="1:41" ht="15.75" x14ac:dyDescent="0.2">
      <c r="A14" s="132">
        <v>8</v>
      </c>
      <c r="B14" s="133" t="s">
        <v>10</v>
      </c>
      <c r="C14" s="134">
        <f>+'расчет точ'!C14</f>
        <v>0.89</v>
      </c>
      <c r="D14" s="134">
        <f>+'расчет точ'!D14</f>
        <v>0.9</v>
      </c>
      <c r="E14" s="134">
        <f>+'расчет точ'!E14</f>
        <v>0.9</v>
      </c>
      <c r="F14" s="175"/>
      <c r="G14" s="136">
        <f t="shared" si="5"/>
        <v>0</v>
      </c>
      <c r="H14" s="155">
        <f t="shared" si="0"/>
        <v>0</v>
      </c>
      <c r="I14" s="155">
        <f t="shared" si="6"/>
        <v>0</v>
      </c>
      <c r="J14" s="137">
        <f t="shared" si="1"/>
        <v>0</v>
      </c>
      <c r="K14" s="137">
        <f t="shared" si="7"/>
        <v>0</v>
      </c>
      <c r="L14" s="137">
        <f t="shared" si="8"/>
        <v>0</v>
      </c>
      <c r="M14" s="155">
        <f t="shared" si="9"/>
        <v>0</v>
      </c>
      <c r="N14" s="157">
        <f t="shared" si="10"/>
        <v>0</v>
      </c>
      <c r="O14" s="158">
        <f t="shared" si="11"/>
        <v>0</v>
      </c>
      <c r="P14" s="175"/>
      <c r="Q14" s="136">
        <f t="shared" si="12"/>
        <v>0</v>
      </c>
      <c r="R14" s="140">
        <f t="shared" si="2"/>
        <v>0</v>
      </c>
      <c r="S14" s="140">
        <f t="shared" si="13"/>
        <v>0</v>
      </c>
      <c r="T14" s="186">
        <f t="shared" si="14"/>
        <v>0</v>
      </c>
      <c r="U14" s="187">
        <f t="shared" si="15"/>
        <v>0</v>
      </c>
      <c r="V14" s="187">
        <f t="shared" si="16"/>
        <v>0</v>
      </c>
      <c r="W14" s="158">
        <f t="shared" si="17"/>
        <v>0</v>
      </c>
      <c r="X14" s="160">
        <f t="shared" si="18"/>
        <v>0</v>
      </c>
      <c r="Y14" s="158">
        <f t="shared" si="19"/>
        <v>0</v>
      </c>
      <c r="Z14" s="175"/>
      <c r="AA14" s="161">
        <f t="shared" si="20"/>
        <v>0</v>
      </c>
      <c r="AB14" s="155" t="e">
        <f t="shared" si="21"/>
        <v>#DIV/0!</v>
      </c>
      <c r="AC14" s="155" t="e">
        <f t="shared" si="22"/>
        <v>#DIV/0!</v>
      </c>
      <c r="AD14" s="155" t="e">
        <f t="shared" si="23"/>
        <v>#DIV/0!</v>
      </c>
      <c r="AE14" s="155" t="e">
        <f t="shared" si="24"/>
        <v>#DIV/0!</v>
      </c>
      <c r="AF14" s="155" t="e">
        <f t="shared" si="25"/>
        <v>#DIV/0!</v>
      </c>
      <c r="AG14" s="155" t="e">
        <f t="shared" si="26"/>
        <v>#DIV/0!</v>
      </c>
      <c r="AH14" s="157" t="e">
        <f t="shared" si="27"/>
        <v>#DIV/0!</v>
      </c>
      <c r="AI14" s="158">
        <f t="shared" si="28"/>
        <v>0</v>
      </c>
      <c r="AJ14" s="162">
        <f t="shared" si="29"/>
        <v>0</v>
      </c>
      <c r="AK14" s="162">
        <f t="shared" si="30"/>
        <v>0</v>
      </c>
      <c r="AL14" s="188" t="s">
        <v>69</v>
      </c>
      <c r="AM14" s="117">
        <f t="shared" si="3"/>
        <v>0</v>
      </c>
      <c r="AN14" s="117">
        <f t="shared" si="4"/>
        <v>0</v>
      </c>
      <c r="AO14" s="188" t="s">
        <v>69</v>
      </c>
    </row>
    <row r="15" spans="1:41" ht="15.75" x14ac:dyDescent="0.2">
      <c r="A15" s="132">
        <v>9</v>
      </c>
      <c r="B15" s="133" t="s">
        <v>11</v>
      </c>
      <c r="C15" s="134">
        <f>+'расчет точ'!C15</f>
        <v>0.9</v>
      </c>
      <c r="D15" s="134">
        <f>+'расчет точ'!D15</f>
        <v>0.9</v>
      </c>
      <c r="E15" s="134">
        <f>+'расчет точ'!E15</f>
        <v>0.89</v>
      </c>
      <c r="F15" s="175"/>
      <c r="G15" s="136">
        <f t="shared" si="5"/>
        <v>0</v>
      </c>
      <c r="H15" s="155">
        <f t="shared" si="0"/>
        <v>0</v>
      </c>
      <c r="I15" s="155">
        <f t="shared" si="6"/>
        <v>0</v>
      </c>
      <c r="J15" s="137">
        <f t="shared" si="1"/>
        <v>0</v>
      </c>
      <c r="K15" s="137">
        <f t="shared" si="7"/>
        <v>0</v>
      </c>
      <c r="L15" s="137">
        <f t="shared" si="8"/>
        <v>0</v>
      </c>
      <c r="M15" s="155">
        <f t="shared" si="9"/>
        <v>0</v>
      </c>
      <c r="N15" s="157">
        <f t="shared" si="10"/>
        <v>0</v>
      </c>
      <c r="O15" s="158">
        <f t="shared" si="11"/>
        <v>0</v>
      </c>
      <c r="P15" s="175"/>
      <c r="Q15" s="136">
        <f t="shared" si="12"/>
        <v>0</v>
      </c>
      <c r="R15" s="140">
        <f t="shared" si="2"/>
        <v>0</v>
      </c>
      <c r="S15" s="140">
        <f t="shared" si="13"/>
        <v>0</v>
      </c>
      <c r="T15" s="186">
        <f t="shared" si="14"/>
        <v>0</v>
      </c>
      <c r="U15" s="187">
        <f t="shared" si="15"/>
        <v>0</v>
      </c>
      <c r="V15" s="187">
        <f t="shared" si="16"/>
        <v>0</v>
      </c>
      <c r="W15" s="158">
        <f t="shared" si="17"/>
        <v>0</v>
      </c>
      <c r="X15" s="160">
        <f t="shared" si="18"/>
        <v>0</v>
      </c>
      <c r="Y15" s="158">
        <f t="shared" si="19"/>
        <v>0</v>
      </c>
      <c r="Z15" s="175"/>
      <c r="AA15" s="161">
        <f t="shared" si="20"/>
        <v>0</v>
      </c>
      <c r="AB15" s="155" t="e">
        <f t="shared" si="21"/>
        <v>#DIV/0!</v>
      </c>
      <c r="AC15" s="155" t="e">
        <f t="shared" si="22"/>
        <v>#DIV/0!</v>
      </c>
      <c r="AD15" s="155" t="e">
        <f t="shared" si="23"/>
        <v>#DIV/0!</v>
      </c>
      <c r="AE15" s="155" t="e">
        <f t="shared" si="24"/>
        <v>#DIV/0!</v>
      </c>
      <c r="AF15" s="155" t="e">
        <f t="shared" si="25"/>
        <v>#DIV/0!</v>
      </c>
      <c r="AG15" s="155" t="e">
        <f t="shared" si="26"/>
        <v>#DIV/0!</v>
      </c>
      <c r="AH15" s="157" t="e">
        <f t="shared" si="27"/>
        <v>#DIV/0!</v>
      </c>
      <c r="AI15" s="158">
        <f t="shared" si="28"/>
        <v>0</v>
      </c>
      <c r="AJ15" s="162">
        <f t="shared" si="29"/>
        <v>0</v>
      </c>
      <c r="AK15" s="162">
        <f t="shared" si="30"/>
        <v>0</v>
      </c>
      <c r="AL15" s="188" t="s">
        <v>69</v>
      </c>
      <c r="AM15" s="117">
        <f t="shared" si="3"/>
        <v>0</v>
      </c>
      <c r="AN15" s="117">
        <f t="shared" si="4"/>
        <v>0</v>
      </c>
      <c r="AO15" s="188" t="s">
        <v>69</v>
      </c>
    </row>
    <row r="16" spans="1:41" ht="15.75" x14ac:dyDescent="0.2">
      <c r="A16" s="132">
        <v>10</v>
      </c>
      <c r="B16" s="133" t="s">
        <v>12</v>
      </c>
      <c r="C16" s="134">
        <f>+'расчет точ'!C16</f>
        <v>0.9</v>
      </c>
      <c r="D16" s="134">
        <f>+'расчет точ'!D16</f>
        <v>0.89</v>
      </c>
      <c r="E16" s="134">
        <f>+'расчет точ'!E16</f>
        <v>0.9</v>
      </c>
      <c r="F16" s="175"/>
      <c r="G16" s="136">
        <f t="shared" si="5"/>
        <v>0</v>
      </c>
      <c r="H16" s="155">
        <f t="shared" si="0"/>
        <v>0</v>
      </c>
      <c r="I16" s="155">
        <f t="shared" si="6"/>
        <v>0</v>
      </c>
      <c r="J16" s="137">
        <f t="shared" si="1"/>
        <v>0</v>
      </c>
      <c r="K16" s="137">
        <f t="shared" si="7"/>
        <v>0</v>
      </c>
      <c r="L16" s="137">
        <f t="shared" si="8"/>
        <v>0</v>
      </c>
      <c r="M16" s="155">
        <f t="shared" si="9"/>
        <v>0</v>
      </c>
      <c r="N16" s="157">
        <f t="shared" si="10"/>
        <v>0</v>
      </c>
      <c r="O16" s="158">
        <f t="shared" si="11"/>
        <v>0</v>
      </c>
      <c r="P16" s="175"/>
      <c r="Q16" s="136">
        <f t="shared" si="12"/>
        <v>0</v>
      </c>
      <c r="R16" s="140">
        <f t="shared" si="2"/>
        <v>0</v>
      </c>
      <c r="S16" s="140">
        <f t="shared" si="13"/>
        <v>0</v>
      </c>
      <c r="T16" s="186">
        <f t="shared" si="14"/>
        <v>0</v>
      </c>
      <c r="U16" s="187">
        <f t="shared" si="15"/>
        <v>0</v>
      </c>
      <c r="V16" s="187">
        <f t="shared" si="16"/>
        <v>0</v>
      </c>
      <c r="W16" s="158">
        <f t="shared" si="17"/>
        <v>0</v>
      </c>
      <c r="X16" s="160">
        <f t="shared" si="18"/>
        <v>0</v>
      </c>
      <c r="Y16" s="158">
        <f t="shared" si="19"/>
        <v>0</v>
      </c>
      <c r="Z16" s="175"/>
      <c r="AA16" s="161">
        <f t="shared" si="20"/>
        <v>0</v>
      </c>
      <c r="AB16" s="155" t="e">
        <f t="shared" si="21"/>
        <v>#DIV/0!</v>
      </c>
      <c r="AC16" s="155" t="e">
        <f t="shared" si="22"/>
        <v>#DIV/0!</v>
      </c>
      <c r="AD16" s="155" t="e">
        <f t="shared" si="23"/>
        <v>#DIV/0!</v>
      </c>
      <c r="AE16" s="155" t="e">
        <f t="shared" si="24"/>
        <v>#DIV/0!</v>
      </c>
      <c r="AF16" s="155" t="e">
        <f t="shared" si="25"/>
        <v>#DIV/0!</v>
      </c>
      <c r="AG16" s="155" t="e">
        <f t="shared" si="26"/>
        <v>#DIV/0!</v>
      </c>
      <c r="AH16" s="157" t="e">
        <f t="shared" si="27"/>
        <v>#DIV/0!</v>
      </c>
      <c r="AI16" s="158">
        <f t="shared" si="28"/>
        <v>0</v>
      </c>
      <c r="AJ16" s="162">
        <f t="shared" si="29"/>
        <v>0</v>
      </c>
      <c r="AK16" s="162">
        <f t="shared" si="30"/>
        <v>0</v>
      </c>
      <c r="AL16" s="188" t="s">
        <v>69</v>
      </c>
      <c r="AM16" s="117">
        <f t="shared" si="3"/>
        <v>0</v>
      </c>
      <c r="AN16" s="117">
        <f t="shared" si="4"/>
        <v>0</v>
      </c>
      <c r="AO16" s="188" t="s">
        <v>69</v>
      </c>
    </row>
    <row r="17" spans="1:41" ht="15.75" x14ac:dyDescent="0.2">
      <c r="A17" s="132">
        <v>11</v>
      </c>
      <c r="B17" s="133" t="s">
        <v>56</v>
      </c>
      <c r="C17" s="134">
        <f>+'расчет точ'!C17</f>
        <v>0.89</v>
      </c>
      <c r="D17" s="134">
        <f>+'расчет точ'!D17</f>
        <v>0.89</v>
      </c>
      <c r="E17" s="134">
        <f>+'расчет точ'!E17</f>
        <v>0.9</v>
      </c>
      <c r="F17" s="175"/>
      <c r="G17" s="136">
        <f t="shared" si="5"/>
        <v>0</v>
      </c>
      <c r="H17" s="155">
        <f t="shared" si="0"/>
        <v>0</v>
      </c>
      <c r="I17" s="155">
        <f t="shared" si="6"/>
        <v>0</v>
      </c>
      <c r="J17" s="137">
        <f t="shared" si="1"/>
        <v>0</v>
      </c>
      <c r="K17" s="137">
        <f t="shared" si="7"/>
        <v>0</v>
      </c>
      <c r="L17" s="137">
        <f t="shared" si="8"/>
        <v>0</v>
      </c>
      <c r="M17" s="155">
        <f t="shared" si="9"/>
        <v>0</v>
      </c>
      <c r="N17" s="157">
        <f t="shared" si="10"/>
        <v>0</v>
      </c>
      <c r="O17" s="158">
        <f t="shared" si="11"/>
        <v>0</v>
      </c>
      <c r="P17" s="175"/>
      <c r="Q17" s="136">
        <f t="shared" si="12"/>
        <v>0</v>
      </c>
      <c r="R17" s="140">
        <f t="shared" si="2"/>
        <v>0</v>
      </c>
      <c r="S17" s="140">
        <f t="shared" si="13"/>
        <v>0</v>
      </c>
      <c r="T17" s="186">
        <f t="shared" si="14"/>
        <v>0</v>
      </c>
      <c r="U17" s="187">
        <f t="shared" si="15"/>
        <v>0</v>
      </c>
      <c r="V17" s="187">
        <f t="shared" si="16"/>
        <v>0</v>
      </c>
      <c r="W17" s="158">
        <f t="shared" si="17"/>
        <v>0</v>
      </c>
      <c r="X17" s="160">
        <f t="shared" si="18"/>
        <v>0</v>
      </c>
      <c r="Y17" s="158">
        <f t="shared" si="19"/>
        <v>0</v>
      </c>
      <c r="Z17" s="175"/>
      <c r="AA17" s="161">
        <f t="shared" si="20"/>
        <v>0</v>
      </c>
      <c r="AB17" s="155" t="e">
        <f t="shared" si="21"/>
        <v>#DIV/0!</v>
      </c>
      <c r="AC17" s="155" t="e">
        <f t="shared" si="22"/>
        <v>#DIV/0!</v>
      </c>
      <c r="AD17" s="155" t="e">
        <f t="shared" si="23"/>
        <v>#DIV/0!</v>
      </c>
      <c r="AE17" s="155" t="e">
        <f t="shared" si="24"/>
        <v>#DIV/0!</v>
      </c>
      <c r="AF17" s="155" t="e">
        <f t="shared" si="25"/>
        <v>#DIV/0!</v>
      </c>
      <c r="AG17" s="155" t="e">
        <f t="shared" si="26"/>
        <v>#DIV/0!</v>
      </c>
      <c r="AH17" s="157" t="e">
        <f t="shared" si="27"/>
        <v>#DIV/0!</v>
      </c>
      <c r="AI17" s="158">
        <f t="shared" si="28"/>
        <v>0</v>
      </c>
      <c r="AJ17" s="162">
        <f t="shared" si="29"/>
        <v>0</v>
      </c>
      <c r="AK17" s="162">
        <f t="shared" si="30"/>
        <v>0</v>
      </c>
      <c r="AL17" s="188" t="s">
        <v>69</v>
      </c>
      <c r="AM17" s="117">
        <f t="shared" si="3"/>
        <v>0</v>
      </c>
      <c r="AN17" s="117">
        <f t="shared" si="4"/>
        <v>0</v>
      </c>
      <c r="AO17" s="188" t="s">
        <v>69</v>
      </c>
    </row>
    <row r="18" spans="1:41" ht="15.75" x14ac:dyDescent="0.2">
      <c r="A18" s="132">
        <v>12</v>
      </c>
      <c r="B18" s="133" t="s">
        <v>14</v>
      </c>
      <c r="C18" s="134">
        <f>+'расчет точ'!C18</f>
        <v>0.9</v>
      </c>
      <c r="D18" s="134">
        <f>+'расчет точ'!D18</f>
        <v>0.9</v>
      </c>
      <c r="E18" s="134">
        <f>+'расчет точ'!E18</f>
        <v>0.89</v>
      </c>
      <c r="F18" s="175"/>
      <c r="G18" s="136">
        <f t="shared" si="5"/>
        <v>0</v>
      </c>
      <c r="H18" s="155">
        <f t="shared" si="0"/>
        <v>0</v>
      </c>
      <c r="I18" s="155">
        <f t="shared" si="6"/>
        <v>0</v>
      </c>
      <c r="J18" s="137">
        <f t="shared" si="1"/>
        <v>0</v>
      </c>
      <c r="K18" s="137">
        <f t="shared" si="7"/>
        <v>0</v>
      </c>
      <c r="L18" s="137">
        <f t="shared" si="8"/>
        <v>0</v>
      </c>
      <c r="M18" s="155">
        <f t="shared" si="9"/>
        <v>0</v>
      </c>
      <c r="N18" s="157">
        <f t="shared" si="10"/>
        <v>0</v>
      </c>
      <c r="O18" s="158">
        <f t="shared" si="11"/>
        <v>0</v>
      </c>
      <c r="P18" s="175"/>
      <c r="Q18" s="136">
        <f t="shared" si="12"/>
        <v>0</v>
      </c>
      <c r="R18" s="140">
        <f t="shared" si="2"/>
        <v>0</v>
      </c>
      <c r="S18" s="140">
        <f t="shared" si="13"/>
        <v>0</v>
      </c>
      <c r="T18" s="186">
        <f t="shared" si="14"/>
        <v>0</v>
      </c>
      <c r="U18" s="187">
        <f t="shared" si="15"/>
        <v>0</v>
      </c>
      <c r="V18" s="187">
        <f t="shared" si="16"/>
        <v>0</v>
      </c>
      <c r="W18" s="158">
        <f t="shared" si="17"/>
        <v>0</v>
      </c>
      <c r="X18" s="160">
        <f t="shared" si="18"/>
        <v>0</v>
      </c>
      <c r="Y18" s="158">
        <f t="shared" si="19"/>
        <v>0</v>
      </c>
      <c r="Z18" s="175"/>
      <c r="AA18" s="161">
        <f t="shared" si="20"/>
        <v>0</v>
      </c>
      <c r="AB18" s="155" t="e">
        <f t="shared" si="21"/>
        <v>#DIV/0!</v>
      </c>
      <c r="AC18" s="155" t="e">
        <f t="shared" si="22"/>
        <v>#DIV/0!</v>
      </c>
      <c r="AD18" s="155" t="e">
        <f t="shared" si="23"/>
        <v>#DIV/0!</v>
      </c>
      <c r="AE18" s="155" t="e">
        <f t="shared" si="24"/>
        <v>#DIV/0!</v>
      </c>
      <c r="AF18" s="155" t="e">
        <f t="shared" si="25"/>
        <v>#DIV/0!</v>
      </c>
      <c r="AG18" s="155" t="e">
        <f t="shared" si="26"/>
        <v>#DIV/0!</v>
      </c>
      <c r="AH18" s="157" t="e">
        <f t="shared" si="27"/>
        <v>#DIV/0!</v>
      </c>
      <c r="AI18" s="158">
        <f t="shared" si="28"/>
        <v>0</v>
      </c>
      <c r="AJ18" s="162">
        <f t="shared" si="29"/>
        <v>0</v>
      </c>
      <c r="AK18" s="162">
        <f t="shared" si="30"/>
        <v>0</v>
      </c>
      <c r="AL18" s="188" t="s">
        <v>69</v>
      </c>
      <c r="AM18" s="117">
        <f t="shared" si="3"/>
        <v>0</v>
      </c>
      <c r="AN18" s="117">
        <f t="shared" si="4"/>
        <v>0</v>
      </c>
      <c r="AO18" s="188" t="s">
        <v>69</v>
      </c>
    </row>
    <row r="19" spans="1:41" ht="15.75" x14ac:dyDescent="0.2">
      <c r="A19" s="132">
        <v>13</v>
      </c>
      <c r="B19" s="133" t="s">
        <v>15</v>
      </c>
      <c r="C19" s="134">
        <f>+'расчет точ'!C19</f>
        <v>0.9</v>
      </c>
      <c r="D19" s="134">
        <f>+'расчет точ'!D19</f>
        <v>0.9</v>
      </c>
      <c r="E19" s="134">
        <f>+'расчет точ'!E19</f>
        <v>0.9</v>
      </c>
      <c r="F19" s="175"/>
      <c r="G19" s="136">
        <f t="shared" si="5"/>
        <v>0</v>
      </c>
      <c r="H19" s="155">
        <f t="shared" si="0"/>
        <v>0</v>
      </c>
      <c r="I19" s="155">
        <f t="shared" si="6"/>
        <v>0</v>
      </c>
      <c r="J19" s="137">
        <f t="shared" si="1"/>
        <v>0</v>
      </c>
      <c r="K19" s="137">
        <f t="shared" si="7"/>
        <v>0</v>
      </c>
      <c r="L19" s="137">
        <f t="shared" si="8"/>
        <v>0</v>
      </c>
      <c r="M19" s="155">
        <f t="shared" si="9"/>
        <v>0</v>
      </c>
      <c r="N19" s="157">
        <f t="shared" si="10"/>
        <v>0</v>
      </c>
      <c r="O19" s="158">
        <f t="shared" si="11"/>
        <v>0</v>
      </c>
      <c r="P19" s="175"/>
      <c r="Q19" s="136">
        <f t="shared" si="12"/>
        <v>0</v>
      </c>
      <c r="R19" s="140">
        <f t="shared" si="2"/>
        <v>0</v>
      </c>
      <c r="S19" s="140">
        <f t="shared" si="13"/>
        <v>0</v>
      </c>
      <c r="T19" s="186">
        <f t="shared" si="14"/>
        <v>0</v>
      </c>
      <c r="U19" s="187">
        <f t="shared" si="15"/>
        <v>0</v>
      </c>
      <c r="V19" s="187">
        <f t="shared" si="16"/>
        <v>0</v>
      </c>
      <c r="W19" s="158">
        <f t="shared" si="17"/>
        <v>0</v>
      </c>
      <c r="X19" s="160">
        <f t="shared" si="18"/>
        <v>0</v>
      </c>
      <c r="Y19" s="158">
        <f t="shared" si="19"/>
        <v>0</v>
      </c>
      <c r="Z19" s="175"/>
      <c r="AA19" s="161">
        <f t="shared" si="20"/>
        <v>0</v>
      </c>
      <c r="AB19" s="155" t="e">
        <f t="shared" si="21"/>
        <v>#DIV/0!</v>
      </c>
      <c r="AC19" s="155" t="e">
        <f t="shared" si="22"/>
        <v>#DIV/0!</v>
      </c>
      <c r="AD19" s="155" t="e">
        <f t="shared" si="23"/>
        <v>#DIV/0!</v>
      </c>
      <c r="AE19" s="155" t="e">
        <f t="shared" si="24"/>
        <v>#DIV/0!</v>
      </c>
      <c r="AF19" s="155" t="e">
        <f t="shared" si="25"/>
        <v>#DIV/0!</v>
      </c>
      <c r="AG19" s="155" t="e">
        <f t="shared" si="26"/>
        <v>#DIV/0!</v>
      </c>
      <c r="AH19" s="157" t="e">
        <f t="shared" si="27"/>
        <v>#DIV/0!</v>
      </c>
      <c r="AI19" s="158">
        <f t="shared" si="28"/>
        <v>0</v>
      </c>
      <c r="AJ19" s="162">
        <f t="shared" si="29"/>
        <v>0</v>
      </c>
      <c r="AK19" s="162">
        <f t="shared" si="30"/>
        <v>0</v>
      </c>
      <c r="AL19" s="188" t="s">
        <v>69</v>
      </c>
      <c r="AM19" s="117">
        <f t="shared" si="3"/>
        <v>0</v>
      </c>
      <c r="AN19" s="117">
        <f t="shared" si="4"/>
        <v>0</v>
      </c>
      <c r="AO19" s="188" t="s">
        <v>69</v>
      </c>
    </row>
    <row r="20" spans="1:41" ht="15.75" x14ac:dyDescent="0.2">
      <c r="A20" s="132">
        <v>14</v>
      </c>
      <c r="B20" s="133" t="s">
        <v>16</v>
      </c>
      <c r="C20" s="134">
        <f>+'расчет точ'!C20</f>
        <v>0.89</v>
      </c>
      <c r="D20" s="134">
        <f>+'расчет точ'!D20</f>
        <v>0.89</v>
      </c>
      <c r="E20" s="134">
        <f>+'расчет точ'!E20</f>
        <v>0.89</v>
      </c>
      <c r="F20" s="175"/>
      <c r="G20" s="136">
        <f t="shared" si="5"/>
        <v>0</v>
      </c>
      <c r="H20" s="155">
        <f t="shared" si="0"/>
        <v>0</v>
      </c>
      <c r="I20" s="155">
        <f t="shared" si="6"/>
        <v>0</v>
      </c>
      <c r="J20" s="137">
        <f t="shared" si="1"/>
        <v>0</v>
      </c>
      <c r="K20" s="137">
        <f>ROUND((I20-M20)*(1-$H$35),2)</f>
        <v>0</v>
      </c>
      <c r="L20" s="137">
        <f>ROUND((I20-M20)*$H$35,2)</f>
        <v>0</v>
      </c>
      <c r="M20" s="155">
        <f t="shared" si="9"/>
        <v>0</v>
      </c>
      <c r="N20" s="157">
        <f t="shared" si="10"/>
        <v>0</v>
      </c>
      <c r="O20" s="158">
        <f t="shared" si="11"/>
        <v>0</v>
      </c>
      <c r="P20" s="175"/>
      <c r="Q20" s="136">
        <f t="shared" si="12"/>
        <v>0</v>
      </c>
      <c r="R20" s="140">
        <f t="shared" si="2"/>
        <v>0</v>
      </c>
      <c r="S20" s="140">
        <f t="shared" si="13"/>
        <v>0</v>
      </c>
      <c r="T20" s="186">
        <f t="shared" si="14"/>
        <v>0</v>
      </c>
      <c r="U20" s="187">
        <f t="shared" si="15"/>
        <v>0</v>
      </c>
      <c r="V20" s="187">
        <f t="shared" si="16"/>
        <v>0</v>
      </c>
      <c r="W20" s="158">
        <f t="shared" si="17"/>
        <v>0</v>
      </c>
      <c r="X20" s="160">
        <f t="shared" si="18"/>
        <v>0</v>
      </c>
      <c r="Y20" s="158">
        <f t="shared" si="19"/>
        <v>0</v>
      </c>
      <c r="Z20" s="175"/>
      <c r="AA20" s="161">
        <f t="shared" si="20"/>
        <v>0</v>
      </c>
      <c r="AB20" s="155" t="e">
        <f t="shared" si="21"/>
        <v>#DIV/0!</v>
      </c>
      <c r="AC20" s="155" t="e">
        <f t="shared" si="22"/>
        <v>#DIV/0!</v>
      </c>
      <c r="AD20" s="155" t="e">
        <f t="shared" si="23"/>
        <v>#DIV/0!</v>
      </c>
      <c r="AE20" s="155" t="e">
        <f t="shared" si="24"/>
        <v>#DIV/0!</v>
      </c>
      <c r="AF20" s="155" t="e">
        <f t="shared" si="25"/>
        <v>#DIV/0!</v>
      </c>
      <c r="AG20" s="155" t="e">
        <f t="shared" si="26"/>
        <v>#DIV/0!</v>
      </c>
      <c r="AH20" s="157" t="e">
        <f t="shared" si="27"/>
        <v>#DIV/0!</v>
      </c>
      <c r="AI20" s="158">
        <f t="shared" si="28"/>
        <v>0</v>
      </c>
      <c r="AJ20" s="162">
        <f t="shared" si="29"/>
        <v>0</v>
      </c>
      <c r="AK20" s="162">
        <f t="shared" si="30"/>
        <v>0</v>
      </c>
      <c r="AL20" s="188" t="s">
        <v>69</v>
      </c>
      <c r="AM20" s="117">
        <f t="shared" si="3"/>
        <v>0</v>
      </c>
      <c r="AN20" s="117">
        <f t="shared" si="4"/>
        <v>0</v>
      </c>
      <c r="AO20" s="188" t="s">
        <v>69</v>
      </c>
    </row>
    <row r="21" spans="1:41" ht="15.75" x14ac:dyDescent="0.2">
      <c r="A21" s="132">
        <v>15</v>
      </c>
      <c r="B21" s="133" t="s">
        <v>17</v>
      </c>
      <c r="C21" s="134">
        <f>+'расчет точ'!C21</f>
        <v>0.9</v>
      </c>
      <c r="D21" s="134">
        <f>+'расчет точ'!D21</f>
        <v>0.89</v>
      </c>
      <c r="E21" s="134">
        <f>+'расчет точ'!E21</f>
        <v>0.88</v>
      </c>
      <c r="F21" s="175"/>
      <c r="G21" s="136">
        <f t="shared" si="5"/>
        <v>0</v>
      </c>
      <c r="H21" s="155">
        <f t="shared" si="0"/>
        <v>0</v>
      </c>
      <c r="I21" s="155">
        <f t="shared" si="6"/>
        <v>0</v>
      </c>
      <c r="J21" s="137">
        <f t="shared" si="1"/>
        <v>0</v>
      </c>
      <c r="K21" s="137">
        <f>ROUND((I21-M21)*(1-$H$35),2)</f>
        <v>0</v>
      </c>
      <c r="L21" s="137">
        <f>ROUND((I21-M21)*$H$35,2)</f>
        <v>0</v>
      </c>
      <c r="M21" s="155">
        <f t="shared" si="9"/>
        <v>0</v>
      </c>
      <c r="N21" s="157">
        <f t="shared" si="10"/>
        <v>0</v>
      </c>
      <c r="O21" s="158">
        <f t="shared" si="11"/>
        <v>0</v>
      </c>
      <c r="P21" s="175"/>
      <c r="Q21" s="136">
        <f t="shared" si="12"/>
        <v>0</v>
      </c>
      <c r="R21" s="140">
        <f t="shared" si="2"/>
        <v>0</v>
      </c>
      <c r="S21" s="140">
        <f t="shared" si="13"/>
        <v>0</v>
      </c>
      <c r="T21" s="186">
        <f t="shared" si="14"/>
        <v>0</v>
      </c>
      <c r="U21" s="187">
        <f t="shared" si="15"/>
        <v>0</v>
      </c>
      <c r="V21" s="187">
        <f t="shared" si="16"/>
        <v>0</v>
      </c>
      <c r="W21" s="158">
        <f t="shared" si="17"/>
        <v>0</v>
      </c>
      <c r="X21" s="160">
        <f t="shared" si="18"/>
        <v>0</v>
      </c>
      <c r="Y21" s="158">
        <f t="shared" si="19"/>
        <v>0</v>
      </c>
      <c r="Z21" s="175"/>
      <c r="AA21" s="161">
        <f t="shared" si="20"/>
        <v>0</v>
      </c>
      <c r="AB21" s="155" t="e">
        <f t="shared" si="21"/>
        <v>#DIV/0!</v>
      </c>
      <c r="AC21" s="155" t="e">
        <f t="shared" si="22"/>
        <v>#DIV/0!</v>
      </c>
      <c r="AD21" s="155" t="e">
        <f t="shared" si="23"/>
        <v>#DIV/0!</v>
      </c>
      <c r="AE21" s="155" t="e">
        <f t="shared" si="24"/>
        <v>#DIV/0!</v>
      </c>
      <c r="AF21" s="155" t="e">
        <f t="shared" si="25"/>
        <v>#DIV/0!</v>
      </c>
      <c r="AG21" s="155" t="e">
        <f t="shared" si="26"/>
        <v>#DIV/0!</v>
      </c>
      <c r="AH21" s="157" t="e">
        <f t="shared" si="27"/>
        <v>#DIV/0!</v>
      </c>
      <c r="AI21" s="158">
        <f t="shared" si="28"/>
        <v>0</v>
      </c>
      <c r="AJ21" s="162">
        <f t="shared" si="29"/>
        <v>0</v>
      </c>
      <c r="AK21" s="162">
        <f t="shared" si="30"/>
        <v>0</v>
      </c>
      <c r="AL21" s="188" t="s">
        <v>69</v>
      </c>
      <c r="AM21" s="117">
        <f t="shared" si="3"/>
        <v>0</v>
      </c>
      <c r="AN21" s="117">
        <f t="shared" si="4"/>
        <v>0</v>
      </c>
      <c r="AO21" s="188" t="s">
        <v>69</v>
      </c>
    </row>
    <row r="22" spans="1:41" ht="15.75" x14ac:dyDescent="0.2">
      <c r="A22" s="132">
        <v>16</v>
      </c>
      <c r="B22" s="133" t="s">
        <v>18</v>
      </c>
      <c r="C22" s="134">
        <f>+'расчет точ'!C22</f>
        <v>0.9</v>
      </c>
      <c r="D22" s="134">
        <f>+'расчет точ'!D22</f>
        <v>0.91</v>
      </c>
      <c r="E22" s="134">
        <f>+'расчет точ'!E22</f>
        <v>0.91</v>
      </c>
      <c r="F22" s="132"/>
      <c r="G22" s="136">
        <f t="shared" si="5"/>
        <v>0</v>
      </c>
      <c r="H22" s="155">
        <f t="shared" si="0"/>
        <v>0</v>
      </c>
      <c r="I22" s="155">
        <f t="shared" si="6"/>
        <v>0</v>
      </c>
      <c r="J22" s="137">
        <f t="shared" si="1"/>
        <v>0</v>
      </c>
      <c r="K22" s="137">
        <f t="shared" si="7"/>
        <v>0</v>
      </c>
      <c r="L22" s="137">
        <f t="shared" si="8"/>
        <v>0</v>
      </c>
      <c r="M22" s="155">
        <f t="shared" si="9"/>
        <v>0</v>
      </c>
      <c r="N22" s="157">
        <f t="shared" si="10"/>
        <v>0</v>
      </c>
      <c r="O22" s="158">
        <f t="shared" si="11"/>
        <v>0</v>
      </c>
      <c r="P22" s="177">
        <v>1</v>
      </c>
      <c r="Q22" s="136">
        <f t="shared" si="12"/>
        <v>0.91</v>
      </c>
      <c r="R22" s="140">
        <f t="shared" si="2"/>
        <v>25280119.760000002</v>
      </c>
      <c r="S22" s="140">
        <f t="shared" si="13"/>
        <v>25280119.760000002</v>
      </c>
      <c r="T22" s="190">
        <f t="shared" si="14"/>
        <v>23004908.98</v>
      </c>
      <c r="U22" s="191">
        <f t="shared" si="15"/>
        <v>15413274.85</v>
      </c>
      <c r="V22" s="191">
        <f t="shared" si="16"/>
        <v>7591634.1299999999</v>
      </c>
      <c r="W22" s="158">
        <f t="shared" si="17"/>
        <v>2275210.7799999998</v>
      </c>
      <c r="X22" s="160">
        <f t="shared" si="18"/>
        <v>9.0000000063290828E-2</v>
      </c>
      <c r="Y22" s="158">
        <f t="shared" si="19"/>
        <v>25280119.760000002</v>
      </c>
      <c r="Z22" s="148"/>
      <c r="AA22" s="161">
        <f t="shared" si="20"/>
        <v>0</v>
      </c>
      <c r="AB22" s="155" t="e">
        <f t="shared" si="21"/>
        <v>#DIV/0!</v>
      </c>
      <c r="AC22" s="155" t="e">
        <f t="shared" si="22"/>
        <v>#DIV/0!</v>
      </c>
      <c r="AD22" s="155" t="e">
        <f t="shared" si="23"/>
        <v>#DIV/0!</v>
      </c>
      <c r="AE22" s="155" t="e">
        <f t="shared" si="24"/>
        <v>#DIV/0!</v>
      </c>
      <c r="AF22" s="155" t="e">
        <f t="shared" si="25"/>
        <v>#DIV/0!</v>
      </c>
      <c r="AG22" s="155" t="e">
        <f t="shared" si="26"/>
        <v>#DIV/0!</v>
      </c>
      <c r="AH22" s="157" t="e">
        <f t="shared" si="27"/>
        <v>#DIV/0!</v>
      </c>
      <c r="AI22" s="158">
        <f t="shared" si="28"/>
        <v>0</v>
      </c>
      <c r="AJ22" s="162">
        <f t="shared" si="29"/>
        <v>0</v>
      </c>
      <c r="AK22" s="162">
        <f t="shared" si="30"/>
        <v>23004908.98</v>
      </c>
      <c r="AL22" s="188" t="s">
        <v>69</v>
      </c>
      <c r="AM22" s="117">
        <f t="shared" si="3"/>
        <v>0</v>
      </c>
      <c r="AN22" s="117">
        <f t="shared" si="4"/>
        <v>23004.9</v>
      </c>
      <c r="AO22" s="188" t="s">
        <v>69</v>
      </c>
    </row>
    <row r="23" spans="1:41" ht="15.75" x14ac:dyDescent="0.2">
      <c r="A23" s="132">
        <v>17</v>
      </c>
      <c r="B23" s="133" t="s">
        <v>19</v>
      </c>
      <c r="C23" s="134">
        <f>+'расчет точ'!C23</f>
        <v>0.9</v>
      </c>
      <c r="D23" s="134">
        <f>+'расчет точ'!D23</f>
        <v>0.89</v>
      </c>
      <c r="E23" s="134">
        <f>+'расчет точ'!E23</f>
        <v>0.89</v>
      </c>
      <c r="F23" s="132"/>
      <c r="G23" s="136">
        <f t="shared" si="5"/>
        <v>0</v>
      </c>
      <c r="H23" s="155">
        <f t="shared" si="0"/>
        <v>0</v>
      </c>
      <c r="I23" s="155">
        <f t="shared" si="6"/>
        <v>0</v>
      </c>
      <c r="J23" s="137">
        <f t="shared" si="1"/>
        <v>0</v>
      </c>
      <c r="K23" s="137">
        <f>ROUND((I23-M23)*(1-$H$35),2)</f>
        <v>0</v>
      </c>
      <c r="L23" s="137">
        <f>ROUND((I23-M23)*$H$35,2)</f>
        <v>0</v>
      </c>
      <c r="M23" s="155">
        <f t="shared" si="9"/>
        <v>0</v>
      </c>
      <c r="N23" s="157">
        <f t="shared" si="10"/>
        <v>0</v>
      </c>
      <c r="O23" s="158">
        <f t="shared" si="11"/>
        <v>0</v>
      </c>
      <c r="P23" s="177"/>
      <c r="Q23" s="136">
        <f t="shared" si="12"/>
        <v>0</v>
      </c>
      <c r="R23" s="140">
        <f t="shared" si="2"/>
        <v>0</v>
      </c>
      <c r="S23" s="140">
        <f t="shared" si="13"/>
        <v>0</v>
      </c>
      <c r="T23" s="190">
        <f t="shared" si="14"/>
        <v>0</v>
      </c>
      <c r="U23" s="191">
        <f>ROUND((S23-W23)*(1-$S$35),2)</f>
        <v>0</v>
      </c>
      <c r="V23" s="191">
        <f>ROUND((S23-W23)*$S$35,2)</f>
        <v>0</v>
      </c>
      <c r="W23" s="158">
        <f t="shared" si="17"/>
        <v>0</v>
      </c>
      <c r="X23" s="160">
        <f t="shared" si="18"/>
        <v>0</v>
      </c>
      <c r="Y23" s="158">
        <f t="shared" si="19"/>
        <v>0</v>
      </c>
      <c r="Z23" s="148"/>
      <c r="AA23" s="161">
        <f t="shared" si="20"/>
        <v>0</v>
      </c>
      <c r="AB23" s="155" t="e">
        <f t="shared" si="21"/>
        <v>#DIV/0!</v>
      </c>
      <c r="AC23" s="155" t="e">
        <f t="shared" si="22"/>
        <v>#DIV/0!</v>
      </c>
      <c r="AD23" s="155" t="e">
        <f t="shared" si="23"/>
        <v>#DIV/0!</v>
      </c>
      <c r="AE23" s="155" t="e">
        <f>ROUND((AC23-AG23)*(1-$AC$35),2)</f>
        <v>#DIV/0!</v>
      </c>
      <c r="AF23" s="155" t="e">
        <f>ROUND((AC23-AG23)*$AC$35,2)</f>
        <v>#DIV/0!</v>
      </c>
      <c r="AG23" s="155" t="e">
        <f t="shared" si="26"/>
        <v>#DIV/0!</v>
      </c>
      <c r="AH23" s="157" t="e">
        <f t="shared" si="27"/>
        <v>#DIV/0!</v>
      </c>
      <c r="AI23" s="158">
        <f t="shared" si="28"/>
        <v>0</v>
      </c>
      <c r="AJ23" s="162">
        <f t="shared" si="29"/>
        <v>0</v>
      </c>
      <c r="AK23" s="162">
        <f t="shared" si="30"/>
        <v>0</v>
      </c>
      <c r="AL23" s="188" t="s">
        <v>69</v>
      </c>
      <c r="AM23" s="117">
        <f t="shared" si="3"/>
        <v>0</v>
      </c>
      <c r="AN23" s="117">
        <f>ROUND(AK23/1000,1)</f>
        <v>0</v>
      </c>
      <c r="AO23" s="188" t="s">
        <v>69</v>
      </c>
    </row>
    <row r="24" spans="1:41" ht="15.75" x14ac:dyDescent="0.2">
      <c r="A24" s="132">
        <v>18</v>
      </c>
      <c r="B24" s="149" t="s">
        <v>20</v>
      </c>
      <c r="C24" s="134">
        <f>+'расчет точ'!C24</f>
        <v>0.77</v>
      </c>
      <c r="D24" s="134">
        <f>+'расчет точ'!D24</f>
        <v>0.76</v>
      </c>
      <c r="E24" s="134">
        <f>+'расчет точ'!E24</f>
        <v>0.78</v>
      </c>
      <c r="F24" s="132"/>
      <c r="G24" s="136">
        <f t="shared" si="5"/>
        <v>0</v>
      </c>
      <c r="H24" s="155">
        <f t="shared" si="0"/>
        <v>0</v>
      </c>
      <c r="I24" s="155">
        <f t="shared" si="6"/>
        <v>0</v>
      </c>
      <c r="J24" s="137">
        <f t="shared" si="1"/>
        <v>0</v>
      </c>
      <c r="K24" s="137">
        <f t="shared" si="7"/>
        <v>0</v>
      </c>
      <c r="L24" s="137">
        <f t="shared" si="8"/>
        <v>0</v>
      </c>
      <c r="M24" s="155">
        <f t="shared" si="9"/>
        <v>0</v>
      </c>
      <c r="N24" s="157">
        <f t="shared" si="10"/>
        <v>0</v>
      </c>
      <c r="O24" s="158">
        <f t="shared" si="11"/>
        <v>0</v>
      </c>
      <c r="P24" s="177">
        <v>1</v>
      </c>
      <c r="Q24" s="136">
        <f t="shared" si="12"/>
        <v>0.76</v>
      </c>
      <c r="R24" s="140">
        <f t="shared" si="2"/>
        <v>25280119.77</v>
      </c>
      <c r="S24" s="140">
        <f t="shared" si="13"/>
        <v>25280119.760000002</v>
      </c>
      <c r="T24" s="190">
        <f t="shared" si="14"/>
        <v>19212891.02</v>
      </c>
      <c r="U24" s="191">
        <f>ROUND((S24-W24)*(1-$S$35),2)+0.01</f>
        <v>12872625.15</v>
      </c>
      <c r="V24" s="191">
        <f t="shared" si="16"/>
        <v>6340265.8700000001</v>
      </c>
      <c r="W24" s="158">
        <f>ROUND(S24*(1-D24),2)+0.01</f>
        <v>6067228.75</v>
      </c>
      <c r="X24" s="160">
        <f t="shared" si="18"/>
        <v>0.24000000030063148</v>
      </c>
      <c r="Y24" s="158">
        <f t="shared" si="19"/>
        <v>25280119.760000002</v>
      </c>
      <c r="Z24" s="148"/>
      <c r="AA24" s="161">
        <f t="shared" si="20"/>
        <v>0</v>
      </c>
      <c r="AB24" s="155" t="e">
        <f t="shared" si="21"/>
        <v>#DIV/0!</v>
      </c>
      <c r="AC24" s="155" t="e">
        <f t="shared" si="22"/>
        <v>#DIV/0!</v>
      </c>
      <c r="AD24" s="155" t="e">
        <f t="shared" si="23"/>
        <v>#DIV/0!</v>
      </c>
      <c r="AE24" s="155" t="e">
        <f>ROUND((AC24-AG24)*(1-$AC$35),2)+0.01</f>
        <v>#DIV/0!</v>
      </c>
      <c r="AF24" s="155" t="e">
        <f t="shared" si="25"/>
        <v>#DIV/0!</v>
      </c>
      <c r="AG24" s="155" t="e">
        <f t="shared" si="26"/>
        <v>#DIV/0!</v>
      </c>
      <c r="AH24" s="157" t="e">
        <f t="shared" si="27"/>
        <v>#DIV/0!</v>
      </c>
      <c r="AI24" s="158">
        <f t="shared" si="28"/>
        <v>0</v>
      </c>
      <c r="AJ24" s="162">
        <f t="shared" si="29"/>
        <v>0</v>
      </c>
      <c r="AK24" s="162">
        <f t="shared" si="30"/>
        <v>19212891.02</v>
      </c>
      <c r="AL24" s="188" t="s">
        <v>69</v>
      </c>
      <c r="AM24" s="117">
        <f t="shared" si="3"/>
        <v>0</v>
      </c>
      <c r="AN24" s="117">
        <f>ROUND(AK24/1000,1)</f>
        <v>19212.900000000001</v>
      </c>
      <c r="AO24" s="188" t="s">
        <v>69</v>
      </c>
    </row>
    <row r="25" spans="1:41" ht="15.75" x14ac:dyDescent="0.2">
      <c r="A25" s="132"/>
      <c r="B25" s="133" t="s">
        <v>58</v>
      </c>
      <c r="C25" s="134"/>
      <c r="D25" s="134"/>
      <c r="E25" s="134"/>
      <c r="F25" s="132">
        <f>SUM(F7:F24)</f>
        <v>1</v>
      </c>
      <c r="G25" s="164">
        <f t="shared" ref="G25:M25" si="31">SUM(G7:G24)</f>
        <v>0.9</v>
      </c>
      <c r="H25" s="155">
        <f t="shared" si="31"/>
        <v>23730111.109999999</v>
      </c>
      <c r="I25" s="155">
        <f t="shared" si="31"/>
        <v>23730111.109999999</v>
      </c>
      <c r="J25" s="137">
        <f t="shared" si="31"/>
        <v>21357100</v>
      </c>
      <c r="K25" s="137">
        <f t="shared" si="31"/>
        <v>14309200</v>
      </c>
      <c r="L25" s="137">
        <f t="shared" si="31"/>
        <v>7047900</v>
      </c>
      <c r="M25" s="155">
        <f t="shared" si="31"/>
        <v>2373011.11</v>
      </c>
      <c r="N25" s="157">
        <f t="shared" si="10"/>
        <v>9.9999999957859451E-2</v>
      </c>
      <c r="O25" s="158">
        <f t="shared" si="11"/>
        <v>23730111.109999999</v>
      </c>
      <c r="P25" s="177">
        <f t="shared" ref="P25" si="32">SUM(P7:P24)</f>
        <v>2</v>
      </c>
      <c r="Q25" s="155">
        <f t="shared" ref="Q25:W25" si="33">SUM(Q7:Q24)</f>
        <v>1.67</v>
      </c>
      <c r="R25" s="155">
        <f t="shared" si="33"/>
        <v>50560239.530000001</v>
      </c>
      <c r="S25" s="155">
        <f t="shared" si="33"/>
        <v>50560239.520000003</v>
      </c>
      <c r="T25" s="192">
        <f t="shared" si="33"/>
        <v>42217800</v>
      </c>
      <c r="U25" s="192">
        <f t="shared" si="33"/>
        <v>28285900</v>
      </c>
      <c r="V25" s="192">
        <f t="shared" si="33"/>
        <v>13931900</v>
      </c>
      <c r="W25" s="155">
        <f t="shared" si="33"/>
        <v>8342439.5299999993</v>
      </c>
      <c r="X25" s="160">
        <f t="shared" si="18"/>
        <v>0.16500000018196115</v>
      </c>
      <c r="Y25" s="158">
        <f t="shared" si="19"/>
        <v>25280119.760000002</v>
      </c>
      <c r="Z25" s="155">
        <f t="shared" ref="Z25:AG25" si="34">SUM(Z7:Z24)</f>
        <v>0</v>
      </c>
      <c r="AA25" s="161">
        <f t="shared" si="34"/>
        <v>0</v>
      </c>
      <c r="AB25" s="155" t="e">
        <f t="shared" si="34"/>
        <v>#DIV/0!</v>
      </c>
      <c r="AC25" s="155" t="e">
        <f t="shared" si="34"/>
        <v>#DIV/0!</v>
      </c>
      <c r="AD25" s="155" t="e">
        <f t="shared" si="34"/>
        <v>#DIV/0!</v>
      </c>
      <c r="AE25" s="155" t="e">
        <f t="shared" si="34"/>
        <v>#DIV/0!</v>
      </c>
      <c r="AF25" s="155" t="e">
        <f t="shared" si="34"/>
        <v>#DIV/0!</v>
      </c>
      <c r="AG25" s="155" t="e">
        <f t="shared" si="34"/>
        <v>#DIV/0!</v>
      </c>
      <c r="AH25" s="157" t="e">
        <f t="shared" si="27"/>
        <v>#DIV/0!</v>
      </c>
      <c r="AI25" s="158">
        <f t="shared" si="28"/>
        <v>0</v>
      </c>
      <c r="AJ25" s="155">
        <f t="shared" ref="AJ25:AN25" si="35">SUM(AJ7:AJ24)</f>
        <v>21357100</v>
      </c>
      <c r="AK25" s="155">
        <f t="shared" si="35"/>
        <v>42217800</v>
      </c>
      <c r="AL25" s="188" t="s">
        <v>69</v>
      </c>
      <c r="AM25" s="155">
        <f t="shared" si="35"/>
        <v>21357.1</v>
      </c>
      <c r="AN25" s="155">
        <f t="shared" si="35"/>
        <v>42217.8</v>
      </c>
      <c r="AO25" s="188" t="s">
        <v>69</v>
      </c>
    </row>
    <row r="26" spans="1:41" ht="15.75" hidden="1" x14ac:dyDescent="0.2">
      <c r="A26" s="154" t="s">
        <v>60</v>
      </c>
      <c r="B26" s="133" t="s">
        <v>59</v>
      </c>
      <c r="C26" s="134"/>
      <c r="D26" s="134"/>
      <c r="E26" s="134"/>
      <c r="F26" s="148"/>
      <c r="G26" s="136">
        <f>C26*F26</f>
        <v>0</v>
      </c>
      <c r="H26" s="155">
        <f>K26+L26+M26</f>
        <v>0</v>
      </c>
      <c r="I26" s="155">
        <f>ROUND($H$33/$G$29*F26,2)</f>
        <v>0</v>
      </c>
      <c r="J26" s="156">
        <f>K26+L26</f>
        <v>0</v>
      </c>
      <c r="K26" s="156">
        <f>ROUND((I26-M26)*(1-$H$35),2)</f>
        <v>0</v>
      </c>
      <c r="L26" s="156">
        <f>ROUND((I26-M26)*$H$35,2)</f>
        <v>0</v>
      </c>
      <c r="M26" s="155">
        <f>ROUNDUP(I26*(1-C26),2)</f>
        <v>0</v>
      </c>
      <c r="N26" s="157">
        <f t="shared" si="10"/>
        <v>0</v>
      </c>
      <c r="O26" s="158">
        <f t="shared" si="11"/>
        <v>0</v>
      </c>
      <c r="P26" s="148"/>
      <c r="Q26" s="136">
        <f>P26*D26</f>
        <v>0</v>
      </c>
      <c r="R26" s="140">
        <f t="shared" si="2"/>
        <v>0</v>
      </c>
      <c r="S26" s="140">
        <f>ROUND($S$33/$Q$29*P26,2)</f>
        <v>0</v>
      </c>
      <c r="T26" s="186">
        <f>U26+V26</f>
        <v>0</v>
      </c>
      <c r="U26" s="187">
        <f>ROUND((S26-W26)*(1-$S$35),2)</f>
        <v>0</v>
      </c>
      <c r="V26" s="187">
        <f>ROUND((S26-W26)*$S$35,2)</f>
        <v>0</v>
      </c>
      <c r="W26" s="158">
        <f>ROUND(S26*(1-D26),2)</f>
        <v>0</v>
      </c>
      <c r="X26" s="160">
        <f t="shared" si="18"/>
        <v>0</v>
      </c>
      <c r="Y26" s="158">
        <f t="shared" si="19"/>
        <v>0</v>
      </c>
      <c r="Z26" s="148"/>
      <c r="AA26" s="161"/>
      <c r="AB26" s="155" t="e">
        <f t="shared" si="21"/>
        <v>#DIV/0!</v>
      </c>
      <c r="AC26" s="155" t="e">
        <f>ROUND($AC$33/$AA$29*Z26,2)</f>
        <v>#DIV/0!</v>
      </c>
      <c r="AD26" s="155" t="e">
        <f>AE26+AF26</f>
        <v>#DIV/0!</v>
      </c>
      <c r="AE26" s="155" t="e">
        <f>ROUND((AC26-AG26)*(1-$AC$35),2)</f>
        <v>#DIV/0!</v>
      </c>
      <c r="AF26" s="155" t="e">
        <f>ROUND((AC26-AG26)*$AC$35,2)</f>
        <v>#DIV/0!</v>
      </c>
      <c r="AG26" s="155" t="e">
        <f>ROUNDUP(AC26*(1-E26),2)</f>
        <v>#DIV/0!</v>
      </c>
      <c r="AH26" s="157" t="e">
        <f t="shared" si="27"/>
        <v>#DIV/0!</v>
      </c>
      <c r="AI26" s="158">
        <f t="shared" si="28"/>
        <v>0</v>
      </c>
      <c r="AJ26" s="162">
        <f t="shared" si="29"/>
        <v>0</v>
      </c>
      <c r="AK26" s="162">
        <f t="shared" si="30"/>
        <v>0</v>
      </c>
      <c r="AL26" s="162" t="e">
        <f t="shared" ref="AL26:AL28" si="36">AE26+AF26</f>
        <v>#DIV/0!</v>
      </c>
      <c r="AM26" s="117">
        <f t="shared" ref="AM26:AO28" si="37">ROUND(AJ26/1000,1)</f>
        <v>0</v>
      </c>
      <c r="AN26" s="117">
        <f t="shared" si="37"/>
        <v>0</v>
      </c>
      <c r="AO26" s="117" t="e">
        <f t="shared" si="37"/>
        <v>#DIV/0!</v>
      </c>
    </row>
    <row r="27" spans="1:41" ht="15.75" hidden="1" x14ac:dyDescent="0.2">
      <c r="A27" s="154" t="s">
        <v>61</v>
      </c>
      <c r="B27" s="133" t="s">
        <v>59</v>
      </c>
      <c r="C27" s="134"/>
      <c r="D27" s="134"/>
      <c r="E27" s="134"/>
      <c r="F27" s="148"/>
      <c r="G27" s="136">
        <f>C27*F27</f>
        <v>0</v>
      </c>
      <c r="H27" s="155">
        <f>K27+L27+M27</f>
        <v>0</v>
      </c>
      <c r="I27" s="155">
        <f>ROUND($H$33/$G$29*F27,2)</f>
        <v>0</v>
      </c>
      <c r="J27" s="156">
        <f>K27+L27</f>
        <v>0</v>
      </c>
      <c r="K27" s="156">
        <f>ROUND((I27-M27)*(1-$H$35),2)</f>
        <v>0</v>
      </c>
      <c r="L27" s="156">
        <f>ROUND((I27-M27)*$H$35,2)</f>
        <v>0</v>
      </c>
      <c r="M27" s="155">
        <f>ROUNDUP(I27*(1-C27),2)</f>
        <v>0</v>
      </c>
      <c r="N27" s="157">
        <f t="shared" si="10"/>
        <v>0</v>
      </c>
      <c r="O27" s="158">
        <f t="shared" si="11"/>
        <v>0</v>
      </c>
      <c r="P27" s="148"/>
      <c r="Q27" s="136">
        <f>P27*D27</f>
        <v>0</v>
      </c>
      <c r="R27" s="140">
        <f t="shared" si="2"/>
        <v>0</v>
      </c>
      <c r="S27" s="140">
        <f>ROUND($S$33/$Q$29*P27,2)</f>
        <v>0</v>
      </c>
      <c r="T27" s="186">
        <f>U27+V27</f>
        <v>0</v>
      </c>
      <c r="U27" s="187">
        <f>ROUND((S27-W27)*(1-$S$35),2)</f>
        <v>0</v>
      </c>
      <c r="V27" s="187">
        <f>ROUND((S27-W27)*$S$35,2)</f>
        <v>0</v>
      </c>
      <c r="W27" s="158">
        <f>ROUND(S27*(1-D27),2)</f>
        <v>0</v>
      </c>
      <c r="X27" s="160">
        <f t="shared" si="18"/>
        <v>0</v>
      </c>
      <c r="Y27" s="158">
        <f t="shared" si="19"/>
        <v>0</v>
      </c>
      <c r="Z27" s="148"/>
      <c r="AA27" s="161"/>
      <c r="AB27" s="155" t="e">
        <f t="shared" si="21"/>
        <v>#DIV/0!</v>
      </c>
      <c r="AC27" s="155" t="e">
        <f>ROUND($AC$33/$AA$29*Z27,2)</f>
        <v>#DIV/0!</v>
      </c>
      <c r="AD27" s="155" t="e">
        <f>AE27+AF27</f>
        <v>#DIV/0!</v>
      </c>
      <c r="AE27" s="155" t="e">
        <f>ROUND((AC27-AG27)*(1-$AC$35),2)</f>
        <v>#DIV/0!</v>
      </c>
      <c r="AF27" s="155" t="e">
        <f>ROUND((AC27-AG27)*$AC$35,2)</f>
        <v>#DIV/0!</v>
      </c>
      <c r="AG27" s="155" t="e">
        <f>ROUNDUP(AC27*(1-E27),2)</f>
        <v>#DIV/0!</v>
      </c>
      <c r="AH27" s="157" t="e">
        <f t="shared" si="27"/>
        <v>#DIV/0!</v>
      </c>
      <c r="AI27" s="158">
        <f t="shared" si="28"/>
        <v>0</v>
      </c>
      <c r="AJ27" s="162">
        <f t="shared" si="29"/>
        <v>0</v>
      </c>
      <c r="AK27" s="162">
        <f t="shared" si="30"/>
        <v>0</v>
      </c>
      <c r="AL27" s="162" t="e">
        <f t="shared" si="36"/>
        <v>#DIV/0!</v>
      </c>
      <c r="AM27" s="117">
        <f t="shared" si="37"/>
        <v>0</v>
      </c>
      <c r="AN27" s="117">
        <f t="shared" si="37"/>
        <v>0</v>
      </c>
      <c r="AO27" s="117" t="e">
        <f t="shared" si="37"/>
        <v>#DIV/0!</v>
      </c>
    </row>
    <row r="28" spans="1:41" ht="15.75" hidden="1" x14ac:dyDescent="0.2">
      <c r="A28" s="154" t="s">
        <v>62</v>
      </c>
      <c r="B28" s="133" t="s">
        <v>59</v>
      </c>
      <c r="C28" s="134"/>
      <c r="D28" s="134"/>
      <c r="E28" s="134"/>
      <c r="F28" s="148"/>
      <c r="G28" s="136">
        <f>C28*F28</f>
        <v>0</v>
      </c>
      <c r="H28" s="155">
        <f>K28+L28+M28</f>
        <v>0</v>
      </c>
      <c r="I28" s="155">
        <f>ROUND($H$33/$G$29*F28,2)</f>
        <v>0</v>
      </c>
      <c r="J28" s="156">
        <f>K28+L28</f>
        <v>0</v>
      </c>
      <c r="K28" s="156">
        <f>ROUND((I28-M28)*(1-$H$35),2)</f>
        <v>0</v>
      </c>
      <c r="L28" s="156">
        <f>ROUND((I28-M28)*$H$35,2)</f>
        <v>0</v>
      </c>
      <c r="M28" s="155">
        <f>ROUNDUP(I28*(1-C28),2)</f>
        <v>0</v>
      </c>
      <c r="N28" s="157">
        <f t="shared" si="10"/>
        <v>0</v>
      </c>
      <c r="O28" s="158">
        <f t="shared" si="11"/>
        <v>0</v>
      </c>
      <c r="P28" s="148"/>
      <c r="Q28" s="136">
        <f>P28*D28</f>
        <v>0</v>
      </c>
      <c r="R28" s="140">
        <f t="shared" si="2"/>
        <v>0</v>
      </c>
      <c r="S28" s="140">
        <f>ROUND($S$33/$Q$29*P28,2)</f>
        <v>0</v>
      </c>
      <c r="T28" s="186">
        <f>U28+V28</f>
        <v>0</v>
      </c>
      <c r="U28" s="187">
        <f>ROUND((S28-W28)*(1-$S$35),2)</f>
        <v>0</v>
      </c>
      <c r="V28" s="187">
        <f>ROUND((S28-W28)*$S$35,2)</f>
        <v>0</v>
      </c>
      <c r="W28" s="158">
        <f>ROUND(S28*(1-D28),2)</f>
        <v>0</v>
      </c>
      <c r="X28" s="160">
        <f t="shared" si="18"/>
        <v>0</v>
      </c>
      <c r="Y28" s="158">
        <f t="shared" si="19"/>
        <v>0</v>
      </c>
      <c r="Z28" s="148"/>
      <c r="AA28" s="161"/>
      <c r="AB28" s="155" t="e">
        <f t="shared" si="21"/>
        <v>#DIV/0!</v>
      </c>
      <c r="AC28" s="155" t="e">
        <f>ROUND($AC$33/$AA$29*Z28,2)</f>
        <v>#DIV/0!</v>
      </c>
      <c r="AD28" s="155" t="e">
        <f>AE28+AF28</f>
        <v>#DIV/0!</v>
      </c>
      <c r="AE28" s="155" t="e">
        <f>ROUND((AC28-AG28)*(1-$AC$35),2)</f>
        <v>#DIV/0!</v>
      </c>
      <c r="AF28" s="155" t="e">
        <f>ROUND((AC28-AG28)*$AC$35,2)</f>
        <v>#DIV/0!</v>
      </c>
      <c r="AG28" s="155" t="e">
        <f>ROUNDUP(AC28*(1-E28),2)</f>
        <v>#DIV/0!</v>
      </c>
      <c r="AH28" s="157" t="e">
        <f t="shared" si="27"/>
        <v>#DIV/0!</v>
      </c>
      <c r="AI28" s="158">
        <f t="shared" si="28"/>
        <v>0</v>
      </c>
      <c r="AJ28" s="162">
        <f t="shared" si="29"/>
        <v>0</v>
      </c>
      <c r="AK28" s="162">
        <f t="shared" si="30"/>
        <v>0</v>
      </c>
      <c r="AL28" s="162" t="e">
        <f t="shared" si="36"/>
        <v>#DIV/0!</v>
      </c>
      <c r="AM28" s="117">
        <f t="shared" si="37"/>
        <v>0</v>
      </c>
      <c r="AN28" s="117">
        <f t="shared" si="37"/>
        <v>0</v>
      </c>
      <c r="AO28" s="117" t="e">
        <f t="shared" si="37"/>
        <v>#DIV/0!</v>
      </c>
    </row>
    <row r="29" spans="1:41" ht="15.75" hidden="1" x14ac:dyDescent="0.2">
      <c r="A29" s="132"/>
      <c r="B29" s="133" t="s">
        <v>25</v>
      </c>
      <c r="C29" s="163"/>
      <c r="D29" s="163"/>
      <c r="E29" s="163"/>
      <c r="F29" s="148">
        <f>F25+F26+F27+F28</f>
        <v>1</v>
      </c>
      <c r="G29" s="164">
        <f t="shared" ref="G29:AG29" si="38">G25+G26+G27+G28</f>
        <v>0.9</v>
      </c>
      <c r="H29" s="155">
        <f t="shared" si="38"/>
        <v>23730111.109999999</v>
      </c>
      <c r="I29" s="155">
        <f t="shared" si="38"/>
        <v>23730111.109999999</v>
      </c>
      <c r="J29" s="156">
        <f t="shared" si="38"/>
        <v>21357100</v>
      </c>
      <c r="K29" s="156">
        <f t="shared" si="38"/>
        <v>14309200</v>
      </c>
      <c r="L29" s="156">
        <f t="shared" si="38"/>
        <v>7047900</v>
      </c>
      <c r="M29" s="155">
        <f t="shared" si="38"/>
        <v>2373011.11</v>
      </c>
      <c r="N29" s="157">
        <f t="shared" si="10"/>
        <v>9.9999999957859451E-2</v>
      </c>
      <c r="O29" s="158">
        <f t="shared" si="11"/>
        <v>23730111.109999999</v>
      </c>
      <c r="P29" s="148">
        <f t="shared" ref="P29" si="39">P25+P26+P27+P28</f>
        <v>2</v>
      </c>
      <c r="Q29" s="161">
        <f t="shared" si="38"/>
        <v>1.67</v>
      </c>
      <c r="R29" s="148">
        <f t="shared" si="38"/>
        <v>50560239.530000001</v>
      </c>
      <c r="S29" s="148">
        <f t="shared" si="38"/>
        <v>50560239.520000003</v>
      </c>
      <c r="T29" s="189">
        <f t="shared" si="38"/>
        <v>42217800</v>
      </c>
      <c r="U29" s="189">
        <f t="shared" si="38"/>
        <v>28285900</v>
      </c>
      <c r="V29" s="189">
        <f t="shared" si="38"/>
        <v>13931900</v>
      </c>
      <c r="W29" s="148">
        <f t="shared" si="38"/>
        <v>8342439.5299999993</v>
      </c>
      <c r="X29" s="160">
        <f t="shared" si="18"/>
        <v>0.16500000018196115</v>
      </c>
      <c r="Y29" s="158">
        <f t="shared" si="19"/>
        <v>25280119.760000002</v>
      </c>
      <c r="Z29" s="148">
        <f t="shared" si="38"/>
        <v>0</v>
      </c>
      <c r="AA29" s="161">
        <f t="shared" si="38"/>
        <v>0</v>
      </c>
      <c r="AB29" s="155" t="e">
        <f t="shared" si="38"/>
        <v>#DIV/0!</v>
      </c>
      <c r="AC29" s="155" t="e">
        <f t="shared" si="38"/>
        <v>#DIV/0!</v>
      </c>
      <c r="AD29" s="155" t="e">
        <f t="shared" si="38"/>
        <v>#DIV/0!</v>
      </c>
      <c r="AE29" s="155" t="e">
        <f t="shared" si="38"/>
        <v>#DIV/0!</v>
      </c>
      <c r="AF29" s="155" t="e">
        <f t="shared" si="38"/>
        <v>#DIV/0!</v>
      </c>
      <c r="AG29" s="155" t="e">
        <f t="shared" si="38"/>
        <v>#DIV/0!</v>
      </c>
      <c r="AH29" s="157" t="e">
        <f t="shared" si="27"/>
        <v>#DIV/0!</v>
      </c>
      <c r="AI29" s="158">
        <f t="shared" si="28"/>
        <v>0</v>
      </c>
      <c r="AJ29" s="155">
        <f t="shared" ref="AJ29:AO29" si="40">AJ25+AJ26+AJ27+AJ28</f>
        <v>21357100</v>
      </c>
      <c r="AK29" s="155">
        <f t="shared" si="40"/>
        <v>42217800</v>
      </c>
      <c r="AL29" s="155" t="e">
        <f t="shared" si="40"/>
        <v>#VALUE!</v>
      </c>
      <c r="AM29" s="155">
        <f t="shared" si="40"/>
        <v>21357.1</v>
      </c>
      <c r="AN29" s="155">
        <f t="shared" si="40"/>
        <v>42217.8</v>
      </c>
      <c r="AO29" s="155" t="e">
        <f t="shared" si="40"/>
        <v>#VALUE!</v>
      </c>
    </row>
    <row r="30" spans="1:41" hidden="1" x14ac:dyDescent="0.2">
      <c r="K30" s="172">
        <f>+K29+L29</f>
        <v>21357100</v>
      </c>
      <c r="O30" s="167"/>
      <c r="U30" s="119">
        <f>+U29+V29</f>
        <v>42217800</v>
      </c>
      <c r="X30" s="168"/>
      <c r="Y30" s="158"/>
      <c r="AM30" s="169">
        <f>ROUND(AJ30/1000,1)</f>
        <v>0</v>
      </c>
      <c r="AN30" s="169">
        <f>ROUND(AK30/1000,1)</f>
        <v>0</v>
      </c>
      <c r="AO30" s="169">
        <f>ROUND(AL30/1000,1)</f>
        <v>0</v>
      </c>
    </row>
    <row r="31" spans="1:41" ht="15" hidden="1" x14ac:dyDescent="0.25">
      <c r="G31" s="170" t="s">
        <v>30</v>
      </c>
      <c r="H31" s="171">
        <v>14309200</v>
      </c>
      <c r="I31" s="172">
        <f>H31-K29</f>
        <v>0</v>
      </c>
      <c r="S31" s="171">
        <v>28285900</v>
      </c>
      <c r="T31" s="171">
        <f>S31-U29</f>
        <v>0</v>
      </c>
      <c r="AC31" s="171"/>
      <c r="AD31" s="172" t="e">
        <f>AC31-AE29</f>
        <v>#DIV/0!</v>
      </c>
    </row>
    <row r="32" spans="1:41" ht="15" hidden="1" x14ac:dyDescent="0.25">
      <c r="G32" s="170" t="s">
        <v>29</v>
      </c>
      <c r="H32" s="171">
        <v>7047900</v>
      </c>
      <c r="I32" s="172">
        <f>H32-L29</f>
        <v>0</v>
      </c>
      <c r="S32" s="171">
        <v>13931900</v>
      </c>
      <c r="T32" s="171">
        <f>S32-V29</f>
        <v>0</v>
      </c>
      <c r="AC32" s="171"/>
      <c r="AD32" s="172" t="e">
        <f>AC32-AF29</f>
        <v>#DIV/0!</v>
      </c>
    </row>
    <row r="33" spans="7:29" hidden="1" x14ac:dyDescent="0.2">
      <c r="G33" s="170" t="s">
        <v>36</v>
      </c>
      <c r="H33" s="173">
        <f>SUM(H31:H32)</f>
        <v>21357100</v>
      </c>
      <c r="S33" s="173">
        <f>SUM(S31:S32)</f>
        <v>42217800</v>
      </c>
      <c r="T33" s="173"/>
      <c r="AC33" s="173">
        <f>SUM(AC31:AC32)</f>
        <v>0</v>
      </c>
    </row>
    <row r="34" spans="7:29" hidden="1" x14ac:dyDescent="0.2">
      <c r="AC34" s="170"/>
    </row>
    <row r="35" spans="7:29" hidden="1" x14ac:dyDescent="0.2">
      <c r="H35" s="119">
        <f>H32/H33</f>
        <v>0.33000266890167673</v>
      </c>
      <c r="S35" s="119">
        <f>S32/S33</f>
        <v>0.33000061585397628</v>
      </c>
      <c r="AC35" s="119" t="e">
        <f>AC32/AC33</f>
        <v>#DIV/0!</v>
      </c>
    </row>
  </sheetData>
  <sheetProtection formatCells="0" formatColumns="0" formatRows="0" insertColumns="0" insertRows="0" insertHyperlinks="0" deleteColumns="0" deleteRows="0" sort="0" autoFilter="0" pivotTables="0"/>
  <mergeCells count="28">
    <mergeCell ref="AM3:AO5"/>
    <mergeCell ref="F4:O4"/>
    <mergeCell ref="P4:Y4"/>
    <mergeCell ref="Z4:AI4"/>
    <mergeCell ref="F5:F6"/>
    <mergeCell ref="G5:G6"/>
    <mergeCell ref="H5:H6"/>
    <mergeCell ref="I5:M5"/>
    <mergeCell ref="N5:N6"/>
    <mergeCell ref="O5:O6"/>
    <mergeCell ref="AJ3:AL5"/>
    <mergeCell ref="AH5:AH6"/>
    <mergeCell ref="AI5:AI6"/>
    <mergeCell ref="X5:X6"/>
    <mergeCell ref="Y5:Y6"/>
    <mergeCell ref="Z5:Z6"/>
    <mergeCell ref="A3:A6"/>
    <mergeCell ref="B3:B6"/>
    <mergeCell ref="C3:E5"/>
    <mergeCell ref="F3:AI3"/>
    <mergeCell ref="P5:P6"/>
    <mergeCell ref="Q5:Q6"/>
    <mergeCell ref="R5:R6"/>
    <mergeCell ref="S5:W5"/>
    <mergeCell ref="AA5:AA6"/>
    <mergeCell ref="AB5:AB6"/>
    <mergeCell ref="AC5:AG5"/>
    <mergeCell ref="A2:AO2"/>
  </mergeCells>
  <pageMargins left="0.78740157480314965" right="0.39370078740157483" top="0.78740157480314965" bottom="0.78740157480314965" header="0.31496062992125984" footer="0.31496062992125984"/>
  <pageSetup paperSize="9" scale="59" fitToWidth="2" fitToHeight="0" orientation="landscape" r:id="rId1"/>
  <headerFooter>
    <oddHeader>&amp;R&amp;P</oddHeader>
  </headerFooter>
  <colBreaks count="2" manualBreakCount="2">
    <brk id="17" max="24" man="1"/>
    <brk id="27" max="2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O72"/>
  <sheetViews>
    <sheetView zoomScale="85" zoomScaleNormal="85" workbookViewId="0">
      <pane xSplit="2" ySplit="5" topLeftCell="M6" activePane="bottomRight" state="frozen"/>
      <selection activeCell="H6" sqref="H6"/>
      <selection pane="topRight" activeCell="H6" sqref="H6"/>
      <selection pane="bottomLeft" activeCell="H6" sqref="H6"/>
      <selection pane="bottomRight" sqref="A1:AO24"/>
    </sheetView>
  </sheetViews>
  <sheetFormatPr defaultRowHeight="12.75" x14ac:dyDescent="0.2"/>
  <cols>
    <col min="1" max="1" width="6.42578125" style="119" customWidth="1"/>
    <col min="2" max="2" width="22.7109375" style="119" customWidth="1"/>
    <col min="3" max="3" width="7.28515625" style="119" customWidth="1"/>
    <col min="4" max="5" width="6.7109375" style="119" bestFit="1" customWidth="1"/>
    <col min="6" max="6" width="7.7109375" style="119" customWidth="1"/>
    <col min="7" max="7" width="8.5703125" style="119" hidden="1" customWidth="1"/>
    <col min="8" max="8" width="18.85546875" style="119" customWidth="1"/>
    <col min="9" max="9" width="18.85546875" style="119" bestFit="1" customWidth="1"/>
    <col min="10" max="12" width="18.85546875" style="119" customWidth="1"/>
    <col min="13" max="13" width="17.5703125" style="119" customWidth="1"/>
    <col min="14" max="14" width="21.42578125" style="119" hidden="1" customWidth="1"/>
    <col min="15" max="15" width="15.85546875" style="119" customWidth="1"/>
    <col min="16" max="16" width="9.85546875" style="119" customWidth="1"/>
    <col min="17" max="17" width="9.85546875" style="119" hidden="1" customWidth="1"/>
    <col min="18" max="18" width="18" style="119" bestFit="1" customWidth="1"/>
    <col min="19" max="21" width="18.85546875" style="119" customWidth="1"/>
    <col min="22" max="22" width="18.5703125" style="119" customWidth="1"/>
    <col min="23" max="23" width="17.5703125" style="119" bestFit="1" customWidth="1"/>
    <col min="24" max="24" width="21.7109375" style="119" hidden="1" customWidth="1"/>
    <col min="25" max="25" width="15.28515625" style="119" customWidth="1"/>
    <col min="26" max="26" width="14.7109375" style="119" hidden="1" customWidth="1"/>
    <col min="27" max="27" width="11" style="119" hidden="1" customWidth="1"/>
    <col min="28" max="28" width="17.140625" style="119" hidden="1" customWidth="1"/>
    <col min="29" max="31" width="20" style="119" hidden="1" customWidth="1"/>
    <col min="32" max="32" width="18.5703125" style="119" hidden="1" customWidth="1"/>
    <col min="33" max="33" width="18.85546875" style="119" hidden="1" customWidth="1"/>
    <col min="34" max="34" width="20.42578125" style="119" hidden="1" customWidth="1"/>
    <col min="35" max="35" width="16.7109375" style="119" hidden="1" customWidth="1"/>
    <col min="36" max="37" width="15.7109375" style="119" bestFit="1" customWidth="1"/>
    <col min="38" max="38" width="16.5703125" style="119" customWidth="1"/>
    <col min="39" max="39" width="12" style="119" customWidth="1"/>
    <col min="40" max="40" width="14.28515625" style="119" customWidth="1"/>
    <col min="41" max="41" width="13.85546875" style="119" customWidth="1"/>
    <col min="42" max="16384" width="9.140625" style="119"/>
  </cols>
  <sheetData>
    <row r="1" spans="1:41" x14ac:dyDescent="0.2">
      <c r="AM1" s="119" t="s">
        <v>74</v>
      </c>
    </row>
    <row r="2" spans="1:41" s="193" customFormat="1" ht="15.75" customHeight="1" x14ac:dyDescent="0.2">
      <c r="A2" s="247" t="s">
        <v>39</v>
      </c>
      <c r="B2" s="248" t="s">
        <v>40</v>
      </c>
      <c r="C2" s="249" t="s">
        <v>41</v>
      </c>
      <c r="D2" s="250"/>
      <c r="E2" s="250"/>
      <c r="F2" s="278" t="s">
        <v>71</v>
      </c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57" t="s">
        <v>64</v>
      </c>
      <c r="AK2" s="257"/>
      <c r="AL2" s="257"/>
      <c r="AM2" s="257" t="s">
        <v>65</v>
      </c>
      <c r="AN2" s="257"/>
      <c r="AO2" s="257"/>
    </row>
    <row r="3" spans="1:41" ht="15.75" customHeight="1" x14ac:dyDescent="0.2">
      <c r="A3" s="247"/>
      <c r="B3" s="248"/>
      <c r="C3" s="250"/>
      <c r="D3" s="250"/>
      <c r="E3" s="250"/>
      <c r="F3" s="274" t="s">
        <v>42</v>
      </c>
      <c r="G3" s="274"/>
      <c r="H3" s="274"/>
      <c r="I3" s="274"/>
      <c r="J3" s="274"/>
      <c r="K3" s="274"/>
      <c r="L3" s="274"/>
      <c r="M3" s="274"/>
      <c r="N3" s="274"/>
      <c r="O3" s="274"/>
      <c r="P3" s="275" t="s">
        <v>43</v>
      </c>
      <c r="Q3" s="275"/>
      <c r="R3" s="275"/>
      <c r="S3" s="275"/>
      <c r="T3" s="275"/>
      <c r="U3" s="275"/>
      <c r="V3" s="275"/>
      <c r="W3" s="275"/>
      <c r="X3" s="275"/>
      <c r="Y3" s="275"/>
      <c r="Z3" s="275" t="s">
        <v>67</v>
      </c>
      <c r="AA3" s="275"/>
      <c r="AB3" s="275"/>
      <c r="AC3" s="275"/>
      <c r="AD3" s="275"/>
      <c r="AE3" s="275"/>
      <c r="AF3" s="275"/>
      <c r="AG3" s="275"/>
      <c r="AH3" s="275"/>
      <c r="AI3" s="275"/>
      <c r="AJ3" s="257"/>
      <c r="AK3" s="257"/>
      <c r="AL3" s="257"/>
      <c r="AM3" s="257"/>
      <c r="AN3" s="257"/>
      <c r="AO3" s="257"/>
    </row>
    <row r="4" spans="1:41" ht="15.75" customHeight="1" x14ac:dyDescent="0.2">
      <c r="A4" s="247"/>
      <c r="B4" s="248"/>
      <c r="C4" s="250"/>
      <c r="D4" s="250"/>
      <c r="E4" s="250"/>
      <c r="F4" s="252" t="s">
        <v>44</v>
      </c>
      <c r="G4" s="252"/>
      <c r="H4" s="249" t="s">
        <v>45</v>
      </c>
      <c r="I4" s="249" t="s">
        <v>46</v>
      </c>
      <c r="J4" s="249"/>
      <c r="K4" s="249"/>
      <c r="L4" s="249"/>
      <c r="M4" s="249"/>
      <c r="N4" s="254" t="s">
        <v>63</v>
      </c>
      <c r="O4" s="255" t="s">
        <v>57</v>
      </c>
      <c r="P4" s="252" t="s">
        <v>44</v>
      </c>
      <c r="Q4" s="252"/>
      <c r="R4" s="249" t="s">
        <v>45</v>
      </c>
      <c r="S4" s="249" t="s">
        <v>46</v>
      </c>
      <c r="T4" s="249"/>
      <c r="U4" s="249"/>
      <c r="V4" s="249"/>
      <c r="W4" s="249"/>
      <c r="X4" s="254" t="s">
        <v>63</v>
      </c>
      <c r="Y4" s="255" t="s">
        <v>57</v>
      </c>
      <c r="Z4" s="252" t="s">
        <v>44</v>
      </c>
      <c r="AA4" s="252"/>
      <c r="AB4" s="249" t="s">
        <v>45</v>
      </c>
      <c r="AC4" s="249" t="s">
        <v>46</v>
      </c>
      <c r="AD4" s="249"/>
      <c r="AE4" s="249"/>
      <c r="AF4" s="249"/>
      <c r="AG4" s="249"/>
      <c r="AH4" s="254" t="s">
        <v>63</v>
      </c>
      <c r="AI4" s="255" t="s">
        <v>57</v>
      </c>
      <c r="AJ4" s="257"/>
      <c r="AK4" s="257"/>
      <c r="AL4" s="257"/>
      <c r="AM4" s="257"/>
      <c r="AN4" s="257"/>
      <c r="AO4" s="257"/>
    </row>
    <row r="5" spans="1:41" ht="58.15" customHeight="1" x14ac:dyDescent="0.2">
      <c r="A5" s="247"/>
      <c r="B5" s="248"/>
      <c r="C5" s="123">
        <f>+'расчет точ'!C6</f>
        <v>2023</v>
      </c>
      <c r="D5" s="123">
        <f>+'расчет точ'!D6</f>
        <v>2024</v>
      </c>
      <c r="E5" s="123">
        <f>+'расчет точ'!E6</f>
        <v>2025</v>
      </c>
      <c r="F5" s="252"/>
      <c r="G5" s="252"/>
      <c r="H5" s="249"/>
      <c r="I5" s="124" t="s">
        <v>50</v>
      </c>
      <c r="J5" s="125" t="s">
        <v>47</v>
      </c>
      <c r="K5" s="126" t="s">
        <v>48</v>
      </c>
      <c r="L5" s="126" t="s">
        <v>51</v>
      </c>
      <c r="M5" s="127" t="s">
        <v>52</v>
      </c>
      <c r="N5" s="255"/>
      <c r="O5" s="255"/>
      <c r="P5" s="252"/>
      <c r="Q5" s="252"/>
      <c r="R5" s="249"/>
      <c r="S5" s="124" t="s">
        <v>50</v>
      </c>
      <c r="T5" s="128" t="s">
        <v>47</v>
      </c>
      <c r="U5" s="129" t="s">
        <v>48</v>
      </c>
      <c r="V5" s="129" t="s">
        <v>51</v>
      </c>
      <c r="W5" s="124" t="s">
        <v>52</v>
      </c>
      <c r="X5" s="255"/>
      <c r="Y5" s="255"/>
      <c r="Z5" s="252"/>
      <c r="AA5" s="252"/>
      <c r="AB5" s="249"/>
      <c r="AC5" s="124" t="s">
        <v>50</v>
      </c>
      <c r="AD5" s="130" t="s">
        <v>47</v>
      </c>
      <c r="AE5" s="124" t="s">
        <v>48</v>
      </c>
      <c r="AF5" s="124" t="s">
        <v>49</v>
      </c>
      <c r="AG5" s="124" t="s">
        <v>52</v>
      </c>
      <c r="AH5" s="255"/>
      <c r="AI5" s="255"/>
      <c r="AJ5" s="131">
        <v>2023</v>
      </c>
      <c r="AK5" s="131">
        <v>2024</v>
      </c>
      <c r="AL5" s="131">
        <v>2025</v>
      </c>
      <c r="AM5" s="131">
        <v>2023</v>
      </c>
      <c r="AN5" s="131">
        <v>2024</v>
      </c>
      <c r="AO5" s="131">
        <v>2025</v>
      </c>
    </row>
    <row r="6" spans="1:41" ht="15.75" x14ac:dyDescent="0.25">
      <c r="A6" s="132">
        <v>1</v>
      </c>
      <c r="B6" s="133" t="s">
        <v>3</v>
      </c>
      <c r="C6" s="194">
        <f>+'расчет точ'!C7</f>
        <v>0.89</v>
      </c>
      <c r="D6" s="194">
        <f>+'расчет точ'!D7</f>
        <v>0.89</v>
      </c>
      <c r="E6" s="194">
        <f>+'расчет точ'!E7</f>
        <v>0.9</v>
      </c>
      <c r="F6" s="195">
        <v>3</v>
      </c>
      <c r="G6" s="136">
        <f>C6*F6</f>
        <v>2.67</v>
      </c>
      <c r="H6" s="196">
        <f t="shared" ref="H6:H23" si="0">K6+L6+M6</f>
        <v>5267020.22</v>
      </c>
      <c r="I6" s="196">
        <f>ROUND($H$32/$G$28*F6,2)</f>
        <v>5267020.1900000004</v>
      </c>
      <c r="J6" s="197">
        <f t="shared" ref="J6:J23" si="1">K6+L6</f>
        <v>4687648</v>
      </c>
      <c r="K6" s="197">
        <f>ROUND((I6-M6)*(1-$H$34),2)+0.04</f>
        <v>3140715.9</v>
      </c>
      <c r="L6" s="197">
        <f>ROUND((I6-M6)*$H$34,2)-0.01</f>
        <v>1546932.1</v>
      </c>
      <c r="M6" s="196">
        <f>ROUNDUP(I6*(1-C6),2)-0.01</f>
        <v>579372.22</v>
      </c>
      <c r="N6" s="198">
        <f>IF(I6=0,0,M6/I6)</f>
        <v>0.10999999982912538</v>
      </c>
      <c r="O6" s="158">
        <f>IF(F6=0,0,I6/F6)</f>
        <v>1755673.3966666667</v>
      </c>
      <c r="P6" s="175">
        <v>3</v>
      </c>
      <c r="Q6" s="136">
        <f>P6*D6</f>
        <v>2.67</v>
      </c>
      <c r="R6" s="140">
        <f t="shared" ref="R6:R27" si="2">U6+V6+W6</f>
        <v>5285548.49</v>
      </c>
      <c r="S6" s="140">
        <f>ROUND($S$32/$Q$28*P6,2)</f>
        <v>5285548.49</v>
      </c>
      <c r="T6" s="129">
        <f>U6+V6</f>
        <v>4704138.1500000004</v>
      </c>
      <c r="U6" s="159">
        <f>ROUND((S6-W6)*(1-$S$34),2)</f>
        <v>3151769.79</v>
      </c>
      <c r="V6" s="159">
        <f>ROUND((S6-W6)*$S$34,2)</f>
        <v>1552368.36</v>
      </c>
      <c r="W6" s="158">
        <f>ROUND(S6*(1-D6),2)+0.01</f>
        <v>581410.34</v>
      </c>
      <c r="X6" s="199">
        <f>IF(S6=0,0,W6/S6)</f>
        <v>0.11000000115409024</v>
      </c>
      <c r="Y6" s="158">
        <f>IF(P6=0,0,S6/P6)</f>
        <v>1761849.4966666668</v>
      </c>
      <c r="Z6" s="175"/>
      <c r="AA6" s="200">
        <f>E6*Z6</f>
        <v>0</v>
      </c>
      <c r="AB6" s="196" t="e">
        <f>AE6+AF6+AG6</f>
        <v>#DIV/0!</v>
      </c>
      <c r="AC6" s="196" t="e">
        <f>ROUND($AC$32/$AA$28*Z6,2)</f>
        <v>#DIV/0!</v>
      </c>
      <c r="AD6" s="196" t="e">
        <f>AE6+AF6</f>
        <v>#DIV/0!</v>
      </c>
      <c r="AE6" s="196" t="e">
        <f>ROUND((AC6-AG6)*(1-$AC$34),2)-0.01</f>
        <v>#DIV/0!</v>
      </c>
      <c r="AF6" s="196" t="e">
        <f>ROUND((AC6-AG6)*$AC$34,2)</f>
        <v>#DIV/0!</v>
      </c>
      <c r="AG6" s="196" t="e">
        <f>ROUNDUP(AC6*(1-E6),2)</f>
        <v>#DIV/0!</v>
      </c>
      <c r="AH6" s="198" t="e">
        <f>IF(AC6=0,0,AG6/AC6)</f>
        <v>#DIV/0!</v>
      </c>
      <c r="AI6" s="158">
        <f>IF(Z6=0,0,AC6/Z6)</f>
        <v>0</v>
      </c>
      <c r="AJ6" s="162">
        <f>K6+L6</f>
        <v>4687648</v>
      </c>
      <c r="AK6" s="162">
        <f>U6+V6</f>
        <v>4704138.1500000004</v>
      </c>
      <c r="AL6" s="188" t="s">
        <v>69</v>
      </c>
      <c r="AM6" s="101">
        <f>ROUND(AJ6/1000,1)+0.1</f>
        <v>4687.7000000000007</v>
      </c>
      <c r="AN6" s="101">
        <f>ROUND(AK6/1000,1)</f>
        <v>4704.1000000000004</v>
      </c>
      <c r="AO6" s="188" t="s">
        <v>69</v>
      </c>
    </row>
    <row r="7" spans="1:41" ht="15.75" x14ac:dyDescent="0.25">
      <c r="A7" s="132">
        <v>2</v>
      </c>
      <c r="B7" s="133" t="s">
        <v>53</v>
      </c>
      <c r="C7" s="194">
        <f>+'расчет точ'!C8</f>
        <v>0.9</v>
      </c>
      <c r="D7" s="194">
        <f>+'расчет точ'!D8</f>
        <v>0.9</v>
      </c>
      <c r="E7" s="194">
        <f>+'расчет точ'!E8</f>
        <v>0.89</v>
      </c>
      <c r="F7" s="195">
        <v>1</v>
      </c>
      <c r="G7" s="136">
        <f t="shared" ref="G7:G23" si="3">C7*F7</f>
        <v>0.9</v>
      </c>
      <c r="H7" s="196">
        <f t="shared" si="0"/>
        <v>1755673.3900000001</v>
      </c>
      <c r="I7" s="196">
        <f t="shared" ref="I7:I23" si="4">ROUND($H$32/$G$28*F7,2)</f>
        <v>1755673.4</v>
      </c>
      <c r="J7" s="197">
        <f t="shared" si="1"/>
        <v>1580106.05</v>
      </c>
      <c r="K7" s="197">
        <f>ROUND((I7-M7)*(1-$H$34),2)-0.01</f>
        <v>1058668.26</v>
      </c>
      <c r="L7" s="197">
        <f>ROUND((I7-M7)*$H$34,2)</f>
        <v>521437.79</v>
      </c>
      <c r="M7" s="196">
        <f t="shared" ref="M7:M23" si="5">ROUNDUP(I7*(1-C7),2)</f>
        <v>175567.34</v>
      </c>
      <c r="N7" s="198">
        <f t="shared" ref="N7:N28" si="6">IF(I7=0,0,M7/I7)</f>
        <v>0.1</v>
      </c>
      <c r="O7" s="158">
        <f t="shared" ref="O7:O28" si="7">IF(F7=0,0,I7/F7)</f>
        <v>1755673.4</v>
      </c>
      <c r="P7" s="175">
        <v>5</v>
      </c>
      <c r="Q7" s="136">
        <f t="shared" ref="Q7:Q23" si="8">P7*D7</f>
        <v>4.5</v>
      </c>
      <c r="R7" s="140">
        <f t="shared" si="2"/>
        <v>8809247.4900000002</v>
      </c>
      <c r="S7" s="140">
        <f t="shared" ref="S7:S23" si="9">ROUND($S$32/$Q$28*P7,2)</f>
        <v>8809247.4900000002</v>
      </c>
      <c r="T7" s="129">
        <f t="shared" ref="T7:T23" si="10">U7+V7</f>
        <v>7928322.7400000002</v>
      </c>
      <c r="U7" s="159">
        <f>ROUND((S7-W7)*(1-$S$34),2)</f>
        <v>5311971.57</v>
      </c>
      <c r="V7" s="159">
        <f t="shared" ref="V7:V23" si="11">ROUND((S7-W7)*$S$34,2)</f>
        <v>2616351.17</v>
      </c>
      <c r="W7" s="158">
        <f t="shared" ref="W7:W23" si="12">ROUND(S7*(1-D7),2)</f>
        <v>880924.75</v>
      </c>
      <c r="X7" s="199">
        <f t="shared" ref="X7:X28" si="13">IF(S7=0,0,W7/S7)</f>
        <v>0.10000000011351708</v>
      </c>
      <c r="Y7" s="158">
        <f t="shared" ref="Y7:Y28" si="14">IF(P7=0,0,S7/P7)</f>
        <v>1761849.4980000001</v>
      </c>
      <c r="Z7" s="175"/>
      <c r="AA7" s="200">
        <f t="shared" ref="AA7:AA27" si="15">E7*Z7</f>
        <v>0</v>
      </c>
      <c r="AB7" s="196" t="e">
        <f t="shared" ref="AB7:AB27" si="16">AE7+AF7+AG7</f>
        <v>#DIV/0!</v>
      </c>
      <c r="AC7" s="196" t="e">
        <f t="shared" ref="AC7:AC23" si="17">ROUND($AC$32/$AA$28*Z7,2)</f>
        <v>#DIV/0!</v>
      </c>
      <c r="AD7" s="196" t="e">
        <f t="shared" ref="AD7:AD23" si="18">AE7+AF7</f>
        <v>#DIV/0!</v>
      </c>
      <c r="AE7" s="196" t="e">
        <f t="shared" ref="AE7:AE23" si="19">ROUND((AC7-AG7)*(1-$AC$34),2)</f>
        <v>#DIV/0!</v>
      </c>
      <c r="AF7" s="196" t="e">
        <f t="shared" ref="AF7:AF23" si="20">ROUND((AC7-AG7)*$AC$34,2)</f>
        <v>#DIV/0!</v>
      </c>
      <c r="AG7" s="196" t="e">
        <f t="shared" ref="AG7:AG23" si="21">ROUNDUP(AC7*(1-E7),2)</f>
        <v>#DIV/0!</v>
      </c>
      <c r="AH7" s="198" t="e">
        <f t="shared" ref="AH7:AH28" si="22">IF(AC7=0,0,AG7/AC7)</f>
        <v>#DIV/0!</v>
      </c>
      <c r="AI7" s="158">
        <f t="shared" ref="AI7:AI28" si="23">IF(Z7=0,0,AC7/Z7)</f>
        <v>0</v>
      </c>
      <c r="AJ7" s="162">
        <f t="shared" ref="AJ7:AJ27" si="24">K7+L7</f>
        <v>1580106.05</v>
      </c>
      <c r="AK7" s="162">
        <f t="shared" ref="AK7:AK27" si="25">U7+V7</f>
        <v>7928322.7400000002</v>
      </c>
      <c r="AL7" s="188" t="s">
        <v>69</v>
      </c>
      <c r="AM7" s="101">
        <f>ROUND(AJ7/1000,1)</f>
        <v>1580.1</v>
      </c>
      <c r="AN7" s="101">
        <f t="shared" ref="AN7:AN21" si="26">ROUND(AK7/1000,1)</f>
        <v>7928.3</v>
      </c>
      <c r="AO7" s="188" t="s">
        <v>69</v>
      </c>
    </row>
    <row r="8" spans="1:41" ht="15.75" x14ac:dyDescent="0.25">
      <c r="A8" s="132">
        <v>3</v>
      </c>
      <c r="B8" s="133" t="s">
        <v>54</v>
      </c>
      <c r="C8" s="194">
        <f>+'расчет точ'!C9</f>
        <v>0.9</v>
      </c>
      <c r="D8" s="194">
        <f>+'расчет точ'!D9</f>
        <v>0.9</v>
      </c>
      <c r="E8" s="194">
        <f>+'расчет точ'!E9</f>
        <v>0.9</v>
      </c>
      <c r="F8" s="195"/>
      <c r="G8" s="136">
        <f t="shared" si="3"/>
        <v>0</v>
      </c>
      <c r="H8" s="196">
        <f t="shared" si="0"/>
        <v>0</v>
      </c>
      <c r="I8" s="196">
        <f t="shared" si="4"/>
        <v>0</v>
      </c>
      <c r="J8" s="197">
        <f t="shared" si="1"/>
        <v>0</v>
      </c>
      <c r="K8" s="197">
        <f t="shared" ref="K8:K23" si="27">ROUND((I8-M8)*(1-$H$34),2)</f>
        <v>0</v>
      </c>
      <c r="L8" s="197">
        <f t="shared" ref="L8:L23" si="28">ROUND((I8-M8)*$H$34,2)</f>
        <v>0</v>
      </c>
      <c r="M8" s="196">
        <f t="shared" si="5"/>
        <v>0</v>
      </c>
      <c r="N8" s="198">
        <f t="shared" si="6"/>
        <v>0</v>
      </c>
      <c r="O8" s="158">
        <f t="shared" si="7"/>
        <v>0</v>
      </c>
      <c r="P8" s="175">
        <v>6</v>
      </c>
      <c r="Q8" s="136">
        <f t="shared" si="8"/>
        <v>5.4</v>
      </c>
      <c r="R8" s="140">
        <f t="shared" si="2"/>
        <v>10571096.979999999</v>
      </c>
      <c r="S8" s="140">
        <f t="shared" si="9"/>
        <v>10571096.99</v>
      </c>
      <c r="T8" s="129">
        <f t="shared" si="10"/>
        <v>9513987.2799999993</v>
      </c>
      <c r="U8" s="159">
        <f>ROUND((S8-W8)*(1-$S$34),2)-0.01</f>
        <v>6374365.8799999999</v>
      </c>
      <c r="V8" s="159">
        <f>ROUND((S8-W8)*$S$34,2)</f>
        <v>3139621.4</v>
      </c>
      <c r="W8" s="158">
        <f t="shared" si="12"/>
        <v>1057109.7</v>
      </c>
      <c r="X8" s="199">
        <f t="shared" si="13"/>
        <v>0.10000000009459756</v>
      </c>
      <c r="Y8" s="158">
        <f t="shared" si="14"/>
        <v>1761849.4983333333</v>
      </c>
      <c r="Z8" s="175"/>
      <c r="AA8" s="200">
        <f t="shared" si="15"/>
        <v>0</v>
      </c>
      <c r="AB8" s="196" t="e">
        <f t="shared" si="16"/>
        <v>#DIV/0!</v>
      </c>
      <c r="AC8" s="196" t="e">
        <f t="shared" si="17"/>
        <v>#DIV/0!</v>
      </c>
      <c r="AD8" s="196" t="e">
        <f t="shared" si="18"/>
        <v>#DIV/0!</v>
      </c>
      <c r="AE8" s="196" t="e">
        <f>ROUND((AC8-AG8)*(1-$AC$34),2)-0.01</f>
        <v>#DIV/0!</v>
      </c>
      <c r="AF8" s="196" t="e">
        <f t="shared" si="20"/>
        <v>#DIV/0!</v>
      </c>
      <c r="AG8" s="196" t="e">
        <f t="shared" si="21"/>
        <v>#DIV/0!</v>
      </c>
      <c r="AH8" s="198" t="e">
        <f t="shared" si="22"/>
        <v>#DIV/0!</v>
      </c>
      <c r="AI8" s="158">
        <f t="shared" si="23"/>
        <v>0</v>
      </c>
      <c r="AJ8" s="162">
        <f t="shared" si="24"/>
        <v>0</v>
      </c>
      <c r="AK8" s="162">
        <f t="shared" si="25"/>
        <v>9513987.2799999993</v>
      </c>
      <c r="AL8" s="188" t="s">
        <v>69</v>
      </c>
      <c r="AM8" s="101">
        <f t="shared" ref="AM8:AN29" si="29">ROUND(AJ8/1000,1)</f>
        <v>0</v>
      </c>
      <c r="AN8" s="101">
        <f t="shared" si="26"/>
        <v>9514</v>
      </c>
      <c r="AO8" s="188" t="s">
        <v>69</v>
      </c>
    </row>
    <row r="9" spans="1:41" ht="15.75" x14ac:dyDescent="0.25">
      <c r="A9" s="132">
        <v>4</v>
      </c>
      <c r="B9" s="133" t="s">
        <v>6</v>
      </c>
      <c r="C9" s="194">
        <f>+'расчет точ'!C10</f>
        <v>0.9</v>
      </c>
      <c r="D9" s="194">
        <f>+'расчет точ'!D10</f>
        <v>0.9</v>
      </c>
      <c r="E9" s="194">
        <f>+'расчет точ'!E10</f>
        <v>0.89</v>
      </c>
      <c r="F9" s="195"/>
      <c r="G9" s="136">
        <f t="shared" si="3"/>
        <v>0</v>
      </c>
      <c r="H9" s="196">
        <f t="shared" si="0"/>
        <v>0</v>
      </c>
      <c r="I9" s="196">
        <f t="shared" si="4"/>
        <v>0</v>
      </c>
      <c r="J9" s="197">
        <f t="shared" si="1"/>
        <v>0</v>
      </c>
      <c r="K9" s="197">
        <f t="shared" si="27"/>
        <v>0</v>
      </c>
      <c r="L9" s="197">
        <f t="shared" si="28"/>
        <v>0</v>
      </c>
      <c r="M9" s="196">
        <f t="shared" si="5"/>
        <v>0</v>
      </c>
      <c r="N9" s="198">
        <f t="shared" si="6"/>
        <v>0</v>
      </c>
      <c r="O9" s="158">
        <f t="shared" si="7"/>
        <v>0</v>
      </c>
      <c r="P9" s="175">
        <v>4</v>
      </c>
      <c r="Q9" s="136">
        <f t="shared" si="8"/>
        <v>3.6</v>
      </c>
      <c r="R9" s="140">
        <f t="shared" si="2"/>
        <v>7047397.9899999993</v>
      </c>
      <c r="S9" s="140">
        <f t="shared" si="9"/>
        <v>7047397.9900000002</v>
      </c>
      <c r="T9" s="129">
        <f t="shared" si="10"/>
        <v>6342658.1899999995</v>
      </c>
      <c r="U9" s="159">
        <f t="shared" ref="U9:U23" si="30">ROUND((S9-W9)*(1-$S$34),2)</f>
        <v>4249577.25</v>
      </c>
      <c r="V9" s="159">
        <f t="shared" si="11"/>
        <v>2093080.94</v>
      </c>
      <c r="W9" s="158">
        <f t="shared" si="12"/>
        <v>704739.8</v>
      </c>
      <c r="X9" s="199">
        <f t="shared" si="13"/>
        <v>0.10000000014189635</v>
      </c>
      <c r="Y9" s="158">
        <f t="shared" si="14"/>
        <v>1761849.4975000001</v>
      </c>
      <c r="Z9" s="175"/>
      <c r="AA9" s="200">
        <f t="shared" si="15"/>
        <v>0</v>
      </c>
      <c r="AB9" s="196" t="e">
        <f t="shared" si="16"/>
        <v>#DIV/0!</v>
      </c>
      <c r="AC9" s="196" t="e">
        <f t="shared" si="17"/>
        <v>#DIV/0!</v>
      </c>
      <c r="AD9" s="196" t="e">
        <f t="shared" si="18"/>
        <v>#DIV/0!</v>
      </c>
      <c r="AE9" s="196" t="e">
        <f t="shared" si="19"/>
        <v>#DIV/0!</v>
      </c>
      <c r="AF9" s="196" t="e">
        <f t="shared" si="20"/>
        <v>#DIV/0!</v>
      </c>
      <c r="AG9" s="196" t="e">
        <f t="shared" si="21"/>
        <v>#DIV/0!</v>
      </c>
      <c r="AH9" s="198" t="e">
        <f t="shared" si="22"/>
        <v>#DIV/0!</v>
      </c>
      <c r="AI9" s="158">
        <f t="shared" si="23"/>
        <v>0</v>
      </c>
      <c r="AJ9" s="162">
        <f t="shared" si="24"/>
        <v>0</v>
      </c>
      <c r="AK9" s="162">
        <f t="shared" si="25"/>
        <v>6342658.1899999995</v>
      </c>
      <c r="AL9" s="188" t="s">
        <v>69</v>
      </c>
      <c r="AM9" s="101">
        <f t="shared" si="29"/>
        <v>0</v>
      </c>
      <c r="AN9" s="101">
        <f t="shared" si="26"/>
        <v>6342.7</v>
      </c>
      <c r="AO9" s="188" t="s">
        <v>69</v>
      </c>
    </row>
    <row r="10" spans="1:41" ht="15.75" x14ac:dyDescent="0.25">
      <c r="A10" s="132">
        <v>5</v>
      </c>
      <c r="B10" s="133" t="s">
        <v>7</v>
      </c>
      <c r="C10" s="194">
        <f>+'расчет точ'!C11</f>
        <v>0.89</v>
      </c>
      <c r="D10" s="194">
        <f>+'расчет точ'!D11</f>
        <v>0.89</v>
      </c>
      <c r="E10" s="194">
        <f>+'расчет точ'!E11</f>
        <v>0.9</v>
      </c>
      <c r="F10" s="195"/>
      <c r="G10" s="136">
        <f t="shared" si="3"/>
        <v>0</v>
      </c>
      <c r="H10" s="196">
        <f t="shared" si="0"/>
        <v>0</v>
      </c>
      <c r="I10" s="196">
        <f t="shared" si="4"/>
        <v>0</v>
      </c>
      <c r="J10" s="197">
        <f t="shared" si="1"/>
        <v>0</v>
      </c>
      <c r="K10" s="197">
        <f t="shared" si="27"/>
        <v>0</v>
      </c>
      <c r="L10" s="197">
        <f t="shared" si="28"/>
        <v>0</v>
      </c>
      <c r="M10" s="196">
        <f t="shared" si="5"/>
        <v>0</v>
      </c>
      <c r="N10" s="198">
        <f t="shared" si="6"/>
        <v>0</v>
      </c>
      <c r="O10" s="158">
        <f t="shared" si="7"/>
        <v>0</v>
      </c>
      <c r="P10" s="175">
        <v>1</v>
      </c>
      <c r="Q10" s="136">
        <f t="shared" si="8"/>
        <v>0.89</v>
      </c>
      <c r="R10" s="140">
        <f t="shared" si="2"/>
        <v>1761849.49</v>
      </c>
      <c r="S10" s="140">
        <f t="shared" si="9"/>
        <v>1761849.5</v>
      </c>
      <c r="T10" s="129">
        <f t="shared" si="10"/>
        <v>1568046.04</v>
      </c>
      <c r="U10" s="159">
        <f>ROUND((S10-W10)*(1-$S$34),2)-0.01</f>
        <v>1050589.92</v>
      </c>
      <c r="V10" s="159">
        <f t="shared" si="11"/>
        <v>517456.12</v>
      </c>
      <c r="W10" s="158">
        <f t="shared" si="12"/>
        <v>193803.45</v>
      </c>
      <c r="X10" s="199">
        <f t="shared" si="13"/>
        <v>0.11000000283792685</v>
      </c>
      <c r="Y10" s="158">
        <f t="shared" si="14"/>
        <v>1761849.5</v>
      </c>
      <c r="Z10" s="175"/>
      <c r="AA10" s="200">
        <f t="shared" si="15"/>
        <v>0</v>
      </c>
      <c r="AB10" s="196" t="e">
        <f t="shared" si="16"/>
        <v>#DIV/0!</v>
      </c>
      <c r="AC10" s="196" t="e">
        <f t="shared" si="17"/>
        <v>#DIV/0!</v>
      </c>
      <c r="AD10" s="196" t="e">
        <f t="shared" si="18"/>
        <v>#DIV/0!</v>
      </c>
      <c r="AE10" s="196" t="e">
        <f t="shared" si="19"/>
        <v>#DIV/0!</v>
      </c>
      <c r="AF10" s="196" t="e">
        <f t="shared" si="20"/>
        <v>#DIV/0!</v>
      </c>
      <c r="AG10" s="196" t="e">
        <f t="shared" si="21"/>
        <v>#DIV/0!</v>
      </c>
      <c r="AH10" s="198" t="e">
        <f t="shared" si="22"/>
        <v>#DIV/0!</v>
      </c>
      <c r="AI10" s="158">
        <f t="shared" si="23"/>
        <v>0</v>
      </c>
      <c r="AJ10" s="162">
        <f t="shared" si="24"/>
        <v>0</v>
      </c>
      <c r="AK10" s="162">
        <f t="shared" si="25"/>
        <v>1568046.04</v>
      </c>
      <c r="AL10" s="188" t="s">
        <v>69</v>
      </c>
      <c r="AM10" s="101">
        <f t="shared" si="29"/>
        <v>0</v>
      </c>
      <c r="AN10" s="101">
        <f>ROUND(AK10/1000,1)+0.1</f>
        <v>1568.1</v>
      </c>
      <c r="AO10" s="188" t="s">
        <v>69</v>
      </c>
    </row>
    <row r="11" spans="1:41" ht="15.75" x14ac:dyDescent="0.25">
      <c r="A11" s="132">
        <v>6</v>
      </c>
      <c r="B11" s="133" t="s">
        <v>55</v>
      </c>
      <c r="C11" s="194">
        <f>+'расчет точ'!C12</f>
        <v>0.87</v>
      </c>
      <c r="D11" s="194">
        <f>+'расчет точ'!D12</f>
        <v>0.87</v>
      </c>
      <c r="E11" s="194">
        <f>+'расчет точ'!E12</f>
        <v>0.87</v>
      </c>
      <c r="F11" s="195">
        <v>1</v>
      </c>
      <c r="G11" s="136">
        <f t="shared" si="3"/>
        <v>0.87</v>
      </c>
      <c r="H11" s="196">
        <f t="shared" si="0"/>
        <v>1755673.3900000001</v>
      </c>
      <c r="I11" s="196">
        <f t="shared" si="4"/>
        <v>1755673.4</v>
      </c>
      <c r="J11" s="197">
        <f t="shared" si="1"/>
        <v>1527435.85</v>
      </c>
      <c r="K11" s="197">
        <f>ROUND((I11-M11)*(1-$H$34),2)-0.01</f>
        <v>1023379.32</v>
      </c>
      <c r="L11" s="197">
        <f>ROUND((I11-M11)*$H$34,2)</f>
        <v>504056.53</v>
      </c>
      <c r="M11" s="196">
        <f>ROUNDUP(I11*(1-C11),2)-0.01</f>
        <v>228237.54</v>
      </c>
      <c r="N11" s="198">
        <f t="shared" si="6"/>
        <v>0.12999999886083596</v>
      </c>
      <c r="O11" s="158">
        <f t="shared" si="7"/>
        <v>1755673.4</v>
      </c>
      <c r="P11" s="175">
        <v>3</v>
      </c>
      <c r="Q11" s="136">
        <f t="shared" si="8"/>
        <v>2.61</v>
      </c>
      <c r="R11" s="140">
        <f t="shared" si="2"/>
        <v>5285548.49</v>
      </c>
      <c r="S11" s="140">
        <f t="shared" si="9"/>
        <v>5285548.49</v>
      </c>
      <c r="T11" s="129">
        <f t="shared" si="10"/>
        <v>4598427.18</v>
      </c>
      <c r="U11" s="159">
        <f>ROUND((S11-W11)*(1-$S$34),2)</f>
        <v>3080943.5</v>
      </c>
      <c r="V11" s="159">
        <f t="shared" si="11"/>
        <v>1517483.68</v>
      </c>
      <c r="W11" s="158">
        <f>ROUND(S11*(1-D11),2)+0.01</f>
        <v>687121.31</v>
      </c>
      <c r="X11" s="199">
        <f t="shared" si="13"/>
        <v>0.13000000119192928</v>
      </c>
      <c r="Y11" s="158">
        <f t="shared" si="14"/>
        <v>1761849.4966666668</v>
      </c>
      <c r="Z11" s="175"/>
      <c r="AA11" s="200">
        <f t="shared" si="15"/>
        <v>0</v>
      </c>
      <c r="AB11" s="196" t="e">
        <f t="shared" si="16"/>
        <v>#DIV/0!</v>
      </c>
      <c r="AC11" s="196" t="e">
        <f t="shared" si="17"/>
        <v>#DIV/0!</v>
      </c>
      <c r="AD11" s="196" t="e">
        <f t="shared" si="18"/>
        <v>#DIV/0!</v>
      </c>
      <c r="AE11" s="196" t="e">
        <f t="shared" si="19"/>
        <v>#DIV/0!</v>
      </c>
      <c r="AF11" s="196" t="e">
        <f t="shared" si="20"/>
        <v>#DIV/0!</v>
      </c>
      <c r="AG11" s="196" t="e">
        <f t="shared" si="21"/>
        <v>#DIV/0!</v>
      </c>
      <c r="AH11" s="198" t="e">
        <f t="shared" si="22"/>
        <v>#DIV/0!</v>
      </c>
      <c r="AI11" s="158">
        <f t="shared" si="23"/>
        <v>0</v>
      </c>
      <c r="AJ11" s="162">
        <f t="shared" si="24"/>
        <v>1527435.85</v>
      </c>
      <c r="AK11" s="162">
        <f t="shared" si="25"/>
        <v>4598427.18</v>
      </c>
      <c r="AL11" s="188" t="s">
        <v>69</v>
      </c>
      <c r="AM11" s="101">
        <f t="shared" si="29"/>
        <v>1527.4</v>
      </c>
      <c r="AN11" s="101">
        <f t="shared" si="26"/>
        <v>4598.3999999999996</v>
      </c>
      <c r="AO11" s="188" t="s">
        <v>69</v>
      </c>
    </row>
    <row r="12" spans="1:41" ht="15.75" x14ac:dyDescent="0.25">
      <c r="A12" s="132">
        <v>7</v>
      </c>
      <c r="B12" s="133" t="s">
        <v>9</v>
      </c>
      <c r="C12" s="194">
        <f>+'расчет точ'!C13</f>
        <v>0.89</v>
      </c>
      <c r="D12" s="194">
        <f>+'расчет точ'!D13</f>
        <v>0.9</v>
      </c>
      <c r="E12" s="194">
        <f>+'расчет точ'!E13</f>
        <v>0.89</v>
      </c>
      <c r="F12" s="195"/>
      <c r="G12" s="136">
        <f t="shared" si="3"/>
        <v>0</v>
      </c>
      <c r="H12" s="196">
        <f t="shared" si="0"/>
        <v>0</v>
      </c>
      <c r="I12" s="196">
        <f t="shared" si="4"/>
        <v>0</v>
      </c>
      <c r="J12" s="197">
        <f t="shared" si="1"/>
        <v>0</v>
      </c>
      <c r="K12" s="197">
        <f t="shared" si="27"/>
        <v>0</v>
      </c>
      <c r="L12" s="197">
        <f t="shared" si="28"/>
        <v>0</v>
      </c>
      <c r="M12" s="196">
        <f t="shared" si="5"/>
        <v>0</v>
      </c>
      <c r="N12" s="198">
        <f t="shared" si="6"/>
        <v>0</v>
      </c>
      <c r="O12" s="158">
        <f t="shared" si="7"/>
        <v>0</v>
      </c>
      <c r="P12" s="175">
        <v>6</v>
      </c>
      <c r="Q12" s="136">
        <f t="shared" si="8"/>
        <v>5.4</v>
      </c>
      <c r="R12" s="140">
        <f t="shared" si="2"/>
        <v>10571096.989999998</v>
      </c>
      <c r="S12" s="140">
        <f t="shared" si="9"/>
        <v>10571096.99</v>
      </c>
      <c r="T12" s="129">
        <f t="shared" si="10"/>
        <v>9513987.2899999991</v>
      </c>
      <c r="U12" s="159">
        <f>ROUND((S12-W12)*(1-$S$34),2)</f>
        <v>6374365.8899999997</v>
      </c>
      <c r="V12" s="159">
        <f t="shared" si="11"/>
        <v>3139621.4</v>
      </c>
      <c r="W12" s="158">
        <f t="shared" si="12"/>
        <v>1057109.7</v>
      </c>
      <c r="X12" s="199">
        <f t="shared" si="13"/>
        <v>0.10000000009459756</v>
      </c>
      <c r="Y12" s="158">
        <f t="shared" si="14"/>
        <v>1761849.4983333333</v>
      </c>
      <c r="Z12" s="175"/>
      <c r="AA12" s="200">
        <f t="shared" si="15"/>
        <v>0</v>
      </c>
      <c r="AB12" s="196" t="e">
        <f t="shared" si="16"/>
        <v>#DIV/0!</v>
      </c>
      <c r="AC12" s="196" t="e">
        <f t="shared" si="17"/>
        <v>#DIV/0!</v>
      </c>
      <c r="AD12" s="196" t="e">
        <f t="shared" si="18"/>
        <v>#DIV/0!</v>
      </c>
      <c r="AE12" s="196" t="e">
        <f>ROUND((AC12-AG12)*(1-$AC$34),2)-0.01</f>
        <v>#DIV/0!</v>
      </c>
      <c r="AF12" s="196" t="e">
        <f t="shared" si="20"/>
        <v>#DIV/0!</v>
      </c>
      <c r="AG12" s="196" t="e">
        <f t="shared" si="21"/>
        <v>#DIV/0!</v>
      </c>
      <c r="AH12" s="198" t="e">
        <f t="shared" si="22"/>
        <v>#DIV/0!</v>
      </c>
      <c r="AI12" s="158">
        <f t="shared" si="23"/>
        <v>0</v>
      </c>
      <c r="AJ12" s="162">
        <f t="shared" si="24"/>
        <v>0</v>
      </c>
      <c r="AK12" s="162">
        <f t="shared" si="25"/>
        <v>9513987.2899999991</v>
      </c>
      <c r="AL12" s="188" t="s">
        <v>69</v>
      </c>
      <c r="AM12" s="101">
        <f t="shared" si="29"/>
        <v>0</v>
      </c>
      <c r="AN12" s="101">
        <f t="shared" si="26"/>
        <v>9514</v>
      </c>
      <c r="AO12" s="188" t="s">
        <v>69</v>
      </c>
    </row>
    <row r="13" spans="1:41" ht="15.75" x14ac:dyDescent="0.25">
      <c r="A13" s="132">
        <v>8</v>
      </c>
      <c r="B13" s="133" t="s">
        <v>10</v>
      </c>
      <c r="C13" s="194">
        <f>+'расчет точ'!C14</f>
        <v>0.89</v>
      </c>
      <c r="D13" s="194">
        <f>+'расчет точ'!D14</f>
        <v>0.9</v>
      </c>
      <c r="E13" s="194">
        <f>+'расчет точ'!E14</f>
        <v>0.9</v>
      </c>
      <c r="F13" s="195"/>
      <c r="G13" s="136">
        <f t="shared" si="3"/>
        <v>0</v>
      </c>
      <c r="H13" s="196">
        <f t="shared" si="0"/>
        <v>0</v>
      </c>
      <c r="I13" s="196">
        <f t="shared" si="4"/>
        <v>0</v>
      </c>
      <c r="J13" s="197">
        <f t="shared" si="1"/>
        <v>0</v>
      </c>
      <c r="K13" s="197">
        <f t="shared" si="27"/>
        <v>0</v>
      </c>
      <c r="L13" s="197">
        <f t="shared" si="28"/>
        <v>0</v>
      </c>
      <c r="M13" s="196">
        <f t="shared" si="5"/>
        <v>0</v>
      </c>
      <c r="N13" s="198">
        <f t="shared" si="6"/>
        <v>0</v>
      </c>
      <c r="O13" s="158">
        <f t="shared" si="7"/>
        <v>0</v>
      </c>
      <c r="P13" s="175">
        <v>4</v>
      </c>
      <c r="Q13" s="136">
        <f t="shared" si="8"/>
        <v>3.6</v>
      </c>
      <c r="R13" s="140">
        <f t="shared" si="2"/>
        <v>7047397.9799999995</v>
      </c>
      <c r="S13" s="140">
        <f t="shared" si="9"/>
        <v>7047397.9900000002</v>
      </c>
      <c r="T13" s="129">
        <f t="shared" si="10"/>
        <v>6342658.1799999997</v>
      </c>
      <c r="U13" s="159">
        <f>ROUND((S13-W13)*(1-$S$34),2)-0.01</f>
        <v>4249577.24</v>
      </c>
      <c r="V13" s="159">
        <f t="shared" si="11"/>
        <v>2093080.94</v>
      </c>
      <c r="W13" s="158">
        <f t="shared" si="12"/>
        <v>704739.8</v>
      </c>
      <c r="X13" s="199">
        <f t="shared" si="13"/>
        <v>0.10000000014189635</v>
      </c>
      <c r="Y13" s="158">
        <f t="shared" si="14"/>
        <v>1761849.4975000001</v>
      </c>
      <c r="Z13" s="175"/>
      <c r="AA13" s="200">
        <f t="shared" si="15"/>
        <v>0</v>
      </c>
      <c r="AB13" s="196" t="e">
        <f t="shared" si="16"/>
        <v>#DIV/0!</v>
      </c>
      <c r="AC13" s="196" t="e">
        <f t="shared" si="17"/>
        <v>#DIV/0!</v>
      </c>
      <c r="AD13" s="196" t="e">
        <f t="shared" si="18"/>
        <v>#DIV/0!</v>
      </c>
      <c r="AE13" s="196" t="e">
        <f t="shared" si="19"/>
        <v>#DIV/0!</v>
      </c>
      <c r="AF13" s="196" t="e">
        <f t="shared" si="20"/>
        <v>#DIV/0!</v>
      </c>
      <c r="AG13" s="196" t="e">
        <f t="shared" si="21"/>
        <v>#DIV/0!</v>
      </c>
      <c r="AH13" s="198" t="e">
        <f t="shared" si="22"/>
        <v>#DIV/0!</v>
      </c>
      <c r="AI13" s="158">
        <f t="shared" si="23"/>
        <v>0</v>
      </c>
      <c r="AJ13" s="162">
        <f t="shared" si="24"/>
        <v>0</v>
      </c>
      <c r="AK13" s="162">
        <f t="shared" si="25"/>
        <v>6342658.1799999997</v>
      </c>
      <c r="AL13" s="188" t="s">
        <v>69</v>
      </c>
      <c r="AM13" s="101">
        <f t="shared" si="29"/>
        <v>0</v>
      </c>
      <c r="AN13" s="101">
        <f t="shared" si="26"/>
        <v>6342.7</v>
      </c>
      <c r="AO13" s="188" t="s">
        <v>69</v>
      </c>
    </row>
    <row r="14" spans="1:41" ht="15.75" x14ac:dyDescent="0.25">
      <c r="A14" s="132">
        <v>9</v>
      </c>
      <c r="B14" s="133" t="s">
        <v>11</v>
      </c>
      <c r="C14" s="194">
        <f>+'расчет точ'!C15</f>
        <v>0.9</v>
      </c>
      <c r="D14" s="194">
        <f>+'расчет точ'!D15</f>
        <v>0.9</v>
      </c>
      <c r="E14" s="194">
        <f>+'расчет точ'!E15</f>
        <v>0.89</v>
      </c>
      <c r="F14" s="195"/>
      <c r="G14" s="136">
        <f t="shared" si="3"/>
        <v>0</v>
      </c>
      <c r="H14" s="196">
        <f t="shared" si="0"/>
        <v>0</v>
      </c>
      <c r="I14" s="196">
        <f t="shared" si="4"/>
        <v>0</v>
      </c>
      <c r="J14" s="197">
        <f t="shared" si="1"/>
        <v>0</v>
      </c>
      <c r="K14" s="197">
        <f t="shared" si="27"/>
        <v>0</v>
      </c>
      <c r="L14" s="197">
        <f>ROUND((I14-M14)*$H$34,2)</f>
        <v>0</v>
      </c>
      <c r="M14" s="196">
        <f t="shared" si="5"/>
        <v>0</v>
      </c>
      <c r="N14" s="198">
        <f t="shared" si="6"/>
        <v>0</v>
      </c>
      <c r="O14" s="158">
        <f t="shared" si="7"/>
        <v>0</v>
      </c>
      <c r="P14" s="175">
        <v>2</v>
      </c>
      <c r="Q14" s="136">
        <f t="shared" si="8"/>
        <v>1.8</v>
      </c>
      <c r="R14" s="140">
        <f t="shared" si="2"/>
        <v>3523698.9999999995</v>
      </c>
      <c r="S14" s="140">
        <f t="shared" si="9"/>
        <v>3523699</v>
      </c>
      <c r="T14" s="129">
        <f t="shared" si="10"/>
        <v>3171329.0999999996</v>
      </c>
      <c r="U14" s="159">
        <f t="shared" si="30"/>
        <v>2124788.63</v>
      </c>
      <c r="V14" s="159">
        <f t="shared" si="11"/>
        <v>1046540.47</v>
      </c>
      <c r="W14" s="158">
        <f t="shared" si="12"/>
        <v>352369.9</v>
      </c>
      <c r="X14" s="199">
        <f t="shared" si="13"/>
        <v>0.1</v>
      </c>
      <c r="Y14" s="158">
        <f t="shared" si="14"/>
        <v>1761849.5</v>
      </c>
      <c r="Z14" s="175"/>
      <c r="AA14" s="200">
        <f t="shared" si="15"/>
        <v>0</v>
      </c>
      <c r="AB14" s="196" t="e">
        <f t="shared" si="16"/>
        <v>#DIV/0!</v>
      </c>
      <c r="AC14" s="196" t="e">
        <f t="shared" si="17"/>
        <v>#DIV/0!</v>
      </c>
      <c r="AD14" s="196" t="e">
        <f t="shared" si="18"/>
        <v>#DIV/0!</v>
      </c>
      <c r="AE14" s="196" t="e">
        <f t="shared" si="19"/>
        <v>#DIV/0!</v>
      </c>
      <c r="AF14" s="196" t="e">
        <f t="shared" si="20"/>
        <v>#DIV/0!</v>
      </c>
      <c r="AG14" s="196" t="e">
        <f t="shared" si="21"/>
        <v>#DIV/0!</v>
      </c>
      <c r="AH14" s="198" t="e">
        <f t="shared" si="22"/>
        <v>#DIV/0!</v>
      </c>
      <c r="AI14" s="158">
        <f t="shared" si="23"/>
        <v>0</v>
      </c>
      <c r="AJ14" s="162">
        <f t="shared" si="24"/>
        <v>0</v>
      </c>
      <c r="AK14" s="162">
        <f t="shared" si="25"/>
        <v>3171329.0999999996</v>
      </c>
      <c r="AL14" s="188" t="s">
        <v>69</v>
      </c>
      <c r="AM14" s="101">
        <f t="shared" si="29"/>
        <v>0</v>
      </c>
      <c r="AN14" s="101">
        <f t="shared" si="26"/>
        <v>3171.3</v>
      </c>
      <c r="AO14" s="188" t="s">
        <v>69</v>
      </c>
    </row>
    <row r="15" spans="1:41" ht="15.75" x14ac:dyDescent="0.25">
      <c r="A15" s="132">
        <v>10</v>
      </c>
      <c r="B15" s="133" t="s">
        <v>12</v>
      </c>
      <c r="C15" s="194">
        <f>+'расчет точ'!C16</f>
        <v>0.9</v>
      </c>
      <c r="D15" s="194">
        <f>+'расчет точ'!D16</f>
        <v>0.89</v>
      </c>
      <c r="E15" s="194">
        <f>+'расчет точ'!E16</f>
        <v>0.9</v>
      </c>
      <c r="F15" s="195"/>
      <c r="G15" s="136">
        <f t="shared" si="3"/>
        <v>0</v>
      </c>
      <c r="H15" s="196">
        <f t="shared" si="0"/>
        <v>0</v>
      </c>
      <c r="I15" s="196">
        <f t="shared" si="4"/>
        <v>0</v>
      </c>
      <c r="J15" s="197">
        <f t="shared" si="1"/>
        <v>0</v>
      </c>
      <c r="K15" s="197">
        <f t="shared" si="27"/>
        <v>0</v>
      </c>
      <c r="L15" s="197">
        <f t="shared" si="28"/>
        <v>0</v>
      </c>
      <c r="M15" s="196">
        <f t="shared" si="5"/>
        <v>0</v>
      </c>
      <c r="N15" s="198">
        <f t="shared" si="6"/>
        <v>0</v>
      </c>
      <c r="O15" s="158">
        <f t="shared" si="7"/>
        <v>0</v>
      </c>
      <c r="P15" s="175">
        <v>1</v>
      </c>
      <c r="Q15" s="136">
        <f t="shared" si="8"/>
        <v>0.89</v>
      </c>
      <c r="R15" s="140">
        <f t="shared" si="2"/>
        <v>1761849.4999999998</v>
      </c>
      <c r="S15" s="140">
        <f t="shared" si="9"/>
        <v>1761849.5</v>
      </c>
      <c r="T15" s="129">
        <f t="shared" si="10"/>
        <v>1568046.0499999998</v>
      </c>
      <c r="U15" s="159">
        <f t="shared" si="30"/>
        <v>1050589.93</v>
      </c>
      <c r="V15" s="159">
        <f t="shared" si="11"/>
        <v>517456.12</v>
      </c>
      <c r="W15" s="158">
        <f t="shared" si="12"/>
        <v>193803.45</v>
      </c>
      <c r="X15" s="199">
        <f t="shared" si="13"/>
        <v>0.11000000283792685</v>
      </c>
      <c r="Y15" s="158">
        <f t="shared" si="14"/>
        <v>1761849.5</v>
      </c>
      <c r="Z15" s="175"/>
      <c r="AA15" s="200">
        <f t="shared" si="15"/>
        <v>0</v>
      </c>
      <c r="AB15" s="196" t="e">
        <f t="shared" si="16"/>
        <v>#DIV/0!</v>
      </c>
      <c r="AC15" s="196" t="e">
        <f t="shared" si="17"/>
        <v>#DIV/0!</v>
      </c>
      <c r="AD15" s="196" t="e">
        <f t="shared" si="18"/>
        <v>#DIV/0!</v>
      </c>
      <c r="AE15" s="196" t="e">
        <f t="shared" si="19"/>
        <v>#DIV/0!</v>
      </c>
      <c r="AF15" s="196" t="e">
        <f t="shared" si="20"/>
        <v>#DIV/0!</v>
      </c>
      <c r="AG15" s="196" t="e">
        <f t="shared" si="21"/>
        <v>#DIV/0!</v>
      </c>
      <c r="AH15" s="198" t="e">
        <f t="shared" si="22"/>
        <v>#DIV/0!</v>
      </c>
      <c r="AI15" s="158">
        <f t="shared" si="23"/>
        <v>0</v>
      </c>
      <c r="AJ15" s="162">
        <f t="shared" si="24"/>
        <v>0</v>
      </c>
      <c r="AK15" s="162">
        <f t="shared" si="25"/>
        <v>1568046.0499999998</v>
      </c>
      <c r="AL15" s="188" t="s">
        <v>69</v>
      </c>
      <c r="AM15" s="101">
        <f t="shared" si="29"/>
        <v>0</v>
      </c>
      <c r="AN15" s="101">
        <f>ROUND(AK15/1000,1)+0.1</f>
        <v>1568.1</v>
      </c>
      <c r="AO15" s="188" t="s">
        <v>69</v>
      </c>
    </row>
    <row r="16" spans="1:41" ht="15.75" x14ac:dyDescent="0.25">
      <c r="A16" s="132">
        <v>11</v>
      </c>
      <c r="B16" s="133" t="s">
        <v>56</v>
      </c>
      <c r="C16" s="194">
        <f>+'расчет точ'!C17</f>
        <v>0.89</v>
      </c>
      <c r="D16" s="194">
        <f>+'расчет точ'!D17</f>
        <v>0.89</v>
      </c>
      <c r="E16" s="194">
        <f>+'расчет точ'!E17</f>
        <v>0.9</v>
      </c>
      <c r="F16" s="195"/>
      <c r="G16" s="136">
        <f t="shared" si="3"/>
        <v>0</v>
      </c>
      <c r="H16" s="196">
        <f t="shared" ref="H16" si="31">K16+L16+M16</f>
        <v>0</v>
      </c>
      <c r="I16" s="196">
        <f t="shared" ref="I16" si="32">ROUND($H$32/$G$28*F16,2)</f>
        <v>0</v>
      </c>
      <c r="J16" s="197">
        <f t="shared" ref="J16" si="33">K16+L16</f>
        <v>0</v>
      </c>
      <c r="K16" s="197">
        <f>ROUND((I16-M16)*(1-$H$34),2)</f>
        <v>0</v>
      </c>
      <c r="L16" s="197">
        <f>ROUND((I16-M16)*$H$34,2)</f>
        <v>0</v>
      </c>
      <c r="M16" s="196">
        <f t="shared" si="5"/>
        <v>0</v>
      </c>
      <c r="N16" s="198">
        <f t="shared" si="6"/>
        <v>0</v>
      </c>
      <c r="O16" s="158">
        <f t="shared" si="7"/>
        <v>0</v>
      </c>
      <c r="P16" s="175">
        <v>5</v>
      </c>
      <c r="Q16" s="136">
        <f t="shared" si="8"/>
        <v>4.45</v>
      </c>
      <c r="R16" s="140">
        <f t="shared" si="2"/>
        <v>8809247.4800000004</v>
      </c>
      <c r="S16" s="140">
        <f t="shared" si="9"/>
        <v>8809247.4900000002</v>
      </c>
      <c r="T16" s="129">
        <f t="shared" si="10"/>
        <v>7840230.25</v>
      </c>
      <c r="U16" s="159">
        <f>ROUND((S16-W16)*(1-$S$34),2)-0.01</f>
        <v>5252949.6500000004</v>
      </c>
      <c r="V16" s="159">
        <f t="shared" si="11"/>
        <v>2587280.6</v>
      </c>
      <c r="W16" s="158">
        <f>ROUND(S16*(1-D16),2)+0.01</f>
        <v>969017.23</v>
      </c>
      <c r="X16" s="199">
        <f t="shared" si="13"/>
        <v>0.11000000069245415</v>
      </c>
      <c r="Y16" s="158">
        <f t="shared" si="14"/>
        <v>1761849.4980000001</v>
      </c>
      <c r="Z16" s="175"/>
      <c r="AA16" s="200">
        <f t="shared" si="15"/>
        <v>0</v>
      </c>
      <c r="AB16" s="196" t="e">
        <f t="shared" si="16"/>
        <v>#DIV/0!</v>
      </c>
      <c r="AC16" s="196" t="e">
        <f t="shared" si="17"/>
        <v>#DIV/0!</v>
      </c>
      <c r="AD16" s="196" t="e">
        <f t="shared" si="18"/>
        <v>#DIV/0!</v>
      </c>
      <c r="AE16" s="196" t="e">
        <f>ROUND((AC16-AG16)*(1-$AC$34),2)-0.01</f>
        <v>#DIV/0!</v>
      </c>
      <c r="AF16" s="196" t="e">
        <f t="shared" si="20"/>
        <v>#DIV/0!</v>
      </c>
      <c r="AG16" s="196" t="e">
        <f t="shared" si="21"/>
        <v>#DIV/0!</v>
      </c>
      <c r="AH16" s="198" t="e">
        <f t="shared" si="22"/>
        <v>#DIV/0!</v>
      </c>
      <c r="AI16" s="158">
        <f t="shared" si="23"/>
        <v>0</v>
      </c>
      <c r="AJ16" s="162">
        <f t="shared" si="24"/>
        <v>0</v>
      </c>
      <c r="AK16" s="162">
        <f t="shared" si="25"/>
        <v>7840230.25</v>
      </c>
      <c r="AL16" s="188" t="s">
        <v>69</v>
      </c>
      <c r="AM16" s="101">
        <f t="shared" si="29"/>
        <v>0</v>
      </c>
      <c r="AN16" s="101">
        <f t="shared" si="26"/>
        <v>7840.2</v>
      </c>
      <c r="AO16" s="188" t="s">
        <v>69</v>
      </c>
    </row>
    <row r="17" spans="1:41" ht="15.75" x14ac:dyDescent="0.25">
      <c r="A17" s="132">
        <v>12</v>
      </c>
      <c r="B17" s="133" t="s">
        <v>14</v>
      </c>
      <c r="C17" s="194">
        <f>+'расчет точ'!C18</f>
        <v>0.9</v>
      </c>
      <c r="D17" s="194">
        <f>+'расчет точ'!D18</f>
        <v>0.9</v>
      </c>
      <c r="E17" s="194">
        <f>+'расчет точ'!E18</f>
        <v>0.89</v>
      </c>
      <c r="F17" s="195">
        <v>1</v>
      </c>
      <c r="G17" s="136">
        <f t="shared" si="3"/>
        <v>0.9</v>
      </c>
      <c r="H17" s="196">
        <f t="shared" si="0"/>
        <v>1755673.3900000001</v>
      </c>
      <c r="I17" s="196">
        <f t="shared" si="4"/>
        <v>1755673.4</v>
      </c>
      <c r="J17" s="197">
        <f t="shared" si="1"/>
        <v>1580106.05</v>
      </c>
      <c r="K17" s="197">
        <f>ROUND((I17-M17)*(1-$H$34),2)-0.01</f>
        <v>1058668.26</v>
      </c>
      <c r="L17" s="197">
        <f>ROUND((I17-M17)*$H$34,2)</f>
        <v>521437.79</v>
      </c>
      <c r="M17" s="196">
        <f t="shared" si="5"/>
        <v>175567.34</v>
      </c>
      <c r="N17" s="198">
        <f t="shared" si="6"/>
        <v>0.1</v>
      </c>
      <c r="O17" s="158">
        <f t="shared" si="7"/>
        <v>1755673.4</v>
      </c>
      <c r="P17" s="175">
        <v>3</v>
      </c>
      <c r="Q17" s="136">
        <f t="shared" si="8"/>
        <v>2.7</v>
      </c>
      <c r="R17" s="140">
        <f t="shared" si="2"/>
        <v>5285548.4899999993</v>
      </c>
      <c r="S17" s="140">
        <f t="shared" si="9"/>
        <v>5285548.49</v>
      </c>
      <c r="T17" s="129">
        <f t="shared" si="10"/>
        <v>4756993.6399999997</v>
      </c>
      <c r="U17" s="159">
        <f>ROUND((S17-W17)*(1-$S$34),2)</f>
        <v>3187182.94</v>
      </c>
      <c r="V17" s="159">
        <f t="shared" si="11"/>
        <v>1569810.7</v>
      </c>
      <c r="W17" s="158">
        <f t="shared" si="12"/>
        <v>528554.85</v>
      </c>
      <c r="X17" s="199">
        <f t="shared" si="13"/>
        <v>0.10000000018919511</v>
      </c>
      <c r="Y17" s="158">
        <f t="shared" si="14"/>
        <v>1761849.4966666668</v>
      </c>
      <c r="Z17" s="175"/>
      <c r="AA17" s="200">
        <f t="shared" si="15"/>
        <v>0</v>
      </c>
      <c r="AB17" s="196" t="e">
        <f t="shared" si="16"/>
        <v>#DIV/0!</v>
      </c>
      <c r="AC17" s="196" t="e">
        <f t="shared" si="17"/>
        <v>#DIV/0!</v>
      </c>
      <c r="AD17" s="196" t="e">
        <f t="shared" si="18"/>
        <v>#DIV/0!</v>
      </c>
      <c r="AE17" s="196" t="e">
        <f t="shared" si="19"/>
        <v>#DIV/0!</v>
      </c>
      <c r="AF17" s="196" t="e">
        <f t="shared" si="20"/>
        <v>#DIV/0!</v>
      </c>
      <c r="AG17" s="196" t="e">
        <f t="shared" si="21"/>
        <v>#DIV/0!</v>
      </c>
      <c r="AH17" s="198" t="e">
        <f t="shared" si="22"/>
        <v>#DIV/0!</v>
      </c>
      <c r="AI17" s="158">
        <f t="shared" si="23"/>
        <v>0</v>
      </c>
      <c r="AJ17" s="162">
        <f t="shared" si="24"/>
        <v>1580106.05</v>
      </c>
      <c r="AK17" s="162">
        <f t="shared" si="25"/>
        <v>4756993.6399999997</v>
      </c>
      <c r="AL17" s="188" t="s">
        <v>69</v>
      </c>
      <c r="AM17" s="101">
        <f>ROUND(AJ17/1000,1)</f>
        <v>1580.1</v>
      </c>
      <c r="AN17" s="101">
        <f t="shared" si="26"/>
        <v>4757</v>
      </c>
      <c r="AO17" s="188" t="s">
        <v>69</v>
      </c>
    </row>
    <row r="18" spans="1:41" ht="15.75" x14ac:dyDescent="0.25">
      <c r="A18" s="132">
        <v>13</v>
      </c>
      <c r="B18" s="133" t="s">
        <v>15</v>
      </c>
      <c r="C18" s="194">
        <f>+'расчет точ'!C19</f>
        <v>0.9</v>
      </c>
      <c r="D18" s="194">
        <f>+'расчет точ'!D19</f>
        <v>0.9</v>
      </c>
      <c r="E18" s="194">
        <f>+'расчет точ'!E19</f>
        <v>0.9</v>
      </c>
      <c r="F18" s="195"/>
      <c r="G18" s="136">
        <f t="shared" si="3"/>
        <v>0</v>
      </c>
      <c r="H18" s="196">
        <f t="shared" si="0"/>
        <v>0</v>
      </c>
      <c r="I18" s="196">
        <f t="shared" si="4"/>
        <v>0</v>
      </c>
      <c r="J18" s="197">
        <f t="shared" si="1"/>
        <v>0</v>
      </c>
      <c r="K18" s="197">
        <f>ROUND((I18-M18)*(1-$H$34),2)</f>
        <v>0</v>
      </c>
      <c r="L18" s="197">
        <f t="shared" si="28"/>
        <v>0</v>
      </c>
      <c r="M18" s="196">
        <f t="shared" si="5"/>
        <v>0</v>
      </c>
      <c r="N18" s="198">
        <f t="shared" si="6"/>
        <v>0</v>
      </c>
      <c r="O18" s="158">
        <f t="shared" si="7"/>
        <v>0</v>
      </c>
      <c r="P18" s="175">
        <v>1</v>
      </c>
      <c r="Q18" s="136">
        <f t="shared" si="8"/>
        <v>0.9</v>
      </c>
      <c r="R18" s="140">
        <f t="shared" si="2"/>
        <v>1761849.5</v>
      </c>
      <c r="S18" s="140">
        <f t="shared" si="9"/>
        <v>1761849.5</v>
      </c>
      <c r="T18" s="129">
        <f t="shared" si="10"/>
        <v>1585664.55</v>
      </c>
      <c r="U18" s="159">
        <f t="shared" si="30"/>
        <v>1062394.32</v>
      </c>
      <c r="V18" s="159">
        <f t="shared" si="11"/>
        <v>523270.23</v>
      </c>
      <c r="W18" s="158">
        <f t="shared" si="12"/>
        <v>176184.95</v>
      </c>
      <c r="X18" s="199">
        <f t="shared" si="13"/>
        <v>0.1</v>
      </c>
      <c r="Y18" s="158">
        <f t="shared" si="14"/>
        <v>1761849.5</v>
      </c>
      <c r="Z18" s="175"/>
      <c r="AA18" s="200">
        <f t="shared" si="15"/>
        <v>0</v>
      </c>
      <c r="AB18" s="196" t="e">
        <f t="shared" si="16"/>
        <v>#DIV/0!</v>
      </c>
      <c r="AC18" s="196" t="e">
        <f t="shared" si="17"/>
        <v>#DIV/0!</v>
      </c>
      <c r="AD18" s="196" t="e">
        <f t="shared" si="18"/>
        <v>#DIV/0!</v>
      </c>
      <c r="AE18" s="196" t="e">
        <f t="shared" si="19"/>
        <v>#DIV/0!</v>
      </c>
      <c r="AF18" s="196" t="e">
        <f t="shared" si="20"/>
        <v>#DIV/0!</v>
      </c>
      <c r="AG18" s="196" t="e">
        <f t="shared" si="21"/>
        <v>#DIV/0!</v>
      </c>
      <c r="AH18" s="198" t="e">
        <f t="shared" si="22"/>
        <v>#DIV/0!</v>
      </c>
      <c r="AI18" s="158">
        <f t="shared" si="23"/>
        <v>0</v>
      </c>
      <c r="AJ18" s="162">
        <f t="shared" si="24"/>
        <v>0</v>
      </c>
      <c r="AK18" s="162">
        <f t="shared" si="25"/>
        <v>1585664.55</v>
      </c>
      <c r="AL18" s="188" t="s">
        <v>69</v>
      </c>
      <c r="AM18" s="101">
        <f>ROUND(AJ18/1000,1)</f>
        <v>0</v>
      </c>
      <c r="AN18" s="101">
        <f t="shared" si="26"/>
        <v>1585.7</v>
      </c>
      <c r="AO18" s="188" t="s">
        <v>69</v>
      </c>
    </row>
    <row r="19" spans="1:41" ht="15.75" x14ac:dyDescent="0.25">
      <c r="A19" s="132">
        <v>14</v>
      </c>
      <c r="B19" s="133" t="s">
        <v>16</v>
      </c>
      <c r="C19" s="194">
        <f>+'расчет точ'!C20</f>
        <v>0.89</v>
      </c>
      <c r="D19" s="194">
        <f>+'расчет точ'!D20</f>
        <v>0.89</v>
      </c>
      <c r="E19" s="194">
        <f>+'расчет точ'!E20</f>
        <v>0.89</v>
      </c>
      <c r="F19" s="195"/>
      <c r="G19" s="136">
        <f t="shared" si="3"/>
        <v>0</v>
      </c>
      <c r="H19" s="196">
        <f t="shared" si="0"/>
        <v>0</v>
      </c>
      <c r="I19" s="196">
        <f t="shared" si="4"/>
        <v>0</v>
      </c>
      <c r="J19" s="197">
        <f t="shared" si="1"/>
        <v>0</v>
      </c>
      <c r="K19" s="197">
        <f t="shared" si="27"/>
        <v>0</v>
      </c>
      <c r="L19" s="197">
        <f>ROUND((I19-M19)*$H$34,2)</f>
        <v>0</v>
      </c>
      <c r="M19" s="196">
        <f t="shared" si="5"/>
        <v>0</v>
      </c>
      <c r="N19" s="198">
        <f t="shared" si="6"/>
        <v>0</v>
      </c>
      <c r="O19" s="158">
        <f t="shared" si="7"/>
        <v>0</v>
      </c>
      <c r="P19" s="175">
        <v>2</v>
      </c>
      <c r="Q19" s="136">
        <f t="shared" si="8"/>
        <v>1.78</v>
      </c>
      <c r="R19" s="140">
        <f t="shared" si="2"/>
        <v>3523698.9900000007</v>
      </c>
      <c r="S19" s="140">
        <f t="shared" si="9"/>
        <v>3523699</v>
      </c>
      <c r="T19" s="129">
        <f t="shared" si="10"/>
        <v>3136092.1000000006</v>
      </c>
      <c r="U19" s="159">
        <f>ROUND((S19-W19)*(1-$S$34),2)-0.01</f>
        <v>2101179.8600000003</v>
      </c>
      <c r="V19" s="159">
        <f t="shared" si="11"/>
        <v>1034912.24</v>
      </c>
      <c r="W19" s="158">
        <f t="shared" si="12"/>
        <v>387606.89</v>
      </c>
      <c r="X19" s="199">
        <f t="shared" si="13"/>
        <v>0.11</v>
      </c>
      <c r="Y19" s="158">
        <f t="shared" si="14"/>
        <v>1761849.5</v>
      </c>
      <c r="Z19" s="175"/>
      <c r="AA19" s="200">
        <f t="shared" si="15"/>
        <v>0</v>
      </c>
      <c r="AB19" s="196" t="e">
        <f t="shared" si="16"/>
        <v>#DIV/0!</v>
      </c>
      <c r="AC19" s="196" t="e">
        <f t="shared" si="17"/>
        <v>#DIV/0!</v>
      </c>
      <c r="AD19" s="196" t="e">
        <f t="shared" si="18"/>
        <v>#DIV/0!</v>
      </c>
      <c r="AE19" s="196" t="e">
        <f>ROUND((AC19-AG19)*(1-$AC$34),2)-0.01</f>
        <v>#DIV/0!</v>
      </c>
      <c r="AF19" s="196" t="e">
        <f t="shared" si="20"/>
        <v>#DIV/0!</v>
      </c>
      <c r="AG19" s="196" t="e">
        <f t="shared" si="21"/>
        <v>#DIV/0!</v>
      </c>
      <c r="AH19" s="198" t="e">
        <f t="shared" si="22"/>
        <v>#DIV/0!</v>
      </c>
      <c r="AI19" s="158">
        <f t="shared" si="23"/>
        <v>0</v>
      </c>
      <c r="AJ19" s="162">
        <f t="shared" si="24"/>
        <v>0</v>
      </c>
      <c r="AK19" s="162">
        <f t="shared" si="25"/>
        <v>3136092.1000000006</v>
      </c>
      <c r="AL19" s="188" t="s">
        <v>69</v>
      </c>
      <c r="AM19" s="101">
        <f t="shared" si="29"/>
        <v>0</v>
      </c>
      <c r="AN19" s="101">
        <f t="shared" si="26"/>
        <v>3136.1</v>
      </c>
      <c r="AO19" s="188" t="s">
        <v>69</v>
      </c>
    </row>
    <row r="20" spans="1:41" ht="15.75" x14ac:dyDescent="0.25">
      <c r="A20" s="132">
        <v>15</v>
      </c>
      <c r="B20" s="133" t="s">
        <v>17</v>
      </c>
      <c r="C20" s="194">
        <f>+'расчет точ'!C21</f>
        <v>0.9</v>
      </c>
      <c r="D20" s="194">
        <f>+'расчет точ'!D21</f>
        <v>0.89</v>
      </c>
      <c r="E20" s="194">
        <f>+'расчет точ'!E21</f>
        <v>0.88</v>
      </c>
      <c r="F20" s="195">
        <v>1</v>
      </c>
      <c r="G20" s="136">
        <f t="shared" si="3"/>
        <v>0.9</v>
      </c>
      <c r="H20" s="196">
        <f t="shared" si="0"/>
        <v>1755673.3900000001</v>
      </c>
      <c r="I20" s="196">
        <f t="shared" si="4"/>
        <v>1755673.4</v>
      </c>
      <c r="J20" s="197">
        <f t="shared" si="1"/>
        <v>1580106.05</v>
      </c>
      <c r="K20" s="197">
        <f>ROUND((I20-M20)*(1-$H$34),2)-0.01</f>
        <v>1058668.26</v>
      </c>
      <c r="L20" s="197">
        <f>ROUND((I20-M20)*$H$34,2)</f>
        <v>521437.79</v>
      </c>
      <c r="M20" s="196">
        <f t="shared" si="5"/>
        <v>175567.34</v>
      </c>
      <c r="N20" s="198">
        <f t="shared" si="6"/>
        <v>0.1</v>
      </c>
      <c r="O20" s="158">
        <f t="shared" si="7"/>
        <v>1755673.4</v>
      </c>
      <c r="P20" s="175">
        <v>1</v>
      </c>
      <c r="Q20" s="136">
        <f t="shared" si="8"/>
        <v>0.89</v>
      </c>
      <c r="R20" s="140">
        <f t="shared" si="2"/>
        <v>1761849.49</v>
      </c>
      <c r="S20" s="140">
        <f t="shared" si="9"/>
        <v>1761849.5</v>
      </c>
      <c r="T20" s="129">
        <f t="shared" si="10"/>
        <v>1568046.04</v>
      </c>
      <c r="U20" s="159">
        <f>ROUND((S20-W20)*(1-$S$34),2)</f>
        <v>1050589.93</v>
      </c>
      <c r="V20" s="159">
        <f>ROUND((S20-W20)*$S$34,2)-0.01</f>
        <v>517456.11</v>
      </c>
      <c r="W20" s="158">
        <f t="shared" si="12"/>
        <v>193803.45</v>
      </c>
      <c r="X20" s="199">
        <f t="shared" si="13"/>
        <v>0.11000000283792685</v>
      </c>
      <c r="Y20" s="158">
        <f t="shared" si="14"/>
        <v>1761849.5</v>
      </c>
      <c r="Z20" s="175"/>
      <c r="AA20" s="200">
        <f t="shared" si="15"/>
        <v>0</v>
      </c>
      <c r="AB20" s="196" t="e">
        <f t="shared" si="16"/>
        <v>#DIV/0!</v>
      </c>
      <c r="AC20" s="196" t="e">
        <f t="shared" si="17"/>
        <v>#DIV/0!</v>
      </c>
      <c r="AD20" s="196" t="e">
        <f t="shared" si="18"/>
        <v>#DIV/0!</v>
      </c>
      <c r="AE20" s="196" t="e">
        <f t="shared" si="19"/>
        <v>#DIV/0!</v>
      </c>
      <c r="AF20" s="196" t="e">
        <f>ROUND((AC20-AG20)*$AC$34,2)-0.01</f>
        <v>#DIV/0!</v>
      </c>
      <c r="AG20" s="196" t="e">
        <f t="shared" si="21"/>
        <v>#DIV/0!</v>
      </c>
      <c r="AH20" s="198" t="e">
        <f t="shared" si="22"/>
        <v>#DIV/0!</v>
      </c>
      <c r="AI20" s="158">
        <f t="shared" si="23"/>
        <v>0</v>
      </c>
      <c r="AJ20" s="162">
        <f t="shared" si="24"/>
        <v>1580106.05</v>
      </c>
      <c r="AK20" s="162">
        <f t="shared" si="25"/>
        <v>1568046.04</v>
      </c>
      <c r="AL20" s="188" t="s">
        <v>69</v>
      </c>
      <c r="AM20" s="101">
        <f>ROUND(AJ20/1000,1)</f>
        <v>1580.1</v>
      </c>
      <c r="AN20" s="101">
        <f t="shared" si="26"/>
        <v>1568</v>
      </c>
      <c r="AO20" s="188" t="s">
        <v>69</v>
      </c>
    </row>
    <row r="21" spans="1:41" ht="15.75" x14ac:dyDescent="0.25">
      <c r="A21" s="132">
        <v>16</v>
      </c>
      <c r="B21" s="133" t="s">
        <v>18</v>
      </c>
      <c r="C21" s="194">
        <f>+'расчет точ'!C22</f>
        <v>0.9</v>
      </c>
      <c r="D21" s="194">
        <f>+'расчет точ'!D22</f>
        <v>0.91</v>
      </c>
      <c r="E21" s="194">
        <f>+'расчет точ'!E22</f>
        <v>0.91</v>
      </c>
      <c r="F21" s="195"/>
      <c r="G21" s="136">
        <f t="shared" si="3"/>
        <v>0</v>
      </c>
      <c r="H21" s="196">
        <f t="shared" si="0"/>
        <v>0</v>
      </c>
      <c r="I21" s="196">
        <f t="shared" si="4"/>
        <v>0</v>
      </c>
      <c r="J21" s="197">
        <f t="shared" si="1"/>
        <v>0</v>
      </c>
      <c r="K21" s="197">
        <f t="shared" si="27"/>
        <v>0</v>
      </c>
      <c r="L21" s="197">
        <f t="shared" si="28"/>
        <v>0</v>
      </c>
      <c r="M21" s="196">
        <f t="shared" si="5"/>
        <v>0</v>
      </c>
      <c r="N21" s="198">
        <f t="shared" si="6"/>
        <v>0</v>
      </c>
      <c r="O21" s="158">
        <f t="shared" si="7"/>
        <v>0</v>
      </c>
      <c r="P21" s="148">
        <v>3</v>
      </c>
      <c r="Q21" s="136">
        <f t="shared" si="8"/>
        <v>2.73</v>
      </c>
      <c r="R21" s="140">
        <f t="shared" si="2"/>
        <v>5285548.49</v>
      </c>
      <c r="S21" s="140">
        <f t="shared" si="9"/>
        <v>5285548.49</v>
      </c>
      <c r="T21" s="129">
        <f t="shared" si="10"/>
        <v>4809849.12</v>
      </c>
      <c r="U21" s="159">
        <f t="shared" si="30"/>
        <v>3222596.08</v>
      </c>
      <c r="V21" s="159">
        <f t="shared" si="11"/>
        <v>1587253.04</v>
      </c>
      <c r="W21" s="158">
        <f>ROUND(S21*(1-D21),2)+0.01</f>
        <v>475699.37</v>
      </c>
      <c r="X21" s="199">
        <f t="shared" si="13"/>
        <v>9.0000001116251227E-2</v>
      </c>
      <c r="Y21" s="158">
        <f t="shared" si="14"/>
        <v>1761849.4966666668</v>
      </c>
      <c r="Z21" s="148"/>
      <c r="AA21" s="200">
        <f t="shared" si="15"/>
        <v>0</v>
      </c>
      <c r="AB21" s="196" t="e">
        <f t="shared" si="16"/>
        <v>#DIV/0!</v>
      </c>
      <c r="AC21" s="196" t="e">
        <f t="shared" si="17"/>
        <v>#DIV/0!</v>
      </c>
      <c r="AD21" s="196" t="e">
        <f t="shared" si="18"/>
        <v>#DIV/0!</v>
      </c>
      <c r="AE21" s="196" t="e">
        <f t="shared" si="19"/>
        <v>#DIV/0!</v>
      </c>
      <c r="AF21" s="196" t="e">
        <f t="shared" si="20"/>
        <v>#DIV/0!</v>
      </c>
      <c r="AG21" s="196" t="e">
        <f t="shared" si="21"/>
        <v>#DIV/0!</v>
      </c>
      <c r="AH21" s="198" t="e">
        <f t="shared" si="22"/>
        <v>#DIV/0!</v>
      </c>
      <c r="AI21" s="158">
        <f t="shared" si="23"/>
        <v>0</v>
      </c>
      <c r="AJ21" s="162">
        <f t="shared" si="24"/>
        <v>0</v>
      </c>
      <c r="AK21" s="162">
        <f t="shared" si="25"/>
        <v>4809849.12</v>
      </c>
      <c r="AL21" s="188" t="s">
        <v>69</v>
      </c>
      <c r="AM21" s="101">
        <f t="shared" si="29"/>
        <v>0</v>
      </c>
      <c r="AN21" s="101">
        <f t="shared" si="26"/>
        <v>4809.8</v>
      </c>
      <c r="AO21" s="188" t="s">
        <v>69</v>
      </c>
    </row>
    <row r="22" spans="1:41" ht="15.75" x14ac:dyDescent="0.25">
      <c r="A22" s="132">
        <v>17</v>
      </c>
      <c r="B22" s="133" t="s">
        <v>19</v>
      </c>
      <c r="C22" s="194">
        <f>+'расчет точ'!C23</f>
        <v>0.9</v>
      </c>
      <c r="D22" s="194">
        <f>+'расчет точ'!D23</f>
        <v>0.89</v>
      </c>
      <c r="E22" s="194">
        <f>+'расчет точ'!E23</f>
        <v>0.89</v>
      </c>
      <c r="F22" s="195"/>
      <c r="G22" s="136">
        <f t="shared" si="3"/>
        <v>0</v>
      </c>
      <c r="H22" s="196">
        <f t="shared" si="0"/>
        <v>0</v>
      </c>
      <c r="I22" s="196">
        <f t="shared" si="4"/>
        <v>0</v>
      </c>
      <c r="J22" s="197">
        <f t="shared" si="1"/>
        <v>0</v>
      </c>
      <c r="K22" s="197">
        <f>ROUND((I22-M22)*(1-$H$34),2)</f>
        <v>0</v>
      </c>
      <c r="L22" s="197">
        <f>ROUND((I22-M22)*$H$34,2)</f>
        <v>0</v>
      </c>
      <c r="M22" s="196">
        <f t="shared" si="5"/>
        <v>0</v>
      </c>
      <c r="N22" s="198">
        <f t="shared" si="6"/>
        <v>0</v>
      </c>
      <c r="O22" s="158">
        <f t="shared" si="7"/>
        <v>0</v>
      </c>
      <c r="P22" s="148">
        <v>7</v>
      </c>
      <c r="Q22" s="136">
        <f t="shared" si="8"/>
        <v>6.23</v>
      </c>
      <c r="R22" s="140">
        <f t="shared" si="2"/>
        <v>12332946.490000002</v>
      </c>
      <c r="S22" s="140">
        <f t="shared" si="9"/>
        <v>12332946.49</v>
      </c>
      <c r="T22" s="129">
        <f t="shared" si="10"/>
        <v>10976322.370000001</v>
      </c>
      <c r="U22" s="159">
        <f t="shared" si="30"/>
        <v>7354129.5300000003</v>
      </c>
      <c r="V22" s="159">
        <f t="shared" si="11"/>
        <v>3622192.84</v>
      </c>
      <c r="W22" s="158">
        <f>ROUND(S22*(1-D22),2)+0.01</f>
        <v>1356624.12</v>
      </c>
      <c r="X22" s="199">
        <f t="shared" si="13"/>
        <v>0.11000000049461012</v>
      </c>
      <c r="Y22" s="158">
        <f t="shared" si="14"/>
        <v>1761849.4985714287</v>
      </c>
      <c r="Z22" s="148"/>
      <c r="AA22" s="200">
        <f t="shared" si="15"/>
        <v>0</v>
      </c>
      <c r="AB22" s="196" t="e">
        <f t="shared" si="16"/>
        <v>#DIV/0!</v>
      </c>
      <c r="AC22" s="196" t="e">
        <f t="shared" si="17"/>
        <v>#DIV/0!</v>
      </c>
      <c r="AD22" s="196" t="e">
        <f t="shared" si="18"/>
        <v>#DIV/0!</v>
      </c>
      <c r="AE22" s="196" t="e">
        <f t="shared" si="19"/>
        <v>#DIV/0!</v>
      </c>
      <c r="AF22" s="196" t="e">
        <f t="shared" si="20"/>
        <v>#DIV/0!</v>
      </c>
      <c r="AG22" s="196" t="e">
        <f t="shared" si="21"/>
        <v>#DIV/0!</v>
      </c>
      <c r="AH22" s="198" t="e">
        <f t="shared" si="22"/>
        <v>#DIV/0!</v>
      </c>
      <c r="AI22" s="158">
        <f t="shared" si="23"/>
        <v>0</v>
      </c>
      <c r="AJ22" s="162">
        <f t="shared" si="24"/>
        <v>0</v>
      </c>
      <c r="AK22" s="162">
        <f t="shared" si="25"/>
        <v>10976322.370000001</v>
      </c>
      <c r="AL22" s="188" t="s">
        <v>69</v>
      </c>
      <c r="AM22" s="101">
        <f t="shared" si="29"/>
        <v>0</v>
      </c>
      <c r="AN22" s="101">
        <f t="shared" si="29"/>
        <v>10976.3</v>
      </c>
      <c r="AO22" s="188" t="s">
        <v>69</v>
      </c>
    </row>
    <row r="23" spans="1:41" ht="15.75" x14ac:dyDescent="0.25">
      <c r="A23" s="132">
        <v>18</v>
      </c>
      <c r="B23" s="149" t="s">
        <v>20</v>
      </c>
      <c r="C23" s="194">
        <f>+'расчет точ'!C24</f>
        <v>0.77</v>
      </c>
      <c r="D23" s="194">
        <f>+'расчет точ'!D24</f>
        <v>0.76</v>
      </c>
      <c r="E23" s="194">
        <f>+'расчет точ'!E24</f>
        <v>0.78</v>
      </c>
      <c r="F23" s="195"/>
      <c r="G23" s="136">
        <f t="shared" si="3"/>
        <v>0</v>
      </c>
      <c r="H23" s="196">
        <f t="shared" si="0"/>
        <v>0</v>
      </c>
      <c r="I23" s="196">
        <f t="shared" si="4"/>
        <v>0</v>
      </c>
      <c r="J23" s="197">
        <f t="shared" si="1"/>
        <v>0</v>
      </c>
      <c r="K23" s="197">
        <f t="shared" si="27"/>
        <v>0</v>
      </c>
      <c r="L23" s="197">
        <f t="shared" si="28"/>
        <v>0</v>
      </c>
      <c r="M23" s="196">
        <f t="shared" si="5"/>
        <v>0</v>
      </c>
      <c r="N23" s="198">
        <f t="shared" si="6"/>
        <v>0</v>
      </c>
      <c r="O23" s="158">
        <f t="shared" si="7"/>
        <v>0</v>
      </c>
      <c r="P23" s="148">
        <v>1</v>
      </c>
      <c r="Q23" s="136">
        <f t="shared" si="8"/>
        <v>0.76</v>
      </c>
      <c r="R23" s="140">
        <f t="shared" si="2"/>
        <v>1761849.5</v>
      </c>
      <c r="S23" s="140">
        <f t="shared" si="9"/>
        <v>1761849.5</v>
      </c>
      <c r="T23" s="129">
        <f t="shared" si="10"/>
        <v>1339005.6200000001</v>
      </c>
      <c r="U23" s="159">
        <f t="shared" si="30"/>
        <v>897132.98</v>
      </c>
      <c r="V23" s="159">
        <f t="shared" si="11"/>
        <v>441872.64000000001</v>
      </c>
      <c r="W23" s="158">
        <f t="shared" si="12"/>
        <v>422843.88</v>
      </c>
      <c r="X23" s="199">
        <f t="shared" si="13"/>
        <v>0.24</v>
      </c>
      <c r="Y23" s="158">
        <f t="shared" si="14"/>
        <v>1761849.5</v>
      </c>
      <c r="Z23" s="148"/>
      <c r="AA23" s="200">
        <f t="shared" si="15"/>
        <v>0</v>
      </c>
      <c r="AB23" s="196" t="e">
        <f t="shared" si="16"/>
        <v>#DIV/0!</v>
      </c>
      <c r="AC23" s="196" t="e">
        <f t="shared" si="17"/>
        <v>#DIV/0!</v>
      </c>
      <c r="AD23" s="196" t="e">
        <f t="shared" si="18"/>
        <v>#DIV/0!</v>
      </c>
      <c r="AE23" s="196" t="e">
        <f t="shared" si="19"/>
        <v>#DIV/0!</v>
      </c>
      <c r="AF23" s="196" t="e">
        <f t="shared" si="20"/>
        <v>#DIV/0!</v>
      </c>
      <c r="AG23" s="196" t="e">
        <f t="shared" si="21"/>
        <v>#DIV/0!</v>
      </c>
      <c r="AH23" s="198" t="e">
        <f t="shared" si="22"/>
        <v>#DIV/0!</v>
      </c>
      <c r="AI23" s="158">
        <f t="shared" si="23"/>
        <v>0</v>
      </c>
      <c r="AJ23" s="162">
        <f t="shared" si="24"/>
        <v>0</v>
      </c>
      <c r="AK23" s="162">
        <f t="shared" si="25"/>
        <v>1339005.6200000001</v>
      </c>
      <c r="AL23" s="188" t="s">
        <v>69</v>
      </c>
      <c r="AM23" s="101">
        <f t="shared" si="29"/>
        <v>0</v>
      </c>
      <c r="AN23" s="101">
        <f t="shared" si="29"/>
        <v>1339</v>
      </c>
      <c r="AO23" s="188" t="s">
        <v>69</v>
      </c>
    </row>
    <row r="24" spans="1:41" ht="15.75" x14ac:dyDescent="0.25">
      <c r="A24" s="132"/>
      <c r="B24" s="133" t="s">
        <v>58</v>
      </c>
      <c r="C24" s="134"/>
      <c r="D24" s="134"/>
      <c r="E24" s="134"/>
      <c r="F24" s="196">
        <f t="shared" ref="F24" si="34">SUM(F6:F23)</f>
        <v>7</v>
      </c>
      <c r="G24" s="201">
        <f t="shared" ref="G24:M24" si="35">SUM(G6:G23)</f>
        <v>6.24</v>
      </c>
      <c r="H24" s="196">
        <f t="shared" si="35"/>
        <v>12289713.780000001</v>
      </c>
      <c r="I24" s="196">
        <f t="shared" si="35"/>
        <v>12289713.790000001</v>
      </c>
      <c r="J24" s="197">
        <f t="shared" si="35"/>
        <v>10955402.000000002</v>
      </c>
      <c r="K24" s="197">
        <f t="shared" si="35"/>
        <v>7340100</v>
      </c>
      <c r="L24" s="197">
        <f t="shared" si="35"/>
        <v>3615302</v>
      </c>
      <c r="M24" s="196">
        <f t="shared" si="35"/>
        <v>1334311.78</v>
      </c>
      <c r="N24" s="198">
        <f t="shared" si="6"/>
        <v>0.10857142833429646</v>
      </c>
      <c r="O24" s="158">
        <f t="shared" si="7"/>
        <v>1755673.3985714286</v>
      </c>
      <c r="P24" s="202">
        <f t="shared" ref="P24" si="36">SUM(P6:P23)</f>
        <v>58</v>
      </c>
      <c r="Q24" s="196">
        <f t="shared" ref="Q24:W24" si="37">SUM(Q6:Q23)</f>
        <v>51.800000000000004</v>
      </c>
      <c r="R24" s="196">
        <f t="shared" si="37"/>
        <v>102187270.82999998</v>
      </c>
      <c r="S24" s="196">
        <f t="shared" si="37"/>
        <v>102187270.88999999</v>
      </c>
      <c r="T24" s="203">
        <f t="shared" si="37"/>
        <v>91263803.890000001</v>
      </c>
      <c r="U24" s="203">
        <f t="shared" si="37"/>
        <v>61146694.889999993</v>
      </c>
      <c r="V24" s="203">
        <f t="shared" si="37"/>
        <v>30117108.999999996</v>
      </c>
      <c r="W24" s="196">
        <f t="shared" si="37"/>
        <v>10923466.939999999</v>
      </c>
      <c r="X24" s="199">
        <f t="shared" si="13"/>
        <v>0.10689655223064545</v>
      </c>
      <c r="Y24" s="158">
        <f t="shared" si="14"/>
        <v>1761849.498103448</v>
      </c>
      <c r="Z24" s="196">
        <f t="shared" ref="Z24:AG24" si="38">SUM(Z6:Z23)</f>
        <v>0</v>
      </c>
      <c r="AA24" s="200">
        <f t="shared" si="38"/>
        <v>0</v>
      </c>
      <c r="AB24" s="196" t="e">
        <f t="shared" si="38"/>
        <v>#DIV/0!</v>
      </c>
      <c r="AC24" s="196" t="e">
        <f t="shared" si="38"/>
        <v>#DIV/0!</v>
      </c>
      <c r="AD24" s="196" t="e">
        <f t="shared" si="38"/>
        <v>#DIV/0!</v>
      </c>
      <c r="AE24" s="196" t="e">
        <f t="shared" si="38"/>
        <v>#DIV/0!</v>
      </c>
      <c r="AF24" s="196" t="e">
        <f t="shared" si="38"/>
        <v>#DIV/0!</v>
      </c>
      <c r="AG24" s="196" t="e">
        <f t="shared" si="38"/>
        <v>#DIV/0!</v>
      </c>
      <c r="AH24" s="198" t="e">
        <f t="shared" si="22"/>
        <v>#DIV/0!</v>
      </c>
      <c r="AI24" s="158">
        <f t="shared" si="23"/>
        <v>0</v>
      </c>
      <c r="AJ24" s="196">
        <f t="shared" ref="AJ24:AN24" si="39">SUM(AJ6:AJ23)</f>
        <v>10955402.000000002</v>
      </c>
      <c r="AK24" s="196">
        <f t="shared" si="39"/>
        <v>91263803.890000001</v>
      </c>
      <c r="AL24" s="188" t="s">
        <v>69</v>
      </c>
      <c r="AM24" s="196">
        <f t="shared" si="39"/>
        <v>10955.400000000001</v>
      </c>
      <c r="AN24" s="196">
        <f t="shared" si="39"/>
        <v>91263.8</v>
      </c>
      <c r="AO24" s="188" t="s">
        <v>69</v>
      </c>
    </row>
    <row r="25" spans="1:41" ht="15.75" hidden="1" x14ac:dyDescent="0.2">
      <c r="A25" s="154" t="s">
        <v>60</v>
      </c>
      <c r="B25" s="133" t="s">
        <v>59</v>
      </c>
      <c r="C25" s="134">
        <v>1</v>
      </c>
      <c r="D25" s="134">
        <v>1</v>
      </c>
      <c r="E25" s="134">
        <v>1</v>
      </c>
      <c r="F25" s="148"/>
      <c r="G25" s="136">
        <f t="shared" ref="G25:G27" si="40">C25*F25</f>
        <v>0</v>
      </c>
      <c r="H25" s="196">
        <f t="shared" ref="H25:H27" si="41">K25+L25+M25</f>
        <v>0</v>
      </c>
      <c r="I25" s="196">
        <f t="shared" ref="I25:I27" si="42">ROUND($H$32/$G$28*F25,2)</f>
        <v>0</v>
      </c>
      <c r="J25" s="197">
        <f t="shared" ref="J25:J27" si="43">K25+L25</f>
        <v>0</v>
      </c>
      <c r="K25" s="197">
        <f t="shared" ref="K25:K27" si="44">ROUND((I25-M25)*(1-$H$34),2)</f>
        <v>0</v>
      </c>
      <c r="L25" s="197">
        <f t="shared" ref="L25:L27" si="45">ROUND((I25-M25)*$H$34,2)</f>
        <v>0</v>
      </c>
      <c r="M25" s="196">
        <f t="shared" ref="M25:M27" si="46">ROUNDUP(I25*(1-C25),2)</f>
        <v>0</v>
      </c>
      <c r="N25" s="198">
        <f t="shared" si="6"/>
        <v>0</v>
      </c>
      <c r="O25" s="158">
        <f t="shared" si="7"/>
        <v>0</v>
      </c>
      <c r="P25" s="148"/>
      <c r="Q25" s="136">
        <f t="shared" ref="Q25:Q27" si="47">P25*D25</f>
        <v>0</v>
      </c>
      <c r="R25" s="140">
        <f t="shared" si="2"/>
        <v>0</v>
      </c>
      <c r="S25" s="140">
        <f t="shared" ref="S25:S27" si="48">ROUND($S$32/$Q$28*P25,2)</f>
        <v>0</v>
      </c>
      <c r="T25" s="129">
        <f t="shared" ref="T25:T27" si="49">U25+V25</f>
        <v>0</v>
      </c>
      <c r="U25" s="159">
        <f t="shared" ref="U25:U26" si="50">ROUND((S25-W25)*(1-$S$34),2)</f>
        <v>0</v>
      </c>
      <c r="V25" s="159">
        <f t="shared" ref="V25:V26" si="51">ROUND((S25-W25)*$S$34,2)</f>
        <v>0</v>
      </c>
      <c r="W25" s="158">
        <f t="shared" ref="W25:W27" si="52">ROUND(S25*(1-D25),2)</f>
        <v>0</v>
      </c>
      <c r="X25" s="199">
        <f t="shared" si="13"/>
        <v>0</v>
      </c>
      <c r="Y25" s="158">
        <f t="shared" si="14"/>
        <v>0</v>
      </c>
      <c r="Z25" s="148"/>
      <c r="AA25" s="200">
        <f t="shared" si="15"/>
        <v>0</v>
      </c>
      <c r="AB25" s="196" t="e">
        <f t="shared" si="16"/>
        <v>#DIV/0!</v>
      </c>
      <c r="AC25" s="196" t="e">
        <f t="shared" ref="AC25:AC27" si="53">ROUND($AC$32/$AA$28*Z25,2)</f>
        <v>#DIV/0!</v>
      </c>
      <c r="AD25" s="196" t="e">
        <f t="shared" ref="AD25:AD27" si="54">AE25+AF25</f>
        <v>#DIV/0!</v>
      </c>
      <c r="AE25" s="196" t="e">
        <f t="shared" ref="AE25:AE26" si="55">ROUND((AC25-AG25)*(1-$AC$34),2)</f>
        <v>#DIV/0!</v>
      </c>
      <c r="AF25" s="196" t="e">
        <f t="shared" ref="AF25:AF26" si="56">ROUND((AC25-AG25)*$AC$34,2)</f>
        <v>#DIV/0!</v>
      </c>
      <c r="AG25" s="196" t="e">
        <f t="shared" ref="AG25:AG27" si="57">ROUNDUP(AC25*(1-E25),2)</f>
        <v>#DIV/0!</v>
      </c>
      <c r="AH25" s="198" t="e">
        <f t="shared" si="22"/>
        <v>#DIV/0!</v>
      </c>
      <c r="AI25" s="158">
        <f t="shared" si="23"/>
        <v>0</v>
      </c>
      <c r="AJ25" s="162">
        <f t="shared" si="24"/>
        <v>0</v>
      </c>
      <c r="AK25" s="162">
        <f t="shared" si="25"/>
        <v>0</v>
      </c>
      <c r="AL25" s="188" t="s">
        <v>69</v>
      </c>
      <c r="AM25" s="101">
        <f t="shared" si="29"/>
        <v>0</v>
      </c>
      <c r="AN25" s="101">
        <f t="shared" si="29"/>
        <v>0</v>
      </c>
      <c r="AO25" s="188" t="s">
        <v>69</v>
      </c>
    </row>
    <row r="26" spans="1:41" ht="15.75" hidden="1" x14ac:dyDescent="0.2">
      <c r="A26" s="154" t="s">
        <v>61</v>
      </c>
      <c r="B26" s="133" t="s">
        <v>59</v>
      </c>
      <c r="C26" s="134">
        <v>1</v>
      </c>
      <c r="D26" s="134">
        <v>1</v>
      </c>
      <c r="E26" s="134">
        <v>1</v>
      </c>
      <c r="F26" s="148"/>
      <c r="G26" s="136">
        <f t="shared" si="40"/>
        <v>0</v>
      </c>
      <c r="H26" s="196">
        <f t="shared" si="41"/>
        <v>0</v>
      </c>
      <c r="I26" s="196">
        <f t="shared" si="42"/>
        <v>0</v>
      </c>
      <c r="J26" s="197">
        <f t="shared" si="43"/>
        <v>0</v>
      </c>
      <c r="K26" s="197">
        <f t="shared" si="44"/>
        <v>0</v>
      </c>
      <c r="L26" s="197">
        <f t="shared" si="45"/>
        <v>0</v>
      </c>
      <c r="M26" s="196">
        <f t="shared" si="46"/>
        <v>0</v>
      </c>
      <c r="N26" s="198">
        <f t="shared" si="6"/>
        <v>0</v>
      </c>
      <c r="O26" s="158">
        <f t="shared" si="7"/>
        <v>0</v>
      </c>
      <c r="P26" s="148"/>
      <c r="Q26" s="136">
        <f t="shared" si="47"/>
        <v>0</v>
      </c>
      <c r="R26" s="140">
        <f t="shared" si="2"/>
        <v>0</v>
      </c>
      <c r="S26" s="140">
        <f t="shared" si="48"/>
        <v>0</v>
      </c>
      <c r="T26" s="129">
        <f t="shared" si="49"/>
        <v>0</v>
      </c>
      <c r="U26" s="159">
        <f t="shared" si="50"/>
        <v>0</v>
      </c>
      <c r="V26" s="159">
        <f t="shared" si="51"/>
        <v>0</v>
      </c>
      <c r="W26" s="158">
        <f t="shared" si="52"/>
        <v>0</v>
      </c>
      <c r="X26" s="199">
        <f t="shared" si="13"/>
        <v>0</v>
      </c>
      <c r="Y26" s="158">
        <f t="shared" si="14"/>
        <v>0</v>
      </c>
      <c r="Z26" s="148"/>
      <c r="AA26" s="200">
        <f t="shared" si="15"/>
        <v>0</v>
      </c>
      <c r="AB26" s="196" t="e">
        <f t="shared" si="16"/>
        <v>#DIV/0!</v>
      </c>
      <c r="AC26" s="196" t="e">
        <f t="shared" si="53"/>
        <v>#DIV/0!</v>
      </c>
      <c r="AD26" s="196" t="e">
        <f t="shared" si="54"/>
        <v>#DIV/0!</v>
      </c>
      <c r="AE26" s="196" t="e">
        <f t="shared" si="55"/>
        <v>#DIV/0!</v>
      </c>
      <c r="AF26" s="196" t="e">
        <f t="shared" si="56"/>
        <v>#DIV/0!</v>
      </c>
      <c r="AG26" s="196" t="e">
        <f t="shared" si="57"/>
        <v>#DIV/0!</v>
      </c>
      <c r="AH26" s="198" t="e">
        <f t="shared" si="22"/>
        <v>#DIV/0!</v>
      </c>
      <c r="AI26" s="158">
        <f t="shared" si="23"/>
        <v>0</v>
      </c>
      <c r="AJ26" s="162">
        <f t="shared" si="24"/>
        <v>0</v>
      </c>
      <c r="AK26" s="162">
        <f t="shared" si="25"/>
        <v>0</v>
      </c>
      <c r="AL26" s="188" t="s">
        <v>69</v>
      </c>
      <c r="AM26" s="101">
        <f t="shared" si="29"/>
        <v>0</v>
      </c>
      <c r="AN26" s="101">
        <f t="shared" si="29"/>
        <v>0</v>
      </c>
      <c r="AO26" s="188" t="s">
        <v>69</v>
      </c>
    </row>
    <row r="27" spans="1:41" ht="15.75" hidden="1" x14ac:dyDescent="0.2">
      <c r="A27" s="154" t="s">
        <v>62</v>
      </c>
      <c r="B27" s="133" t="s">
        <v>59</v>
      </c>
      <c r="C27" s="134">
        <v>1</v>
      </c>
      <c r="D27" s="134">
        <v>1</v>
      </c>
      <c r="E27" s="134">
        <v>1</v>
      </c>
      <c r="F27" s="148"/>
      <c r="G27" s="136">
        <f t="shared" si="40"/>
        <v>0</v>
      </c>
      <c r="H27" s="196">
        <f t="shared" si="41"/>
        <v>0</v>
      </c>
      <c r="I27" s="196">
        <f t="shared" si="42"/>
        <v>0</v>
      </c>
      <c r="J27" s="197">
        <f t="shared" si="43"/>
        <v>0</v>
      </c>
      <c r="K27" s="197">
        <f t="shared" si="44"/>
        <v>0</v>
      </c>
      <c r="L27" s="197">
        <f t="shared" si="45"/>
        <v>0</v>
      </c>
      <c r="M27" s="196">
        <f t="shared" si="46"/>
        <v>0</v>
      </c>
      <c r="N27" s="198">
        <f t="shared" si="6"/>
        <v>0</v>
      </c>
      <c r="O27" s="158">
        <f t="shared" si="7"/>
        <v>0</v>
      </c>
      <c r="P27" s="148">
        <v>8</v>
      </c>
      <c r="Q27" s="136">
        <f t="shared" si="47"/>
        <v>8</v>
      </c>
      <c r="R27" s="140">
        <f t="shared" si="2"/>
        <v>14094796.109999999</v>
      </c>
      <c r="S27" s="140">
        <f t="shared" si="48"/>
        <v>14094795.99</v>
      </c>
      <c r="T27" s="129">
        <f t="shared" si="49"/>
        <v>14094796.109999999</v>
      </c>
      <c r="U27" s="159">
        <f>ROUND((S27-W27)*(1-$S$34),2)+0.09</f>
        <v>9443505.1099999994</v>
      </c>
      <c r="V27" s="159">
        <f>ROUND((S27-W27)*$S$34,2)+0.03</f>
        <v>4651291</v>
      </c>
      <c r="W27" s="158">
        <f t="shared" si="52"/>
        <v>0</v>
      </c>
      <c r="X27" s="199">
        <f t="shared" si="13"/>
        <v>0</v>
      </c>
      <c r="Y27" s="158">
        <f t="shared" si="14"/>
        <v>1761849.49875</v>
      </c>
      <c r="Z27" s="148"/>
      <c r="AA27" s="200">
        <f t="shared" si="15"/>
        <v>0</v>
      </c>
      <c r="AB27" s="196" t="e">
        <f t="shared" si="16"/>
        <v>#DIV/0!</v>
      </c>
      <c r="AC27" s="196" t="e">
        <f t="shared" si="53"/>
        <v>#DIV/0!</v>
      </c>
      <c r="AD27" s="196" t="e">
        <f t="shared" si="54"/>
        <v>#DIV/0!</v>
      </c>
      <c r="AE27" s="196" t="e">
        <f>ROUND((AC27-AG27)*(1-$AC$34),2)+0.09</f>
        <v>#DIV/0!</v>
      </c>
      <c r="AF27" s="196" t="e">
        <f>ROUND((AC27-AG27)*$AC$34,2)+0.03</f>
        <v>#DIV/0!</v>
      </c>
      <c r="AG27" s="196" t="e">
        <f t="shared" si="57"/>
        <v>#DIV/0!</v>
      </c>
      <c r="AH27" s="198" t="e">
        <f t="shared" si="22"/>
        <v>#DIV/0!</v>
      </c>
      <c r="AI27" s="158">
        <f t="shared" si="23"/>
        <v>0</v>
      </c>
      <c r="AJ27" s="162">
        <f t="shared" si="24"/>
        <v>0</v>
      </c>
      <c r="AK27" s="162">
        <f t="shared" si="25"/>
        <v>14094796.109999999</v>
      </c>
      <c r="AL27" s="188" t="s">
        <v>69</v>
      </c>
      <c r="AM27" s="101">
        <f t="shared" si="29"/>
        <v>0</v>
      </c>
      <c r="AN27" s="101">
        <f t="shared" si="29"/>
        <v>14094.8</v>
      </c>
      <c r="AO27" s="188" t="s">
        <v>69</v>
      </c>
    </row>
    <row r="28" spans="1:41" ht="15.75" hidden="1" x14ac:dyDescent="0.2">
      <c r="A28" s="132"/>
      <c r="B28" s="133" t="s">
        <v>25</v>
      </c>
      <c r="C28" s="163"/>
      <c r="D28" s="163"/>
      <c r="E28" s="163"/>
      <c r="F28" s="148">
        <f t="shared" ref="F28" si="58">F24+F25+F26+F27</f>
        <v>7</v>
      </c>
      <c r="G28" s="201">
        <f t="shared" ref="G28:AG28" si="59">G24+G25+G26+G27</f>
        <v>6.24</v>
      </c>
      <c r="H28" s="196">
        <f t="shared" si="59"/>
        <v>12289713.780000001</v>
      </c>
      <c r="I28" s="196">
        <f t="shared" si="59"/>
        <v>12289713.790000001</v>
      </c>
      <c r="J28" s="197">
        <f t="shared" si="59"/>
        <v>10955402.000000002</v>
      </c>
      <c r="K28" s="197">
        <f t="shared" si="59"/>
        <v>7340100</v>
      </c>
      <c r="L28" s="197">
        <f t="shared" si="59"/>
        <v>3615302</v>
      </c>
      <c r="M28" s="196">
        <f t="shared" si="59"/>
        <v>1334311.78</v>
      </c>
      <c r="N28" s="198">
        <f t="shared" si="6"/>
        <v>0.10857142833429646</v>
      </c>
      <c r="O28" s="158">
        <f t="shared" si="7"/>
        <v>1755673.3985714286</v>
      </c>
      <c r="P28" s="148">
        <f t="shared" ref="P28" si="60">P24+P25+P26+P27</f>
        <v>66</v>
      </c>
      <c r="Q28" s="200">
        <f t="shared" si="59"/>
        <v>59.800000000000004</v>
      </c>
      <c r="R28" s="204">
        <f t="shared" si="59"/>
        <v>116282066.93999998</v>
      </c>
      <c r="S28" s="204">
        <f t="shared" si="59"/>
        <v>116282066.87999998</v>
      </c>
      <c r="T28" s="205">
        <f t="shared" si="59"/>
        <v>105358600</v>
      </c>
      <c r="U28" s="205">
        <f t="shared" si="59"/>
        <v>70590200</v>
      </c>
      <c r="V28" s="205">
        <f t="shared" si="59"/>
        <v>34768400</v>
      </c>
      <c r="W28" s="204">
        <f t="shared" si="59"/>
        <v>10923466.939999999</v>
      </c>
      <c r="X28" s="199">
        <f t="shared" si="13"/>
        <v>9.3939394380328042E-2</v>
      </c>
      <c r="Y28" s="158">
        <f t="shared" si="14"/>
        <v>1761849.4981818178</v>
      </c>
      <c r="Z28" s="148">
        <f t="shared" si="59"/>
        <v>0</v>
      </c>
      <c r="AA28" s="200">
        <f t="shared" si="59"/>
        <v>0</v>
      </c>
      <c r="AB28" s="196" t="e">
        <f t="shared" si="59"/>
        <v>#DIV/0!</v>
      </c>
      <c r="AC28" s="196" t="e">
        <f t="shared" si="59"/>
        <v>#DIV/0!</v>
      </c>
      <c r="AD28" s="196" t="e">
        <f t="shared" si="59"/>
        <v>#DIV/0!</v>
      </c>
      <c r="AE28" s="196" t="e">
        <f t="shared" si="59"/>
        <v>#DIV/0!</v>
      </c>
      <c r="AF28" s="196" t="e">
        <f t="shared" si="59"/>
        <v>#DIV/0!</v>
      </c>
      <c r="AG28" s="196" t="e">
        <f t="shared" si="59"/>
        <v>#DIV/0!</v>
      </c>
      <c r="AH28" s="198" t="e">
        <f t="shared" si="22"/>
        <v>#DIV/0!</v>
      </c>
      <c r="AI28" s="158">
        <f t="shared" si="23"/>
        <v>0</v>
      </c>
      <c r="AJ28" s="196">
        <f t="shared" ref="AJ28:AN28" si="61">AJ24+AJ25+AJ26+AJ27</f>
        <v>10955402.000000002</v>
      </c>
      <c r="AK28" s="196">
        <f t="shared" si="61"/>
        <v>105358600</v>
      </c>
      <c r="AL28" s="188" t="s">
        <v>69</v>
      </c>
      <c r="AM28" s="196">
        <f t="shared" si="61"/>
        <v>10955.400000000001</v>
      </c>
      <c r="AN28" s="196">
        <f t="shared" si="61"/>
        <v>105358.6</v>
      </c>
      <c r="AO28" s="188" t="s">
        <v>69</v>
      </c>
    </row>
    <row r="29" spans="1:41" hidden="1" x14ac:dyDescent="0.2">
      <c r="K29" s="172"/>
      <c r="O29" s="167"/>
      <c r="T29" s="119">
        <v>91263803.890000001</v>
      </c>
      <c r="U29" s="185">
        <v>61146694.890000001</v>
      </c>
      <c r="V29" s="185">
        <f>+T29-U29</f>
        <v>30117109</v>
      </c>
      <c r="X29" s="206"/>
      <c r="Y29" s="158"/>
      <c r="AL29" s="188" t="s">
        <v>69</v>
      </c>
      <c r="AM29" s="207">
        <f t="shared" si="29"/>
        <v>0</v>
      </c>
      <c r="AN29" s="207">
        <f t="shared" si="29"/>
        <v>0</v>
      </c>
      <c r="AO29" s="188" t="s">
        <v>69</v>
      </c>
    </row>
    <row r="30" spans="1:41" ht="15" hidden="1" x14ac:dyDescent="0.25">
      <c r="G30" s="170" t="s">
        <v>30</v>
      </c>
      <c r="H30" s="208">
        <v>7340100</v>
      </c>
      <c r="I30" s="172">
        <f>H30-K28</f>
        <v>0</v>
      </c>
      <c r="K30" s="119">
        <f>+K6/J6</f>
        <v>0.66999823792230129</v>
      </c>
      <c r="L30" s="119">
        <f>+L6/J6</f>
        <v>0.33000176207769871</v>
      </c>
      <c r="S30" s="209">
        <v>70590200</v>
      </c>
      <c r="T30" s="208">
        <f>S30-U28</f>
        <v>0</v>
      </c>
      <c r="AC30" s="208"/>
      <c r="AD30" s="172" t="e">
        <f>AC30-AE28</f>
        <v>#DIV/0!</v>
      </c>
      <c r="AL30" s="188" t="s">
        <v>69</v>
      </c>
      <c r="AO30" s="188" t="s">
        <v>69</v>
      </c>
    </row>
    <row r="31" spans="1:41" ht="15" hidden="1" x14ac:dyDescent="0.25">
      <c r="G31" s="170" t="s">
        <v>29</v>
      </c>
      <c r="H31" s="208">
        <v>3615302</v>
      </c>
      <c r="I31" s="172">
        <f>H31-L28</f>
        <v>0</v>
      </c>
      <c r="K31" s="119">
        <f>+K7/J7</f>
        <v>0.66999823208068854</v>
      </c>
      <c r="L31" s="119">
        <f>+L7/J7</f>
        <v>0.33000176791931146</v>
      </c>
      <c r="S31" s="209">
        <v>34768400</v>
      </c>
      <c r="T31" s="208">
        <f>S31-V28</f>
        <v>0</v>
      </c>
      <c r="AC31" s="208"/>
      <c r="AD31" s="172" t="e">
        <f>AC31-AF28</f>
        <v>#DIV/0!</v>
      </c>
      <c r="AL31" s="188" t="s">
        <v>69</v>
      </c>
      <c r="AO31" s="188" t="s">
        <v>69</v>
      </c>
    </row>
    <row r="32" spans="1:41" hidden="1" x14ac:dyDescent="0.2">
      <c r="G32" s="170" t="s">
        <v>36</v>
      </c>
      <c r="H32" s="173">
        <f>SUM(H30:H31)</f>
        <v>10955402</v>
      </c>
      <c r="K32" s="119" t="e">
        <f t="shared" ref="K32:K43" si="62">+K8/J8</f>
        <v>#DIV/0!</v>
      </c>
      <c r="L32" s="119" t="e">
        <f t="shared" ref="L32:L43" si="63">+L8/J8</f>
        <v>#DIV/0!</v>
      </c>
      <c r="S32" s="173">
        <v>105358600</v>
      </c>
      <c r="T32" s="173"/>
      <c r="AC32" s="173">
        <f>SUM(AC30:AC31)</f>
        <v>0</v>
      </c>
      <c r="AL32" s="188" t="s">
        <v>69</v>
      </c>
      <c r="AO32" s="188" t="s">
        <v>69</v>
      </c>
    </row>
    <row r="33" spans="8:41" hidden="1" x14ac:dyDescent="0.2">
      <c r="K33" s="119" t="e">
        <f t="shared" si="62"/>
        <v>#DIV/0!</v>
      </c>
      <c r="L33" s="119" t="e">
        <f t="shared" si="63"/>
        <v>#DIV/0!</v>
      </c>
      <c r="AC33" s="170"/>
      <c r="AL33" s="188" t="s">
        <v>69</v>
      </c>
      <c r="AO33" s="188" t="s">
        <v>69</v>
      </c>
    </row>
    <row r="34" spans="8:41" hidden="1" x14ac:dyDescent="0.2">
      <c r="H34" s="119">
        <f>H31/H32</f>
        <v>0.33000176533914499</v>
      </c>
      <c r="K34" s="119" t="e">
        <f t="shared" si="62"/>
        <v>#DIV/0!</v>
      </c>
      <c r="L34" s="119" t="e">
        <f t="shared" si="63"/>
        <v>#DIV/0!</v>
      </c>
      <c r="S34" s="119">
        <f>S31/S32</f>
        <v>0.33000058846643748</v>
      </c>
      <c r="AC34" s="119" t="e">
        <f>AC31/AC32</f>
        <v>#DIV/0!</v>
      </c>
      <c r="AL34" s="188" t="s">
        <v>69</v>
      </c>
      <c r="AO34" s="188" t="s">
        <v>69</v>
      </c>
    </row>
    <row r="35" spans="8:41" hidden="1" x14ac:dyDescent="0.2">
      <c r="K35" s="119">
        <f t="shared" si="62"/>
        <v>0.6699982326590016</v>
      </c>
      <c r="L35" s="119">
        <f t="shared" si="63"/>
        <v>0.33000176734099829</v>
      </c>
      <c r="AL35" s="188" t="s">
        <v>69</v>
      </c>
      <c r="AO35" s="188" t="s">
        <v>69</v>
      </c>
    </row>
    <row r="36" spans="8:41" hidden="1" x14ac:dyDescent="0.2">
      <c r="K36" s="119" t="e">
        <f t="shared" si="62"/>
        <v>#DIV/0!</v>
      </c>
      <c r="L36" s="119" t="e">
        <f t="shared" si="63"/>
        <v>#DIV/0!</v>
      </c>
      <c r="AL36" s="188" t="s">
        <v>69</v>
      </c>
      <c r="AO36" s="188" t="s">
        <v>69</v>
      </c>
    </row>
    <row r="37" spans="8:41" hidden="1" x14ac:dyDescent="0.2">
      <c r="K37" s="119" t="e">
        <f t="shared" si="62"/>
        <v>#DIV/0!</v>
      </c>
      <c r="L37" s="119" t="e">
        <f t="shared" si="63"/>
        <v>#DIV/0!</v>
      </c>
      <c r="AL37" s="188" t="s">
        <v>69</v>
      </c>
      <c r="AO37" s="188" t="s">
        <v>69</v>
      </c>
    </row>
    <row r="38" spans="8:41" hidden="1" x14ac:dyDescent="0.2">
      <c r="K38" s="119" t="e">
        <f t="shared" si="62"/>
        <v>#DIV/0!</v>
      </c>
      <c r="L38" s="119" t="e">
        <f t="shared" si="63"/>
        <v>#DIV/0!</v>
      </c>
      <c r="AL38" s="188" t="s">
        <v>69</v>
      </c>
      <c r="AO38" s="188" t="s">
        <v>69</v>
      </c>
    </row>
    <row r="39" spans="8:41" hidden="1" x14ac:dyDescent="0.2">
      <c r="K39" s="119" t="e">
        <f t="shared" si="62"/>
        <v>#DIV/0!</v>
      </c>
      <c r="L39" s="119" t="e">
        <f t="shared" si="63"/>
        <v>#DIV/0!</v>
      </c>
      <c r="AL39" s="188" t="s">
        <v>69</v>
      </c>
      <c r="AO39" s="188" t="s">
        <v>69</v>
      </c>
    </row>
    <row r="40" spans="8:41" hidden="1" x14ac:dyDescent="0.2">
      <c r="K40" s="119" t="e">
        <f t="shared" si="62"/>
        <v>#DIV/0!</v>
      </c>
      <c r="L40" s="119" t="e">
        <f t="shared" si="63"/>
        <v>#DIV/0!</v>
      </c>
      <c r="AL40" s="188" t="s">
        <v>69</v>
      </c>
      <c r="AO40" s="188" t="s">
        <v>69</v>
      </c>
    </row>
    <row r="41" spans="8:41" hidden="1" x14ac:dyDescent="0.2">
      <c r="K41" s="119">
        <f t="shared" si="62"/>
        <v>0.66999823208068854</v>
      </c>
      <c r="L41" s="119">
        <f t="shared" si="63"/>
        <v>0.33000176791931146</v>
      </c>
      <c r="AL41" s="188" t="s">
        <v>69</v>
      </c>
      <c r="AO41" s="188" t="s">
        <v>69</v>
      </c>
    </row>
    <row r="42" spans="8:41" hidden="1" x14ac:dyDescent="0.2">
      <c r="K42" s="119" t="e">
        <f t="shared" si="62"/>
        <v>#DIV/0!</v>
      </c>
      <c r="L42" s="119" t="e">
        <f t="shared" si="63"/>
        <v>#DIV/0!</v>
      </c>
      <c r="AL42" s="188" t="s">
        <v>69</v>
      </c>
      <c r="AO42" s="188" t="s">
        <v>69</v>
      </c>
    </row>
    <row r="43" spans="8:41" hidden="1" x14ac:dyDescent="0.2">
      <c r="K43" s="119" t="e">
        <f t="shared" si="62"/>
        <v>#DIV/0!</v>
      </c>
      <c r="L43" s="119" t="e">
        <f t="shared" si="63"/>
        <v>#DIV/0!</v>
      </c>
      <c r="AL43" s="188" t="s">
        <v>69</v>
      </c>
      <c r="AO43" s="188" t="s">
        <v>69</v>
      </c>
    </row>
    <row r="44" spans="8:41" hidden="1" x14ac:dyDescent="0.2">
      <c r="K44" s="119">
        <f>+K20/J20</f>
        <v>0.66999823208068854</v>
      </c>
      <c r="L44" s="119">
        <f>+L20/J20</f>
        <v>0.33000176791931146</v>
      </c>
      <c r="AL44" s="188" t="s">
        <v>69</v>
      </c>
      <c r="AO44" s="188" t="s">
        <v>69</v>
      </c>
    </row>
    <row r="45" spans="8:41" hidden="1" x14ac:dyDescent="0.2">
      <c r="K45" s="119" t="e">
        <f>+K21/J21</f>
        <v>#DIV/0!</v>
      </c>
      <c r="L45" s="119" t="e">
        <f>+L21/J21</f>
        <v>#DIV/0!</v>
      </c>
      <c r="AL45" s="188" t="s">
        <v>69</v>
      </c>
      <c r="AO45" s="188" t="s">
        <v>69</v>
      </c>
    </row>
    <row r="46" spans="8:41" hidden="1" x14ac:dyDescent="0.2">
      <c r="K46" s="119" t="e">
        <f t="shared" ref="K46:K48" si="64">+K22/J22</f>
        <v>#DIV/0!</v>
      </c>
      <c r="L46" s="119" t="e">
        <f t="shared" ref="L46:L48" si="65">+L22/J22</f>
        <v>#DIV/0!</v>
      </c>
      <c r="AL46" s="188" t="s">
        <v>69</v>
      </c>
      <c r="AO46" s="188" t="s">
        <v>69</v>
      </c>
    </row>
    <row r="47" spans="8:41" hidden="1" x14ac:dyDescent="0.2">
      <c r="K47" s="119" t="e">
        <f t="shared" si="64"/>
        <v>#DIV/0!</v>
      </c>
      <c r="L47" s="119" t="e">
        <f t="shared" si="65"/>
        <v>#DIV/0!</v>
      </c>
      <c r="AL47" s="188" t="s">
        <v>69</v>
      </c>
      <c r="AO47" s="188" t="s">
        <v>69</v>
      </c>
    </row>
    <row r="48" spans="8:41" hidden="1" x14ac:dyDescent="0.2">
      <c r="K48" s="119">
        <f t="shared" si="64"/>
        <v>0.66999823466085484</v>
      </c>
      <c r="L48" s="119">
        <f t="shared" si="65"/>
        <v>0.33000176533914494</v>
      </c>
      <c r="AL48" s="188" t="s">
        <v>69</v>
      </c>
      <c r="AO48" s="188" t="s">
        <v>69</v>
      </c>
    </row>
    <row r="49" spans="11:41" hidden="1" x14ac:dyDescent="0.2">
      <c r="K49" s="119" t="e">
        <f>+K25/J25</f>
        <v>#DIV/0!</v>
      </c>
      <c r="L49" s="119" t="e">
        <f>+L25/J25</f>
        <v>#DIV/0!</v>
      </c>
      <c r="AL49" s="188" t="s">
        <v>69</v>
      </c>
      <c r="AO49" s="188" t="s">
        <v>69</v>
      </c>
    </row>
    <row r="50" spans="11:41" hidden="1" x14ac:dyDescent="0.2">
      <c r="K50" s="119" t="e">
        <f>+K26/J26</f>
        <v>#DIV/0!</v>
      </c>
      <c r="L50" s="119" t="e">
        <f>+L26/J26</f>
        <v>#DIV/0!</v>
      </c>
      <c r="AL50" s="188" t="s">
        <v>69</v>
      </c>
      <c r="AO50" s="188" t="s">
        <v>69</v>
      </c>
    </row>
    <row r="51" spans="11:41" hidden="1" x14ac:dyDescent="0.2">
      <c r="K51" s="119" t="e">
        <f t="shared" ref="K51:K52" si="66">+K27/J27</f>
        <v>#DIV/0!</v>
      </c>
      <c r="L51" s="119" t="e">
        <f t="shared" ref="L51:L52" si="67">+L27/J27</f>
        <v>#DIV/0!</v>
      </c>
      <c r="AL51" s="188" t="s">
        <v>69</v>
      </c>
      <c r="AO51" s="188" t="s">
        <v>69</v>
      </c>
    </row>
    <row r="52" spans="11:41" hidden="1" x14ac:dyDescent="0.2">
      <c r="K52" s="119">
        <f t="shared" si="66"/>
        <v>0.66999823466085484</v>
      </c>
      <c r="L52" s="119">
        <f t="shared" si="67"/>
        <v>0.33000176533914494</v>
      </c>
      <c r="AL52" s="188" t="s">
        <v>69</v>
      </c>
      <c r="AO52" s="188" t="s">
        <v>69</v>
      </c>
    </row>
    <row r="53" spans="11:41" hidden="1" x14ac:dyDescent="0.2">
      <c r="AL53" s="188" t="s">
        <v>69</v>
      </c>
      <c r="AO53" s="188" t="s">
        <v>69</v>
      </c>
    </row>
    <row r="54" spans="11:41" hidden="1" x14ac:dyDescent="0.2">
      <c r="AL54" s="188" t="s">
        <v>69</v>
      </c>
      <c r="AO54" s="188" t="s">
        <v>69</v>
      </c>
    </row>
    <row r="55" spans="11:41" hidden="1" x14ac:dyDescent="0.2">
      <c r="AL55" s="188" t="s">
        <v>69</v>
      </c>
      <c r="AO55" s="188" t="s">
        <v>69</v>
      </c>
    </row>
    <row r="56" spans="11:41" hidden="1" x14ac:dyDescent="0.2">
      <c r="AL56" s="188" t="s">
        <v>69</v>
      </c>
      <c r="AO56" s="188" t="s">
        <v>69</v>
      </c>
    </row>
    <row r="57" spans="11:41" hidden="1" x14ac:dyDescent="0.2">
      <c r="AL57" s="188" t="s">
        <v>69</v>
      </c>
      <c r="AO57" s="188" t="s">
        <v>69</v>
      </c>
    </row>
    <row r="58" spans="11:41" hidden="1" x14ac:dyDescent="0.2">
      <c r="AL58" s="188" t="s">
        <v>69</v>
      </c>
      <c r="AO58" s="188" t="s">
        <v>69</v>
      </c>
    </row>
    <row r="59" spans="11:41" hidden="1" x14ac:dyDescent="0.2">
      <c r="AL59" s="188" t="s">
        <v>69</v>
      </c>
      <c r="AO59" s="188" t="s">
        <v>69</v>
      </c>
    </row>
    <row r="60" spans="11:41" hidden="1" x14ac:dyDescent="0.2">
      <c r="AL60" s="188" t="s">
        <v>69</v>
      </c>
      <c r="AO60" s="188" t="s">
        <v>69</v>
      </c>
    </row>
    <row r="61" spans="11:41" hidden="1" x14ac:dyDescent="0.2">
      <c r="AL61" s="188" t="s">
        <v>69</v>
      </c>
      <c r="AO61" s="188" t="s">
        <v>69</v>
      </c>
    </row>
    <row r="62" spans="11:41" hidden="1" x14ac:dyDescent="0.2">
      <c r="AL62" s="188" t="s">
        <v>69</v>
      </c>
      <c r="AO62" s="188" t="s">
        <v>69</v>
      </c>
    </row>
    <row r="63" spans="11:41" hidden="1" x14ac:dyDescent="0.2">
      <c r="AL63" s="188" t="s">
        <v>69</v>
      </c>
      <c r="AO63" s="188" t="s">
        <v>69</v>
      </c>
    </row>
    <row r="64" spans="11:41" hidden="1" x14ac:dyDescent="0.2">
      <c r="AL64" s="188" t="s">
        <v>69</v>
      </c>
      <c r="AO64" s="188" t="s">
        <v>69</v>
      </c>
    </row>
    <row r="65" spans="38:41" hidden="1" x14ac:dyDescent="0.2">
      <c r="AL65" s="188" t="s">
        <v>69</v>
      </c>
      <c r="AO65" s="188" t="s">
        <v>69</v>
      </c>
    </row>
    <row r="66" spans="38:41" hidden="1" x14ac:dyDescent="0.2">
      <c r="AL66" s="188" t="s">
        <v>69</v>
      </c>
      <c r="AO66" s="188" t="s">
        <v>69</v>
      </c>
    </row>
    <row r="67" spans="38:41" hidden="1" x14ac:dyDescent="0.2">
      <c r="AL67" s="188" t="s">
        <v>69</v>
      </c>
      <c r="AO67" s="188" t="s">
        <v>69</v>
      </c>
    </row>
    <row r="68" spans="38:41" hidden="1" x14ac:dyDescent="0.2">
      <c r="AL68" s="188" t="s">
        <v>69</v>
      </c>
      <c r="AO68" s="188" t="s">
        <v>69</v>
      </c>
    </row>
    <row r="69" spans="38:41" hidden="1" x14ac:dyDescent="0.2">
      <c r="AL69" s="188" t="s">
        <v>69</v>
      </c>
      <c r="AO69" s="188" t="s">
        <v>69</v>
      </c>
    </row>
    <row r="70" spans="38:41" hidden="1" x14ac:dyDescent="0.2">
      <c r="AL70" s="188" t="s">
        <v>69</v>
      </c>
      <c r="AO70" s="188" t="s">
        <v>69</v>
      </c>
    </row>
    <row r="71" spans="38:41" hidden="1" x14ac:dyDescent="0.2">
      <c r="AL71" s="188" t="s">
        <v>69</v>
      </c>
      <c r="AO71" s="188" t="s">
        <v>69</v>
      </c>
    </row>
    <row r="72" spans="38:41" hidden="1" x14ac:dyDescent="0.2">
      <c r="AL72" s="188" t="s">
        <v>69</v>
      </c>
      <c r="AO72" s="188" t="s">
        <v>69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M2:AO4"/>
    <mergeCell ref="F3:O3"/>
    <mergeCell ref="P3:Y3"/>
    <mergeCell ref="Z3:AI3"/>
    <mergeCell ref="F4:F5"/>
    <mergeCell ref="G4:G5"/>
    <mergeCell ref="H4:H5"/>
    <mergeCell ref="I4:M4"/>
    <mergeCell ref="N4:N5"/>
    <mergeCell ref="O4:O5"/>
    <mergeCell ref="AJ2:AL4"/>
    <mergeCell ref="AH4:AH5"/>
    <mergeCell ref="AI4:AI5"/>
    <mergeCell ref="X4:X5"/>
    <mergeCell ref="Y4:Y5"/>
    <mergeCell ref="Z4:Z5"/>
    <mergeCell ref="A2:A5"/>
    <mergeCell ref="B2:B5"/>
    <mergeCell ref="C2:E4"/>
    <mergeCell ref="F2:AI2"/>
    <mergeCell ref="P4:P5"/>
    <mergeCell ref="Q4:Q5"/>
    <mergeCell ref="R4:R5"/>
    <mergeCell ref="S4:W4"/>
    <mergeCell ref="AA4:AA5"/>
    <mergeCell ref="AB4:AB5"/>
    <mergeCell ref="AC4:AG4"/>
  </mergeCells>
  <pageMargins left="0.78740157480314965" right="0.39370078740157483" top="0.78740157480314965" bottom="0.78740157480314965" header="0.31496062992125984" footer="0.31496062992125984"/>
  <pageSetup paperSize="9" scale="58" fitToWidth="2" fitToHeight="0" orientation="landscape" r:id="rId1"/>
  <headerFooter>
    <oddHeader>&amp;R&amp;P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Q39"/>
  <sheetViews>
    <sheetView tabSelected="1" workbookViewId="0">
      <pane xSplit="15" ySplit="6" topLeftCell="W7" activePane="bottomRight" state="frozen"/>
      <selection pane="topRight" activeCell="P1" sqref="P1"/>
      <selection pane="bottomLeft" activeCell="A6" sqref="A6"/>
      <selection pane="bottomRight" sqref="A1:AQ25"/>
    </sheetView>
  </sheetViews>
  <sheetFormatPr defaultRowHeight="12.75" x14ac:dyDescent="0.2"/>
  <cols>
    <col min="1" max="1" width="6.42578125" style="119" customWidth="1"/>
    <col min="2" max="2" width="22.7109375" style="119" customWidth="1"/>
    <col min="3" max="5" width="5.5703125" style="119" customWidth="1"/>
    <col min="6" max="6" width="7.7109375" style="119" hidden="1" customWidth="1"/>
    <col min="7" max="7" width="8.5703125" style="119" hidden="1" customWidth="1"/>
    <col min="8" max="12" width="18.85546875" style="119" hidden="1" customWidth="1"/>
    <col min="13" max="13" width="17.5703125" style="119" hidden="1" customWidth="1"/>
    <col min="14" max="14" width="21.42578125" style="119" hidden="1" customWidth="1"/>
    <col min="15" max="15" width="15.85546875" style="119" hidden="1" customWidth="1"/>
    <col min="16" max="16" width="9.85546875" style="119" customWidth="1"/>
    <col min="17" max="17" width="9.85546875" style="119" hidden="1" customWidth="1"/>
    <col min="18" max="20" width="14.42578125" style="119" customWidth="1"/>
    <col min="21" max="21" width="15.28515625" style="119" customWidth="1"/>
    <col min="22" max="23" width="14.42578125" style="119" customWidth="1"/>
    <col min="24" max="24" width="14.42578125" style="119" hidden="1" customWidth="1"/>
    <col min="25" max="25" width="16.28515625" style="119" customWidth="1"/>
    <col min="26" max="26" width="8.140625" style="119" customWidth="1"/>
    <col min="27" max="27" width="8.5703125" style="119" hidden="1" customWidth="1"/>
    <col min="28" max="33" width="14.42578125" style="119" customWidth="1"/>
    <col min="34" max="34" width="20.42578125" style="119" hidden="1" customWidth="1"/>
    <col min="35" max="35" width="15.42578125" style="119" customWidth="1"/>
    <col min="36" max="36" width="15.7109375" style="119" hidden="1" customWidth="1"/>
    <col min="37" max="39" width="11.42578125" style="119" hidden="1" customWidth="1"/>
    <col min="40" max="40" width="12" style="119" hidden="1" customWidth="1"/>
    <col min="41" max="41" width="13.7109375" style="119" customWidth="1"/>
    <col min="42" max="42" width="13.85546875" style="119" customWidth="1"/>
    <col min="43" max="16384" width="9.140625" style="119"/>
  </cols>
  <sheetData>
    <row r="1" spans="1:43" x14ac:dyDescent="0.2">
      <c r="AQ1" s="290" t="s">
        <v>74</v>
      </c>
    </row>
    <row r="2" spans="1:43" ht="63" customHeight="1" x14ac:dyDescent="0.2">
      <c r="A2" s="288" t="s">
        <v>73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8"/>
      <c r="AG2" s="288"/>
      <c r="AH2" s="288"/>
      <c r="AI2" s="288"/>
      <c r="AJ2" s="288"/>
      <c r="AK2" s="288"/>
      <c r="AL2" s="288"/>
      <c r="AM2" s="288"/>
      <c r="AN2" s="288"/>
      <c r="AO2" s="288"/>
      <c r="AP2" s="288"/>
      <c r="AQ2" s="288"/>
    </row>
    <row r="3" spans="1:43" ht="15.75" customHeight="1" x14ac:dyDescent="0.2">
      <c r="A3" s="247" t="s">
        <v>39</v>
      </c>
      <c r="B3" s="248" t="s">
        <v>40</v>
      </c>
      <c r="C3" s="249" t="s">
        <v>41</v>
      </c>
      <c r="D3" s="250"/>
      <c r="E3" s="250"/>
      <c r="F3" s="248" t="s">
        <v>66</v>
      </c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  <c r="X3" s="248"/>
      <c r="Y3" s="248"/>
      <c r="Z3" s="248"/>
      <c r="AA3" s="248"/>
      <c r="AB3" s="248"/>
      <c r="AC3" s="248"/>
      <c r="AD3" s="248"/>
      <c r="AE3" s="248"/>
      <c r="AF3" s="248"/>
      <c r="AG3" s="248"/>
      <c r="AH3" s="248"/>
      <c r="AI3" s="248"/>
      <c r="AJ3" s="279" t="s">
        <v>64</v>
      </c>
      <c r="AK3" s="280"/>
      <c r="AL3" s="280"/>
      <c r="AM3" s="281"/>
      <c r="AN3" s="257" t="s">
        <v>65</v>
      </c>
      <c r="AO3" s="257"/>
      <c r="AP3" s="257"/>
      <c r="AQ3" s="257"/>
    </row>
    <row r="4" spans="1:43" ht="15.75" customHeight="1" x14ac:dyDescent="0.2">
      <c r="A4" s="247"/>
      <c r="B4" s="248"/>
      <c r="C4" s="250"/>
      <c r="D4" s="250"/>
      <c r="E4" s="250"/>
      <c r="F4" s="276" t="s">
        <v>42</v>
      </c>
      <c r="G4" s="276"/>
      <c r="H4" s="276"/>
      <c r="I4" s="276"/>
      <c r="J4" s="276"/>
      <c r="K4" s="276"/>
      <c r="L4" s="276"/>
      <c r="M4" s="276"/>
      <c r="N4" s="276"/>
      <c r="O4" s="276"/>
      <c r="P4" s="277" t="s">
        <v>42</v>
      </c>
      <c r="Q4" s="277"/>
      <c r="R4" s="277"/>
      <c r="S4" s="277"/>
      <c r="T4" s="277"/>
      <c r="U4" s="277"/>
      <c r="V4" s="277"/>
      <c r="W4" s="277"/>
      <c r="X4" s="277"/>
      <c r="Y4" s="277"/>
      <c r="Z4" s="251" t="s">
        <v>43</v>
      </c>
      <c r="AA4" s="251"/>
      <c r="AB4" s="251"/>
      <c r="AC4" s="251"/>
      <c r="AD4" s="251"/>
      <c r="AE4" s="251"/>
      <c r="AF4" s="251"/>
      <c r="AG4" s="251"/>
      <c r="AH4" s="251"/>
      <c r="AI4" s="251"/>
      <c r="AJ4" s="282"/>
      <c r="AK4" s="283"/>
      <c r="AL4" s="283"/>
      <c r="AM4" s="284"/>
      <c r="AN4" s="257"/>
      <c r="AO4" s="257"/>
      <c r="AP4" s="257"/>
      <c r="AQ4" s="257"/>
    </row>
    <row r="5" spans="1:43" ht="15.75" customHeight="1" x14ac:dyDescent="0.2">
      <c r="A5" s="247"/>
      <c r="B5" s="248"/>
      <c r="C5" s="250"/>
      <c r="D5" s="250"/>
      <c r="E5" s="250"/>
      <c r="F5" s="252" t="s">
        <v>44</v>
      </c>
      <c r="G5" s="252"/>
      <c r="H5" s="249" t="s">
        <v>45</v>
      </c>
      <c r="I5" s="249" t="s">
        <v>46</v>
      </c>
      <c r="J5" s="249"/>
      <c r="K5" s="249"/>
      <c r="L5" s="249"/>
      <c r="M5" s="249"/>
      <c r="N5" s="254" t="s">
        <v>63</v>
      </c>
      <c r="O5" s="255" t="s">
        <v>57</v>
      </c>
      <c r="P5" s="252" t="s">
        <v>44</v>
      </c>
      <c r="Q5" s="252"/>
      <c r="R5" s="249" t="s">
        <v>45</v>
      </c>
      <c r="S5" s="249" t="s">
        <v>46</v>
      </c>
      <c r="T5" s="249"/>
      <c r="U5" s="249"/>
      <c r="V5" s="249"/>
      <c r="W5" s="249"/>
      <c r="X5" s="254" t="s">
        <v>63</v>
      </c>
      <c r="Y5" s="255" t="s">
        <v>57</v>
      </c>
      <c r="Z5" s="252" t="s">
        <v>44</v>
      </c>
      <c r="AA5" s="252"/>
      <c r="AB5" s="249" t="s">
        <v>45</v>
      </c>
      <c r="AC5" s="249" t="s">
        <v>46</v>
      </c>
      <c r="AD5" s="249"/>
      <c r="AE5" s="249"/>
      <c r="AF5" s="249"/>
      <c r="AG5" s="249"/>
      <c r="AH5" s="254" t="s">
        <v>63</v>
      </c>
      <c r="AI5" s="255" t="s">
        <v>57</v>
      </c>
      <c r="AJ5" s="285"/>
      <c r="AK5" s="286"/>
      <c r="AL5" s="286"/>
      <c r="AM5" s="287"/>
      <c r="AN5" s="257"/>
      <c r="AO5" s="257"/>
      <c r="AP5" s="257"/>
      <c r="AQ5" s="257"/>
    </row>
    <row r="6" spans="1:43" ht="58.15" customHeight="1" x14ac:dyDescent="0.2">
      <c r="A6" s="247"/>
      <c r="B6" s="248"/>
      <c r="C6" s="123">
        <v>2023</v>
      </c>
      <c r="D6" s="123">
        <v>2024</v>
      </c>
      <c r="E6" s="123">
        <v>2025</v>
      </c>
      <c r="F6" s="252"/>
      <c r="G6" s="252"/>
      <c r="H6" s="249"/>
      <c r="I6" s="124" t="s">
        <v>50</v>
      </c>
      <c r="J6" s="130" t="s">
        <v>47</v>
      </c>
      <c r="K6" s="124" t="s">
        <v>48</v>
      </c>
      <c r="L6" s="124" t="s">
        <v>51</v>
      </c>
      <c r="M6" s="127" t="s">
        <v>52</v>
      </c>
      <c r="N6" s="255"/>
      <c r="O6" s="255"/>
      <c r="P6" s="252"/>
      <c r="Q6" s="252"/>
      <c r="R6" s="249"/>
      <c r="S6" s="124" t="s">
        <v>50</v>
      </c>
      <c r="T6" s="130" t="s">
        <v>47</v>
      </c>
      <c r="U6" s="124" t="s">
        <v>48</v>
      </c>
      <c r="V6" s="124" t="s">
        <v>49</v>
      </c>
      <c r="W6" s="124" t="s">
        <v>52</v>
      </c>
      <c r="X6" s="255"/>
      <c r="Y6" s="255"/>
      <c r="Z6" s="252"/>
      <c r="AA6" s="252"/>
      <c r="AB6" s="249"/>
      <c r="AC6" s="124" t="s">
        <v>50</v>
      </c>
      <c r="AD6" s="130" t="s">
        <v>47</v>
      </c>
      <c r="AE6" s="124" t="s">
        <v>48</v>
      </c>
      <c r="AF6" s="124" t="s">
        <v>49</v>
      </c>
      <c r="AG6" s="124" t="s">
        <v>52</v>
      </c>
      <c r="AH6" s="255"/>
      <c r="AI6" s="255"/>
      <c r="AJ6" s="131">
        <v>2023</v>
      </c>
      <c r="AK6" s="131">
        <v>2023</v>
      </c>
      <c r="AL6" s="131">
        <v>2024</v>
      </c>
      <c r="AM6" s="131">
        <v>2025</v>
      </c>
      <c r="AN6" s="131">
        <f>+AJ6</f>
        <v>2023</v>
      </c>
      <c r="AO6" s="131">
        <f>+AK6</f>
        <v>2023</v>
      </c>
      <c r="AP6" s="131">
        <f>+AL6</f>
        <v>2024</v>
      </c>
      <c r="AQ6" s="131">
        <v>2025</v>
      </c>
    </row>
    <row r="7" spans="1:43" ht="15.75" x14ac:dyDescent="0.2">
      <c r="A7" s="132">
        <v>1</v>
      </c>
      <c r="B7" s="133" t="s">
        <v>3</v>
      </c>
      <c r="C7" s="134">
        <f>+'расчет точ'!C7</f>
        <v>0.89</v>
      </c>
      <c r="D7" s="134">
        <f>+'расчет точ'!D7</f>
        <v>0.89</v>
      </c>
      <c r="E7" s="134">
        <f>+'расчет точ'!E7</f>
        <v>0.9</v>
      </c>
      <c r="F7" s="177"/>
      <c r="G7" s="136">
        <f>C7*F7</f>
        <v>0</v>
      </c>
      <c r="H7" s="155">
        <f t="shared" ref="H7:H24" si="0">K7+L7+M7</f>
        <v>0</v>
      </c>
      <c r="I7" s="155">
        <f>ROUND($H$33/$G$29*F7,2)</f>
        <v>0</v>
      </c>
      <c r="J7" s="155">
        <f t="shared" ref="J7:J24" si="1">K7+L7</f>
        <v>0</v>
      </c>
      <c r="K7" s="155">
        <f>ROUND((I7-M7)*(1-$H$35),2)</f>
        <v>0</v>
      </c>
      <c r="L7" s="155">
        <f>ROUND((I7-M7)*$H$35,2)</f>
        <v>0</v>
      </c>
      <c r="M7" s="155">
        <f>ROUNDUP(I7*(1-C7),2)</f>
        <v>0</v>
      </c>
      <c r="N7" s="157">
        <f>IF(I7=0,0,M7/I7)</f>
        <v>0</v>
      </c>
      <c r="O7" s="158">
        <f>IF(F7=0,0,I7/F7)</f>
        <v>0</v>
      </c>
      <c r="P7" s="212"/>
      <c r="Q7" s="213">
        <f>P7*D7</f>
        <v>0</v>
      </c>
      <c r="R7" s="214">
        <f t="shared" ref="R7:R28" si="2">U7+V7+W7</f>
        <v>0</v>
      </c>
      <c r="S7" s="214">
        <f>ROUND($S$33/$Q$29*P7,2)</f>
        <v>0</v>
      </c>
      <c r="T7" s="214">
        <f>U7+V7</f>
        <v>0</v>
      </c>
      <c r="U7" s="215">
        <f>ROUND((S7-W7)*(1-$S$35),2)</f>
        <v>0</v>
      </c>
      <c r="V7" s="215">
        <f>ROUND((S7-W7)*$S$35,2)</f>
        <v>0</v>
      </c>
      <c r="W7" s="215">
        <f>ROUND(S7*(1-D7),2)</f>
        <v>0</v>
      </c>
      <c r="X7" s="216">
        <f>IF(S7=0,0,W7/S7)</f>
        <v>0</v>
      </c>
      <c r="Y7" s="215">
        <f>IF(P7=0,0,S7/P7)</f>
        <v>0</v>
      </c>
      <c r="Z7" s="212"/>
      <c r="AA7" s="217">
        <f>E7*Z7</f>
        <v>0</v>
      </c>
      <c r="AB7" s="218">
        <f>AE7+AF7+AG7</f>
        <v>0</v>
      </c>
      <c r="AC7" s="218">
        <f>ROUND($AC$33/$AA$29*Z7,2)</f>
        <v>0</v>
      </c>
      <c r="AD7" s="218">
        <f>AE7+AF7</f>
        <v>0</v>
      </c>
      <c r="AE7" s="218">
        <f>ROUND((AC7-AG7)*(1-$AC$35),2)</f>
        <v>0</v>
      </c>
      <c r="AF7" s="218">
        <f>ROUND((AC7-AG7)*$AC$35,2)</f>
        <v>0</v>
      </c>
      <c r="AG7" s="218">
        <f>ROUNDUP(AC7*(1-E7),2)</f>
        <v>0</v>
      </c>
      <c r="AH7" s="219">
        <f>IF(AC7=0,0,AG7/AC7)</f>
        <v>0</v>
      </c>
      <c r="AI7" s="215">
        <f>IF(Z7=0,0,AC7/Z7)</f>
        <v>0</v>
      </c>
      <c r="AJ7" s="220">
        <f>K7+L7</f>
        <v>0</v>
      </c>
      <c r="AK7" s="220">
        <f>U7+V7</f>
        <v>0</v>
      </c>
      <c r="AL7" s="220">
        <f>AE7+AF7</f>
        <v>0</v>
      </c>
      <c r="AM7" s="220"/>
      <c r="AN7" s="221">
        <f t="shared" ref="AN7:AN24" si="3">ROUND(AJ7/1000,1)</f>
        <v>0</v>
      </c>
      <c r="AO7" s="221">
        <f t="shared" ref="AO7:AO24" si="4">ROUND(AK7/1000,1)</f>
        <v>0</v>
      </c>
      <c r="AP7" s="221">
        <f t="shared" ref="AP7:AP24" si="5">ROUND(AL7/1000,1)</f>
        <v>0</v>
      </c>
      <c r="AQ7" s="222" t="s">
        <v>69</v>
      </c>
    </row>
    <row r="8" spans="1:43" ht="15.75" x14ac:dyDescent="0.2">
      <c r="A8" s="132">
        <v>2</v>
      </c>
      <c r="B8" s="133" t="s">
        <v>53</v>
      </c>
      <c r="C8" s="134">
        <f>+'расчет точ'!C8</f>
        <v>0.9</v>
      </c>
      <c r="D8" s="134">
        <f>+'расчет точ'!D8</f>
        <v>0.9</v>
      </c>
      <c r="E8" s="134">
        <f>+'расчет точ'!E8</f>
        <v>0.89</v>
      </c>
      <c r="F8" s="177"/>
      <c r="G8" s="136">
        <f t="shared" ref="G8:G24" si="6">C8*F8</f>
        <v>0</v>
      </c>
      <c r="H8" s="155">
        <f t="shared" si="0"/>
        <v>0</v>
      </c>
      <c r="I8" s="155">
        <f t="shared" ref="I8:I24" si="7">ROUND($H$33/$G$29*F8,2)</f>
        <v>0</v>
      </c>
      <c r="J8" s="155">
        <f t="shared" si="1"/>
        <v>0</v>
      </c>
      <c r="K8" s="155">
        <f t="shared" ref="K8:K24" si="8">ROUND((I8-M8)*(1-$H$35),2)</f>
        <v>0</v>
      </c>
      <c r="L8" s="155">
        <f t="shared" ref="L8:L24" si="9">ROUND((I8-M8)*$H$35,2)</f>
        <v>0</v>
      </c>
      <c r="M8" s="155">
        <f t="shared" ref="M8:M24" si="10">ROUNDUP(I8*(1-C8),2)</f>
        <v>0</v>
      </c>
      <c r="N8" s="157">
        <f t="shared" ref="N8:N29" si="11">IF(I8=0,0,M8/I8)</f>
        <v>0</v>
      </c>
      <c r="O8" s="158">
        <f t="shared" ref="O8:O29" si="12">IF(F8=0,0,I8/F8)</f>
        <v>0</v>
      </c>
      <c r="P8" s="212"/>
      <c r="Q8" s="213">
        <f t="shared" ref="Q8:Q24" si="13">P8*D8</f>
        <v>0</v>
      </c>
      <c r="R8" s="214">
        <f t="shared" si="2"/>
        <v>0</v>
      </c>
      <c r="S8" s="214">
        <f t="shared" ref="S8:S24" si="14">ROUND($S$33/$Q$29*P8,2)</f>
        <v>0</v>
      </c>
      <c r="T8" s="214">
        <f t="shared" ref="T8:T24" si="15">U8+V8</f>
        <v>0</v>
      </c>
      <c r="U8" s="215">
        <f t="shared" ref="U8:U24" si="16">ROUND((S8-W8)*(1-$S$35),2)</f>
        <v>0</v>
      </c>
      <c r="V8" s="215">
        <f t="shared" ref="V8:V24" si="17">ROUND((S8-W8)*$S$35,2)</f>
        <v>0</v>
      </c>
      <c r="W8" s="215">
        <f t="shared" ref="W8:W24" si="18">ROUND(S8*(1-D8),2)</f>
        <v>0</v>
      </c>
      <c r="X8" s="216">
        <f t="shared" ref="X8:X29" si="19">IF(S8=0,0,W8/S8)</f>
        <v>0</v>
      </c>
      <c r="Y8" s="215">
        <f t="shared" ref="Y8:Y29" si="20">IF(P8=0,0,S8/P8)</f>
        <v>0</v>
      </c>
      <c r="Z8" s="212"/>
      <c r="AA8" s="217">
        <f t="shared" ref="AA8:AA24" si="21">E8*Z8</f>
        <v>0</v>
      </c>
      <c r="AB8" s="218">
        <f t="shared" ref="AB8:AB28" si="22">AE8+AF8+AG8</f>
        <v>0</v>
      </c>
      <c r="AC8" s="218">
        <f t="shared" ref="AC8:AC24" si="23">ROUND($AC$33/$AA$29*Z8,2)</f>
        <v>0</v>
      </c>
      <c r="AD8" s="218">
        <f t="shared" ref="AD8:AD23" si="24">AE8+AF8</f>
        <v>0</v>
      </c>
      <c r="AE8" s="218">
        <f t="shared" ref="AE8:AE23" si="25">ROUND((AC8-AG8)*(1-$AC$35),2)</f>
        <v>0</v>
      </c>
      <c r="AF8" s="218">
        <f t="shared" ref="AF8:AF24" si="26">ROUND((AC8-AG8)*$AC$35,2)</f>
        <v>0</v>
      </c>
      <c r="AG8" s="218">
        <f t="shared" ref="AG8:AG24" si="27">ROUNDUP(AC8*(1-E8),2)</f>
        <v>0</v>
      </c>
      <c r="AH8" s="219">
        <f t="shared" ref="AH8:AH29" si="28">IF(AC8=0,0,AG8/AC8)</f>
        <v>0</v>
      </c>
      <c r="AI8" s="215">
        <f t="shared" ref="AI8:AI29" si="29">IF(Z8=0,0,AC8/Z8)</f>
        <v>0</v>
      </c>
      <c r="AJ8" s="220">
        <f t="shared" ref="AJ8:AJ28" si="30">K8+L8</f>
        <v>0</v>
      </c>
      <c r="AK8" s="220">
        <f t="shared" ref="AK8:AK28" si="31">U8+V8</f>
        <v>0</v>
      </c>
      <c r="AL8" s="220">
        <f t="shared" ref="AL8:AL28" si="32">AE8+AF8</f>
        <v>0</v>
      </c>
      <c r="AM8" s="220"/>
      <c r="AN8" s="221">
        <f t="shared" si="3"/>
        <v>0</v>
      </c>
      <c r="AO8" s="221">
        <f t="shared" si="4"/>
        <v>0</v>
      </c>
      <c r="AP8" s="221">
        <f t="shared" si="5"/>
        <v>0</v>
      </c>
      <c r="AQ8" s="222" t="s">
        <v>69</v>
      </c>
    </row>
    <row r="9" spans="1:43" ht="15.75" x14ac:dyDescent="0.2">
      <c r="A9" s="132">
        <v>3</v>
      </c>
      <c r="B9" s="133" t="s">
        <v>54</v>
      </c>
      <c r="C9" s="134">
        <f>+'расчет точ'!C9</f>
        <v>0.9</v>
      </c>
      <c r="D9" s="134">
        <f>+'расчет точ'!D9</f>
        <v>0.9</v>
      </c>
      <c r="E9" s="134">
        <f>+'расчет точ'!E9</f>
        <v>0.9</v>
      </c>
      <c r="F9" s="177"/>
      <c r="G9" s="136">
        <f t="shared" si="6"/>
        <v>0</v>
      </c>
      <c r="H9" s="155">
        <f t="shared" si="0"/>
        <v>0</v>
      </c>
      <c r="I9" s="155">
        <f t="shared" si="7"/>
        <v>0</v>
      </c>
      <c r="J9" s="155">
        <f t="shared" si="1"/>
        <v>0</v>
      </c>
      <c r="K9" s="155">
        <f t="shared" si="8"/>
        <v>0</v>
      </c>
      <c r="L9" s="155">
        <f t="shared" si="9"/>
        <v>0</v>
      </c>
      <c r="M9" s="155">
        <f t="shared" si="10"/>
        <v>0</v>
      </c>
      <c r="N9" s="157">
        <f t="shared" si="11"/>
        <v>0</v>
      </c>
      <c r="O9" s="158">
        <f t="shared" si="12"/>
        <v>0</v>
      </c>
      <c r="P9" s="212"/>
      <c r="Q9" s="213">
        <f t="shared" si="13"/>
        <v>0</v>
      </c>
      <c r="R9" s="214">
        <f t="shared" si="2"/>
        <v>0</v>
      </c>
      <c r="S9" s="214">
        <f t="shared" si="14"/>
        <v>0</v>
      </c>
      <c r="T9" s="214">
        <f t="shared" si="15"/>
        <v>0</v>
      </c>
      <c r="U9" s="215">
        <f t="shared" si="16"/>
        <v>0</v>
      </c>
      <c r="V9" s="215">
        <f t="shared" si="17"/>
        <v>0</v>
      </c>
      <c r="W9" s="215">
        <f t="shared" si="18"/>
        <v>0</v>
      </c>
      <c r="X9" s="216">
        <f t="shared" si="19"/>
        <v>0</v>
      </c>
      <c r="Y9" s="215">
        <f t="shared" si="20"/>
        <v>0</v>
      </c>
      <c r="Z9" s="212">
        <v>2</v>
      </c>
      <c r="AA9" s="217">
        <f t="shared" si="21"/>
        <v>1.8</v>
      </c>
      <c r="AB9" s="218">
        <f t="shared" si="22"/>
        <v>23334888.890000001</v>
      </c>
      <c r="AC9" s="218">
        <f t="shared" si="23"/>
        <v>23334888.890000001</v>
      </c>
      <c r="AD9" s="218">
        <f>AE9+AF9</f>
        <v>21001400</v>
      </c>
      <c r="AE9" s="218">
        <f t="shared" si="25"/>
        <v>14070900</v>
      </c>
      <c r="AF9" s="218">
        <f t="shared" si="26"/>
        <v>6930500</v>
      </c>
      <c r="AG9" s="218">
        <f t="shared" si="27"/>
        <v>2333488.8899999997</v>
      </c>
      <c r="AH9" s="219">
        <f t="shared" si="28"/>
        <v>0.10000000004285427</v>
      </c>
      <c r="AI9" s="215">
        <f t="shared" si="29"/>
        <v>11667444.445</v>
      </c>
      <c r="AJ9" s="220">
        <f t="shared" si="30"/>
        <v>0</v>
      </c>
      <c r="AK9" s="220">
        <f t="shared" si="31"/>
        <v>0</v>
      </c>
      <c r="AL9" s="220">
        <f t="shared" si="32"/>
        <v>21001400</v>
      </c>
      <c r="AM9" s="220"/>
      <c r="AN9" s="221">
        <f t="shared" si="3"/>
        <v>0</v>
      </c>
      <c r="AO9" s="221">
        <f t="shared" si="4"/>
        <v>0</v>
      </c>
      <c r="AP9" s="221">
        <f t="shared" si="5"/>
        <v>21001.4</v>
      </c>
      <c r="AQ9" s="222" t="s">
        <v>69</v>
      </c>
    </row>
    <row r="10" spans="1:43" ht="15.75" x14ac:dyDescent="0.2">
      <c r="A10" s="132">
        <v>4</v>
      </c>
      <c r="B10" s="133" t="s">
        <v>6</v>
      </c>
      <c r="C10" s="134">
        <f>+'расчет точ'!C10</f>
        <v>0.9</v>
      </c>
      <c r="D10" s="134">
        <f>+'расчет точ'!D10</f>
        <v>0.9</v>
      </c>
      <c r="E10" s="134">
        <f>+'расчет точ'!E10</f>
        <v>0.89</v>
      </c>
      <c r="F10" s="177"/>
      <c r="G10" s="136">
        <f t="shared" si="6"/>
        <v>0</v>
      </c>
      <c r="H10" s="155">
        <f t="shared" si="0"/>
        <v>0</v>
      </c>
      <c r="I10" s="155">
        <f t="shared" si="7"/>
        <v>0</v>
      </c>
      <c r="J10" s="155">
        <f t="shared" si="1"/>
        <v>0</v>
      </c>
      <c r="K10" s="155">
        <f t="shared" si="8"/>
        <v>0</v>
      </c>
      <c r="L10" s="155">
        <f t="shared" si="9"/>
        <v>0</v>
      </c>
      <c r="M10" s="155">
        <f t="shared" si="10"/>
        <v>0</v>
      </c>
      <c r="N10" s="157">
        <f t="shared" si="11"/>
        <v>0</v>
      </c>
      <c r="O10" s="158">
        <f t="shared" si="12"/>
        <v>0</v>
      </c>
      <c r="P10" s="212"/>
      <c r="Q10" s="213">
        <f t="shared" si="13"/>
        <v>0</v>
      </c>
      <c r="R10" s="214">
        <f t="shared" si="2"/>
        <v>0</v>
      </c>
      <c r="S10" s="214">
        <f t="shared" si="14"/>
        <v>0</v>
      </c>
      <c r="T10" s="214">
        <f t="shared" si="15"/>
        <v>0</v>
      </c>
      <c r="U10" s="215">
        <f t="shared" si="16"/>
        <v>0</v>
      </c>
      <c r="V10" s="215">
        <f t="shared" si="17"/>
        <v>0</v>
      </c>
      <c r="W10" s="215">
        <f t="shared" si="18"/>
        <v>0</v>
      </c>
      <c r="X10" s="216">
        <f t="shared" si="19"/>
        <v>0</v>
      </c>
      <c r="Y10" s="215">
        <f t="shared" si="20"/>
        <v>0</v>
      </c>
      <c r="Z10" s="212"/>
      <c r="AA10" s="217">
        <f t="shared" si="21"/>
        <v>0</v>
      </c>
      <c r="AB10" s="218">
        <f t="shared" si="22"/>
        <v>0</v>
      </c>
      <c r="AC10" s="218">
        <f t="shared" si="23"/>
        <v>0</v>
      </c>
      <c r="AD10" s="218">
        <f t="shared" si="24"/>
        <v>0</v>
      </c>
      <c r="AE10" s="218">
        <f t="shared" si="25"/>
        <v>0</v>
      </c>
      <c r="AF10" s="218">
        <f t="shared" si="26"/>
        <v>0</v>
      </c>
      <c r="AG10" s="218">
        <f t="shared" si="27"/>
        <v>0</v>
      </c>
      <c r="AH10" s="219">
        <f t="shared" si="28"/>
        <v>0</v>
      </c>
      <c r="AI10" s="215">
        <f t="shared" si="29"/>
        <v>0</v>
      </c>
      <c r="AJ10" s="220">
        <f t="shared" si="30"/>
        <v>0</v>
      </c>
      <c r="AK10" s="220">
        <f t="shared" si="31"/>
        <v>0</v>
      </c>
      <c r="AL10" s="220">
        <f t="shared" si="32"/>
        <v>0</v>
      </c>
      <c r="AM10" s="220"/>
      <c r="AN10" s="221">
        <f t="shared" si="3"/>
        <v>0</v>
      </c>
      <c r="AO10" s="221">
        <f t="shared" si="4"/>
        <v>0</v>
      </c>
      <c r="AP10" s="221">
        <f t="shared" si="5"/>
        <v>0</v>
      </c>
      <c r="AQ10" s="222" t="s">
        <v>69</v>
      </c>
    </row>
    <row r="11" spans="1:43" ht="15.75" x14ac:dyDescent="0.2">
      <c r="A11" s="132">
        <v>5</v>
      </c>
      <c r="B11" s="133" t="s">
        <v>7</v>
      </c>
      <c r="C11" s="134">
        <f>+'расчет точ'!C11</f>
        <v>0.89</v>
      </c>
      <c r="D11" s="134">
        <f>+'расчет точ'!D11</f>
        <v>0.89</v>
      </c>
      <c r="E11" s="134">
        <f>+'расчет точ'!E11</f>
        <v>0.9</v>
      </c>
      <c r="F11" s="177"/>
      <c r="G11" s="136">
        <f t="shared" si="6"/>
        <v>0</v>
      </c>
      <c r="H11" s="155">
        <f t="shared" si="0"/>
        <v>0</v>
      </c>
      <c r="I11" s="155">
        <f t="shared" si="7"/>
        <v>0</v>
      </c>
      <c r="J11" s="155">
        <f t="shared" si="1"/>
        <v>0</v>
      </c>
      <c r="K11" s="155">
        <f t="shared" si="8"/>
        <v>0</v>
      </c>
      <c r="L11" s="155">
        <f t="shared" si="9"/>
        <v>0</v>
      </c>
      <c r="M11" s="155">
        <f t="shared" si="10"/>
        <v>0</v>
      </c>
      <c r="N11" s="157">
        <f t="shared" si="11"/>
        <v>0</v>
      </c>
      <c r="O11" s="158">
        <f t="shared" si="12"/>
        <v>0</v>
      </c>
      <c r="P11" s="212"/>
      <c r="Q11" s="213">
        <f t="shared" si="13"/>
        <v>0</v>
      </c>
      <c r="R11" s="214">
        <f t="shared" si="2"/>
        <v>0</v>
      </c>
      <c r="S11" s="214">
        <f t="shared" si="14"/>
        <v>0</v>
      </c>
      <c r="T11" s="214">
        <f t="shared" si="15"/>
        <v>0</v>
      </c>
      <c r="U11" s="215">
        <f t="shared" si="16"/>
        <v>0</v>
      </c>
      <c r="V11" s="215">
        <f t="shared" si="17"/>
        <v>0</v>
      </c>
      <c r="W11" s="215">
        <f t="shared" si="18"/>
        <v>0</v>
      </c>
      <c r="X11" s="216">
        <f t="shared" si="19"/>
        <v>0</v>
      </c>
      <c r="Y11" s="215">
        <f t="shared" si="20"/>
        <v>0</v>
      </c>
      <c r="Z11" s="212"/>
      <c r="AA11" s="217">
        <f t="shared" si="21"/>
        <v>0</v>
      </c>
      <c r="AB11" s="218">
        <f t="shared" si="22"/>
        <v>0</v>
      </c>
      <c r="AC11" s="218">
        <f t="shared" si="23"/>
        <v>0</v>
      </c>
      <c r="AD11" s="218">
        <f t="shared" si="24"/>
        <v>0</v>
      </c>
      <c r="AE11" s="218">
        <f t="shared" si="25"/>
        <v>0</v>
      </c>
      <c r="AF11" s="218">
        <f t="shared" si="26"/>
        <v>0</v>
      </c>
      <c r="AG11" s="218">
        <f t="shared" si="27"/>
        <v>0</v>
      </c>
      <c r="AH11" s="219">
        <f t="shared" si="28"/>
        <v>0</v>
      </c>
      <c r="AI11" s="215">
        <f t="shared" si="29"/>
        <v>0</v>
      </c>
      <c r="AJ11" s="220">
        <f t="shared" si="30"/>
        <v>0</v>
      </c>
      <c r="AK11" s="220">
        <f t="shared" si="31"/>
        <v>0</v>
      </c>
      <c r="AL11" s="220">
        <f t="shared" si="32"/>
        <v>0</v>
      </c>
      <c r="AM11" s="220"/>
      <c r="AN11" s="221">
        <f t="shared" si="3"/>
        <v>0</v>
      </c>
      <c r="AO11" s="221">
        <f t="shared" si="4"/>
        <v>0</v>
      </c>
      <c r="AP11" s="221">
        <f t="shared" si="5"/>
        <v>0</v>
      </c>
      <c r="AQ11" s="222" t="s">
        <v>69</v>
      </c>
    </row>
    <row r="12" spans="1:43" ht="15.75" x14ac:dyDescent="0.2">
      <c r="A12" s="132">
        <v>6</v>
      </c>
      <c r="B12" s="133" t="s">
        <v>55</v>
      </c>
      <c r="C12" s="134">
        <f>+'расчет точ'!C12</f>
        <v>0.87</v>
      </c>
      <c r="D12" s="134">
        <f>+'расчет точ'!D12</f>
        <v>0.87</v>
      </c>
      <c r="E12" s="134">
        <f>+'расчет точ'!E12</f>
        <v>0.87</v>
      </c>
      <c r="F12" s="177">
        <v>1E-4</v>
      </c>
      <c r="G12" s="136">
        <f t="shared" si="6"/>
        <v>8.7000000000000001E-5</v>
      </c>
      <c r="H12" s="155">
        <f t="shared" si="0"/>
        <v>0</v>
      </c>
      <c r="I12" s="155">
        <f t="shared" si="7"/>
        <v>0</v>
      </c>
      <c r="J12" s="155">
        <f t="shared" si="1"/>
        <v>0</v>
      </c>
      <c r="K12" s="155">
        <f t="shared" si="8"/>
        <v>0</v>
      </c>
      <c r="L12" s="155">
        <f t="shared" si="9"/>
        <v>0</v>
      </c>
      <c r="M12" s="155">
        <f t="shared" si="10"/>
        <v>0</v>
      </c>
      <c r="N12" s="157">
        <f t="shared" si="11"/>
        <v>0</v>
      </c>
      <c r="O12" s="158">
        <f t="shared" si="12"/>
        <v>0</v>
      </c>
      <c r="P12" s="212"/>
      <c r="Q12" s="213">
        <f t="shared" si="13"/>
        <v>0</v>
      </c>
      <c r="R12" s="214">
        <f t="shared" si="2"/>
        <v>0</v>
      </c>
      <c r="S12" s="214">
        <f t="shared" si="14"/>
        <v>0</v>
      </c>
      <c r="T12" s="214">
        <f t="shared" si="15"/>
        <v>0</v>
      </c>
      <c r="U12" s="215">
        <f t="shared" si="16"/>
        <v>0</v>
      </c>
      <c r="V12" s="215">
        <f t="shared" si="17"/>
        <v>0</v>
      </c>
      <c r="W12" s="215">
        <f t="shared" si="18"/>
        <v>0</v>
      </c>
      <c r="X12" s="216">
        <f t="shared" si="19"/>
        <v>0</v>
      </c>
      <c r="Y12" s="215">
        <f t="shared" si="20"/>
        <v>0</v>
      </c>
      <c r="Z12" s="212"/>
      <c r="AA12" s="217">
        <f t="shared" si="21"/>
        <v>0</v>
      </c>
      <c r="AB12" s="218">
        <f t="shared" si="22"/>
        <v>0</v>
      </c>
      <c r="AC12" s="218">
        <f t="shared" si="23"/>
        <v>0</v>
      </c>
      <c r="AD12" s="218">
        <f t="shared" si="24"/>
        <v>0</v>
      </c>
      <c r="AE12" s="218">
        <f t="shared" si="25"/>
        <v>0</v>
      </c>
      <c r="AF12" s="218">
        <f t="shared" si="26"/>
        <v>0</v>
      </c>
      <c r="AG12" s="218">
        <f t="shared" si="27"/>
        <v>0</v>
      </c>
      <c r="AH12" s="219">
        <f t="shared" si="28"/>
        <v>0</v>
      </c>
      <c r="AI12" s="215">
        <f t="shared" si="29"/>
        <v>0</v>
      </c>
      <c r="AJ12" s="220">
        <f t="shared" si="30"/>
        <v>0</v>
      </c>
      <c r="AK12" s="220">
        <f t="shared" si="31"/>
        <v>0</v>
      </c>
      <c r="AL12" s="220">
        <f t="shared" si="32"/>
        <v>0</v>
      </c>
      <c r="AM12" s="220"/>
      <c r="AN12" s="221">
        <f t="shared" si="3"/>
        <v>0</v>
      </c>
      <c r="AO12" s="221">
        <f t="shared" si="4"/>
        <v>0</v>
      </c>
      <c r="AP12" s="221">
        <f t="shared" si="5"/>
        <v>0</v>
      </c>
      <c r="AQ12" s="222" t="s">
        <v>69</v>
      </c>
    </row>
    <row r="13" spans="1:43" ht="15.75" x14ac:dyDescent="0.2">
      <c r="A13" s="132">
        <v>7</v>
      </c>
      <c r="B13" s="133" t="s">
        <v>9</v>
      </c>
      <c r="C13" s="134">
        <f>+'расчет точ'!C13</f>
        <v>0.89</v>
      </c>
      <c r="D13" s="134">
        <f>+'расчет точ'!D13</f>
        <v>0.9</v>
      </c>
      <c r="E13" s="134">
        <f>+'расчет точ'!E13</f>
        <v>0.89</v>
      </c>
      <c r="F13" s="177"/>
      <c r="G13" s="136">
        <f t="shared" si="6"/>
        <v>0</v>
      </c>
      <c r="H13" s="155">
        <f t="shared" si="0"/>
        <v>0</v>
      </c>
      <c r="I13" s="155">
        <f t="shared" si="7"/>
        <v>0</v>
      </c>
      <c r="J13" s="155">
        <f t="shared" si="1"/>
        <v>0</v>
      </c>
      <c r="K13" s="155">
        <f t="shared" si="8"/>
        <v>0</v>
      </c>
      <c r="L13" s="155">
        <f t="shared" si="9"/>
        <v>0</v>
      </c>
      <c r="M13" s="155">
        <f t="shared" si="10"/>
        <v>0</v>
      </c>
      <c r="N13" s="157">
        <f t="shared" si="11"/>
        <v>0</v>
      </c>
      <c r="O13" s="158">
        <f t="shared" si="12"/>
        <v>0</v>
      </c>
      <c r="P13" s="212"/>
      <c r="Q13" s="213">
        <f t="shared" si="13"/>
        <v>0</v>
      </c>
      <c r="R13" s="214">
        <f t="shared" si="2"/>
        <v>0</v>
      </c>
      <c r="S13" s="214">
        <f t="shared" si="14"/>
        <v>0</v>
      </c>
      <c r="T13" s="214">
        <f t="shared" si="15"/>
        <v>0</v>
      </c>
      <c r="U13" s="215">
        <f t="shared" si="16"/>
        <v>0</v>
      </c>
      <c r="V13" s="215">
        <f t="shared" si="17"/>
        <v>0</v>
      </c>
      <c r="W13" s="215">
        <f t="shared" si="18"/>
        <v>0</v>
      </c>
      <c r="X13" s="216">
        <f t="shared" si="19"/>
        <v>0</v>
      </c>
      <c r="Y13" s="215">
        <f t="shared" si="20"/>
        <v>0</v>
      </c>
      <c r="Z13" s="212"/>
      <c r="AA13" s="217">
        <f t="shared" si="21"/>
        <v>0</v>
      </c>
      <c r="AB13" s="218">
        <f t="shared" si="22"/>
        <v>0</v>
      </c>
      <c r="AC13" s="218">
        <f t="shared" si="23"/>
        <v>0</v>
      </c>
      <c r="AD13" s="218">
        <f t="shared" si="24"/>
        <v>0</v>
      </c>
      <c r="AE13" s="218">
        <f t="shared" si="25"/>
        <v>0</v>
      </c>
      <c r="AF13" s="218">
        <f t="shared" si="26"/>
        <v>0</v>
      </c>
      <c r="AG13" s="218">
        <f t="shared" si="27"/>
        <v>0</v>
      </c>
      <c r="AH13" s="219">
        <f t="shared" si="28"/>
        <v>0</v>
      </c>
      <c r="AI13" s="215">
        <f t="shared" si="29"/>
        <v>0</v>
      </c>
      <c r="AJ13" s="220">
        <f t="shared" si="30"/>
        <v>0</v>
      </c>
      <c r="AK13" s="220">
        <f t="shared" si="31"/>
        <v>0</v>
      </c>
      <c r="AL13" s="220">
        <f t="shared" si="32"/>
        <v>0</v>
      </c>
      <c r="AM13" s="220"/>
      <c r="AN13" s="221">
        <f t="shared" si="3"/>
        <v>0</v>
      </c>
      <c r="AO13" s="221">
        <f t="shared" si="4"/>
        <v>0</v>
      </c>
      <c r="AP13" s="221">
        <f t="shared" si="5"/>
        <v>0</v>
      </c>
      <c r="AQ13" s="222" t="s">
        <v>69</v>
      </c>
    </row>
    <row r="14" spans="1:43" ht="15.75" x14ac:dyDescent="0.2">
      <c r="A14" s="132">
        <v>8</v>
      </c>
      <c r="B14" s="133" t="s">
        <v>10</v>
      </c>
      <c r="C14" s="134">
        <f>+'расчет точ'!C14</f>
        <v>0.89</v>
      </c>
      <c r="D14" s="134">
        <f>+'расчет точ'!D14</f>
        <v>0.9</v>
      </c>
      <c r="E14" s="134">
        <f>+'расчет точ'!E14</f>
        <v>0.9</v>
      </c>
      <c r="F14" s="177"/>
      <c r="G14" s="136">
        <f t="shared" si="6"/>
        <v>0</v>
      </c>
      <c r="H14" s="155">
        <f t="shared" si="0"/>
        <v>0</v>
      </c>
      <c r="I14" s="155">
        <f t="shared" si="7"/>
        <v>0</v>
      </c>
      <c r="J14" s="155">
        <f t="shared" si="1"/>
        <v>0</v>
      </c>
      <c r="K14" s="155">
        <f t="shared" si="8"/>
        <v>0</v>
      </c>
      <c r="L14" s="155">
        <f t="shared" si="9"/>
        <v>0</v>
      </c>
      <c r="M14" s="155">
        <f t="shared" si="10"/>
        <v>0</v>
      </c>
      <c r="N14" s="157">
        <f t="shared" si="11"/>
        <v>0</v>
      </c>
      <c r="O14" s="158">
        <f t="shared" si="12"/>
        <v>0</v>
      </c>
      <c r="P14" s="212"/>
      <c r="Q14" s="213">
        <f t="shared" si="13"/>
        <v>0</v>
      </c>
      <c r="R14" s="214">
        <f t="shared" si="2"/>
        <v>0</v>
      </c>
      <c r="S14" s="214">
        <f t="shared" si="14"/>
        <v>0</v>
      </c>
      <c r="T14" s="214">
        <f t="shared" si="15"/>
        <v>0</v>
      </c>
      <c r="U14" s="215">
        <f t="shared" si="16"/>
        <v>0</v>
      </c>
      <c r="V14" s="215">
        <f t="shared" si="17"/>
        <v>0</v>
      </c>
      <c r="W14" s="215">
        <f t="shared" si="18"/>
        <v>0</v>
      </c>
      <c r="X14" s="216">
        <f t="shared" si="19"/>
        <v>0</v>
      </c>
      <c r="Y14" s="215">
        <f t="shared" si="20"/>
        <v>0</v>
      </c>
      <c r="Z14" s="212"/>
      <c r="AA14" s="217">
        <f t="shared" si="21"/>
        <v>0</v>
      </c>
      <c r="AB14" s="218">
        <f t="shared" si="22"/>
        <v>0</v>
      </c>
      <c r="AC14" s="218">
        <f t="shared" si="23"/>
        <v>0</v>
      </c>
      <c r="AD14" s="218">
        <f t="shared" si="24"/>
        <v>0</v>
      </c>
      <c r="AE14" s="218">
        <f t="shared" si="25"/>
        <v>0</v>
      </c>
      <c r="AF14" s="218">
        <f t="shared" si="26"/>
        <v>0</v>
      </c>
      <c r="AG14" s="218">
        <f t="shared" si="27"/>
        <v>0</v>
      </c>
      <c r="AH14" s="219">
        <f t="shared" si="28"/>
        <v>0</v>
      </c>
      <c r="AI14" s="215">
        <f t="shared" si="29"/>
        <v>0</v>
      </c>
      <c r="AJ14" s="220">
        <f t="shared" si="30"/>
        <v>0</v>
      </c>
      <c r="AK14" s="220">
        <f t="shared" si="31"/>
        <v>0</v>
      </c>
      <c r="AL14" s="220">
        <f t="shared" si="32"/>
        <v>0</v>
      </c>
      <c r="AM14" s="220"/>
      <c r="AN14" s="221">
        <f t="shared" si="3"/>
        <v>0</v>
      </c>
      <c r="AO14" s="221">
        <f t="shared" si="4"/>
        <v>0</v>
      </c>
      <c r="AP14" s="221">
        <f t="shared" si="5"/>
        <v>0</v>
      </c>
      <c r="AQ14" s="222" t="s">
        <v>69</v>
      </c>
    </row>
    <row r="15" spans="1:43" ht="15.75" x14ac:dyDescent="0.2">
      <c r="A15" s="132">
        <v>9</v>
      </c>
      <c r="B15" s="133" t="s">
        <v>11</v>
      </c>
      <c r="C15" s="134">
        <f>+'расчет точ'!C15</f>
        <v>0.9</v>
      </c>
      <c r="D15" s="134">
        <f>+'расчет точ'!D15</f>
        <v>0.9</v>
      </c>
      <c r="E15" s="134">
        <f>+'расчет точ'!E15</f>
        <v>0.89</v>
      </c>
      <c r="F15" s="177"/>
      <c r="G15" s="136">
        <f t="shared" si="6"/>
        <v>0</v>
      </c>
      <c r="H15" s="155">
        <f t="shared" si="0"/>
        <v>0</v>
      </c>
      <c r="I15" s="155">
        <f t="shared" si="7"/>
        <v>0</v>
      </c>
      <c r="J15" s="155">
        <f t="shared" si="1"/>
        <v>0</v>
      </c>
      <c r="K15" s="155">
        <f t="shared" si="8"/>
        <v>0</v>
      </c>
      <c r="L15" s="155">
        <f t="shared" si="9"/>
        <v>0</v>
      </c>
      <c r="M15" s="155">
        <f t="shared" si="10"/>
        <v>0</v>
      </c>
      <c r="N15" s="157">
        <f t="shared" si="11"/>
        <v>0</v>
      </c>
      <c r="O15" s="158">
        <f t="shared" si="12"/>
        <v>0</v>
      </c>
      <c r="P15" s="212"/>
      <c r="Q15" s="213">
        <f t="shared" si="13"/>
        <v>0</v>
      </c>
      <c r="R15" s="214">
        <f t="shared" si="2"/>
        <v>0</v>
      </c>
      <c r="S15" s="214">
        <f t="shared" si="14"/>
        <v>0</v>
      </c>
      <c r="T15" s="214">
        <f t="shared" si="15"/>
        <v>0</v>
      </c>
      <c r="U15" s="215">
        <f t="shared" si="16"/>
        <v>0</v>
      </c>
      <c r="V15" s="215">
        <f t="shared" si="17"/>
        <v>0</v>
      </c>
      <c r="W15" s="215">
        <f t="shared" si="18"/>
        <v>0</v>
      </c>
      <c r="X15" s="216">
        <f t="shared" si="19"/>
        <v>0</v>
      </c>
      <c r="Y15" s="215">
        <f t="shared" si="20"/>
        <v>0</v>
      </c>
      <c r="Z15" s="212"/>
      <c r="AA15" s="217">
        <f t="shared" si="21"/>
        <v>0</v>
      </c>
      <c r="AB15" s="218">
        <f t="shared" si="22"/>
        <v>0</v>
      </c>
      <c r="AC15" s="218">
        <f t="shared" si="23"/>
        <v>0</v>
      </c>
      <c r="AD15" s="218">
        <f t="shared" si="24"/>
        <v>0</v>
      </c>
      <c r="AE15" s="218">
        <f t="shared" si="25"/>
        <v>0</v>
      </c>
      <c r="AF15" s="218">
        <f t="shared" si="26"/>
        <v>0</v>
      </c>
      <c r="AG15" s="218">
        <f t="shared" si="27"/>
        <v>0</v>
      </c>
      <c r="AH15" s="219">
        <f t="shared" si="28"/>
        <v>0</v>
      </c>
      <c r="AI15" s="215">
        <f t="shared" si="29"/>
        <v>0</v>
      </c>
      <c r="AJ15" s="220">
        <f t="shared" si="30"/>
        <v>0</v>
      </c>
      <c r="AK15" s="220">
        <f t="shared" si="31"/>
        <v>0</v>
      </c>
      <c r="AL15" s="220">
        <f t="shared" si="32"/>
        <v>0</v>
      </c>
      <c r="AM15" s="220"/>
      <c r="AN15" s="221">
        <f t="shared" si="3"/>
        <v>0</v>
      </c>
      <c r="AO15" s="221">
        <f t="shared" si="4"/>
        <v>0</v>
      </c>
      <c r="AP15" s="221">
        <f t="shared" si="5"/>
        <v>0</v>
      </c>
      <c r="AQ15" s="222" t="s">
        <v>69</v>
      </c>
    </row>
    <row r="16" spans="1:43" ht="15.75" x14ac:dyDescent="0.2">
      <c r="A16" s="132">
        <v>10</v>
      </c>
      <c r="B16" s="133" t="s">
        <v>12</v>
      </c>
      <c r="C16" s="134">
        <f>+'расчет точ'!C16</f>
        <v>0.9</v>
      </c>
      <c r="D16" s="134">
        <f>+'расчет точ'!D16</f>
        <v>0.89</v>
      </c>
      <c r="E16" s="134">
        <f>+'расчет точ'!E16</f>
        <v>0.9</v>
      </c>
      <c r="F16" s="177"/>
      <c r="G16" s="136">
        <f t="shared" si="6"/>
        <v>0</v>
      </c>
      <c r="H16" s="155">
        <f t="shared" si="0"/>
        <v>0</v>
      </c>
      <c r="I16" s="155">
        <f t="shared" si="7"/>
        <v>0</v>
      </c>
      <c r="J16" s="155">
        <f t="shared" si="1"/>
        <v>0</v>
      </c>
      <c r="K16" s="155">
        <f t="shared" si="8"/>
        <v>0</v>
      </c>
      <c r="L16" s="155">
        <f t="shared" si="9"/>
        <v>0</v>
      </c>
      <c r="M16" s="155">
        <f t="shared" si="10"/>
        <v>0</v>
      </c>
      <c r="N16" s="157">
        <f t="shared" si="11"/>
        <v>0</v>
      </c>
      <c r="O16" s="158">
        <f t="shared" si="12"/>
        <v>0</v>
      </c>
      <c r="P16" s="212"/>
      <c r="Q16" s="213">
        <f t="shared" si="13"/>
        <v>0</v>
      </c>
      <c r="R16" s="214">
        <f t="shared" si="2"/>
        <v>0</v>
      </c>
      <c r="S16" s="214">
        <f t="shared" si="14"/>
        <v>0</v>
      </c>
      <c r="T16" s="214">
        <f t="shared" si="15"/>
        <v>0</v>
      </c>
      <c r="U16" s="215">
        <f t="shared" si="16"/>
        <v>0</v>
      </c>
      <c r="V16" s="215">
        <f t="shared" si="17"/>
        <v>0</v>
      </c>
      <c r="W16" s="215">
        <f t="shared" si="18"/>
        <v>0</v>
      </c>
      <c r="X16" s="216">
        <f t="shared" si="19"/>
        <v>0</v>
      </c>
      <c r="Y16" s="215">
        <f t="shared" si="20"/>
        <v>0</v>
      </c>
      <c r="Z16" s="212"/>
      <c r="AA16" s="217">
        <f t="shared" si="21"/>
        <v>0</v>
      </c>
      <c r="AB16" s="218">
        <f t="shared" si="22"/>
        <v>0</v>
      </c>
      <c r="AC16" s="218">
        <f t="shared" si="23"/>
        <v>0</v>
      </c>
      <c r="AD16" s="218">
        <f t="shared" si="24"/>
        <v>0</v>
      </c>
      <c r="AE16" s="218">
        <f t="shared" si="25"/>
        <v>0</v>
      </c>
      <c r="AF16" s="218">
        <f t="shared" si="26"/>
        <v>0</v>
      </c>
      <c r="AG16" s="218">
        <f t="shared" si="27"/>
        <v>0</v>
      </c>
      <c r="AH16" s="219">
        <f t="shared" si="28"/>
        <v>0</v>
      </c>
      <c r="AI16" s="215">
        <f t="shared" si="29"/>
        <v>0</v>
      </c>
      <c r="AJ16" s="220">
        <f t="shared" si="30"/>
        <v>0</v>
      </c>
      <c r="AK16" s="220">
        <f t="shared" si="31"/>
        <v>0</v>
      </c>
      <c r="AL16" s="220">
        <f t="shared" si="32"/>
        <v>0</v>
      </c>
      <c r="AM16" s="220"/>
      <c r="AN16" s="221">
        <f t="shared" si="3"/>
        <v>0</v>
      </c>
      <c r="AO16" s="221">
        <f t="shared" si="4"/>
        <v>0</v>
      </c>
      <c r="AP16" s="221">
        <f t="shared" si="5"/>
        <v>0</v>
      </c>
      <c r="AQ16" s="222" t="s">
        <v>69</v>
      </c>
    </row>
    <row r="17" spans="1:43" ht="15.75" x14ac:dyDescent="0.2">
      <c r="A17" s="132">
        <v>11</v>
      </c>
      <c r="B17" s="133" t="s">
        <v>56</v>
      </c>
      <c r="C17" s="134">
        <f>+'расчет точ'!C17</f>
        <v>0.89</v>
      </c>
      <c r="D17" s="134">
        <f>+'расчет точ'!D17</f>
        <v>0.89</v>
      </c>
      <c r="E17" s="134">
        <f>+'расчет точ'!E17</f>
        <v>0.9</v>
      </c>
      <c r="F17" s="177"/>
      <c r="G17" s="136">
        <f t="shared" si="6"/>
        <v>0</v>
      </c>
      <c r="H17" s="155">
        <f t="shared" si="0"/>
        <v>0</v>
      </c>
      <c r="I17" s="155">
        <f t="shared" si="7"/>
        <v>0</v>
      </c>
      <c r="J17" s="155">
        <f t="shared" si="1"/>
        <v>0</v>
      </c>
      <c r="K17" s="155">
        <f t="shared" si="8"/>
        <v>0</v>
      </c>
      <c r="L17" s="155">
        <f t="shared" si="9"/>
        <v>0</v>
      </c>
      <c r="M17" s="155">
        <f t="shared" si="10"/>
        <v>0</v>
      </c>
      <c r="N17" s="157">
        <f t="shared" si="11"/>
        <v>0</v>
      </c>
      <c r="O17" s="158">
        <f t="shared" si="12"/>
        <v>0</v>
      </c>
      <c r="P17" s="212">
        <v>1</v>
      </c>
      <c r="Q17" s="213">
        <f t="shared" si="13"/>
        <v>0.89</v>
      </c>
      <c r="R17" s="214">
        <f t="shared" si="2"/>
        <v>22836404.490000002</v>
      </c>
      <c r="S17" s="214">
        <f t="shared" si="14"/>
        <v>22836404.489999998</v>
      </c>
      <c r="T17" s="214">
        <f t="shared" si="15"/>
        <v>20324400</v>
      </c>
      <c r="U17" s="215">
        <f t="shared" si="16"/>
        <v>13617300</v>
      </c>
      <c r="V17" s="215">
        <f t="shared" si="17"/>
        <v>6707100</v>
      </c>
      <c r="W17" s="215">
        <f t="shared" si="18"/>
        <v>2512004.4900000002</v>
      </c>
      <c r="X17" s="216">
        <f t="shared" si="19"/>
        <v>0.10999999982922007</v>
      </c>
      <c r="Y17" s="215">
        <f t="shared" si="20"/>
        <v>22836404.489999998</v>
      </c>
      <c r="Z17" s="212"/>
      <c r="AA17" s="217">
        <f t="shared" si="21"/>
        <v>0</v>
      </c>
      <c r="AB17" s="218">
        <f t="shared" si="22"/>
        <v>0</v>
      </c>
      <c r="AC17" s="218">
        <f t="shared" si="23"/>
        <v>0</v>
      </c>
      <c r="AD17" s="218">
        <f t="shared" si="24"/>
        <v>0</v>
      </c>
      <c r="AE17" s="218">
        <f t="shared" si="25"/>
        <v>0</v>
      </c>
      <c r="AF17" s="218">
        <f t="shared" si="26"/>
        <v>0</v>
      </c>
      <c r="AG17" s="218">
        <f t="shared" si="27"/>
        <v>0</v>
      </c>
      <c r="AH17" s="219">
        <f t="shared" si="28"/>
        <v>0</v>
      </c>
      <c r="AI17" s="215">
        <f t="shared" si="29"/>
        <v>0</v>
      </c>
      <c r="AJ17" s="220">
        <f t="shared" si="30"/>
        <v>0</v>
      </c>
      <c r="AK17" s="220">
        <f t="shared" si="31"/>
        <v>20324400</v>
      </c>
      <c r="AL17" s="220">
        <f t="shared" si="32"/>
        <v>0</v>
      </c>
      <c r="AM17" s="220"/>
      <c r="AN17" s="221">
        <f t="shared" si="3"/>
        <v>0</v>
      </c>
      <c r="AO17" s="221">
        <f t="shared" si="4"/>
        <v>20324.400000000001</v>
      </c>
      <c r="AP17" s="221">
        <f t="shared" si="5"/>
        <v>0</v>
      </c>
      <c r="AQ17" s="222" t="s">
        <v>69</v>
      </c>
    </row>
    <row r="18" spans="1:43" ht="15.75" x14ac:dyDescent="0.2">
      <c r="A18" s="132">
        <v>12</v>
      </c>
      <c r="B18" s="133" t="s">
        <v>14</v>
      </c>
      <c r="C18" s="134">
        <f>+'расчет точ'!C18</f>
        <v>0.9</v>
      </c>
      <c r="D18" s="134">
        <f>+'расчет точ'!D18</f>
        <v>0.9</v>
      </c>
      <c r="E18" s="134">
        <f>+'расчет точ'!E18</f>
        <v>0.89</v>
      </c>
      <c r="F18" s="177"/>
      <c r="G18" s="136">
        <f t="shared" si="6"/>
        <v>0</v>
      </c>
      <c r="H18" s="155">
        <f t="shared" si="0"/>
        <v>0</v>
      </c>
      <c r="I18" s="155">
        <f t="shared" si="7"/>
        <v>0</v>
      </c>
      <c r="J18" s="155">
        <f t="shared" si="1"/>
        <v>0</v>
      </c>
      <c r="K18" s="155">
        <f t="shared" si="8"/>
        <v>0</v>
      </c>
      <c r="L18" s="155">
        <f t="shared" si="9"/>
        <v>0</v>
      </c>
      <c r="M18" s="155">
        <f t="shared" si="10"/>
        <v>0</v>
      </c>
      <c r="N18" s="157">
        <f t="shared" si="11"/>
        <v>0</v>
      </c>
      <c r="O18" s="158">
        <f t="shared" si="12"/>
        <v>0</v>
      </c>
      <c r="P18" s="212"/>
      <c r="Q18" s="213">
        <f t="shared" si="13"/>
        <v>0</v>
      </c>
      <c r="R18" s="214">
        <f t="shared" si="2"/>
        <v>0</v>
      </c>
      <c r="S18" s="214">
        <f t="shared" si="14"/>
        <v>0</v>
      </c>
      <c r="T18" s="214">
        <f t="shared" si="15"/>
        <v>0</v>
      </c>
      <c r="U18" s="215">
        <f t="shared" si="16"/>
        <v>0</v>
      </c>
      <c r="V18" s="215">
        <f t="shared" si="17"/>
        <v>0</v>
      </c>
      <c r="W18" s="215">
        <f t="shared" si="18"/>
        <v>0</v>
      </c>
      <c r="X18" s="216">
        <f t="shared" si="19"/>
        <v>0</v>
      </c>
      <c r="Y18" s="215">
        <f t="shared" si="20"/>
        <v>0</v>
      </c>
      <c r="Z18" s="212"/>
      <c r="AA18" s="217">
        <f t="shared" si="21"/>
        <v>0</v>
      </c>
      <c r="AB18" s="218">
        <f t="shared" si="22"/>
        <v>0</v>
      </c>
      <c r="AC18" s="218">
        <f t="shared" si="23"/>
        <v>0</v>
      </c>
      <c r="AD18" s="218">
        <f t="shared" si="24"/>
        <v>0</v>
      </c>
      <c r="AE18" s="218">
        <f t="shared" si="25"/>
        <v>0</v>
      </c>
      <c r="AF18" s="218">
        <f t="shared" si="26"/>
        <v>0</v>
      </c>
      <c r="AG18" s="218">
        <f t="shared" si="27"/>
        <v>0</v>
      </c>
      <c r="AH18" s="219">
        <f t="shared" si="28"/>
        <v>0</v>
      </c>
      <c r="AI18" s="215">
        <f t="shared" si="29"/>
        <v>0</v>
      </c>
      <c r="AJ18" s="220">
        <f t="shared" si="30"/>
        <v>0</v>
      </c>
      <c r="AK18" s="220">
        <f t="shared" si="31"/>
        <v>0</v>
      </c>
      <c r="AL18" s="220">
        <f t="shared" si="32"/>
        <v>0</v>
      </c>
      <c r="AM18" s="220"/>
      <c r="AN18" s="221">
        <f t="shared" si="3"/>
        <v>0</v>
      </c>
      <c r="AO18" s="221">
        <f t="shared" si="4"/>
        <v>0</v>
      </c>
      <c r="AP18" s="221">
        <f t="shared" si="5"/>
        <v>0</v>
      </c>
      <c r="AQ18" s="222" t="s">
        <v>69</v>
      </c>
    </row>
    <row r="19" spans="1:43" ht="15.75" x14ac:dyDescent="0.2">
      <c r="A19" s="132">
        <v>13</v>
      </c>
      <c r="B19" s="133" t="s">
        <v>15</v>
      </c>
      <c r="C19" s="134">
        <f>+'расчет точ'!C19</f>
        <v>0.9</v>
      </c>
      <c r="D19" s="134">
        <f>+'расчет точ'!D19</f>
        <v>0.9</v>
      </c>
      <c r="E19" s="134">
        <f>+'расчет точ'!E19</f>
        <v>0.9</v>
      </c>
      <c r="F19" s="177"/>
      <c r="G19" s="136">
        <f t="shared" si="6"/>
        <v>0</v>
      </c>
      <c r="H19" s="155">
        <f t="shared" si="0"/>
        <v>0</v>
      </c>
      <c r="I19" s="155">
        <f t="shared" si="7"/>
        <v>0</v>
      </c>
      <c r="J19" s="155">
        <f t="shared" si="1"/>
        <v>0</v>
      </c>
      <c r="K19" s="155">
        <f t="shared" si="8"/>
        <v>0</v>
      </c>
      <c r="L19" s="155">
        <f t="shared" si="9"/>
        <v>0</v>
      </c>
      <c r="M19" s="155">
        <f t="shared" si="10"/>
        <v>0</v>
      </c>
      <c r="N19" s="157">
        <f t="shared" si="11"/>
        <v>0</v>
      </c>
      <c r="O19" s="158">
        <f t="shared" si="12"/>
        <v>0</v>
      </c>
      <c r="P19" s="212"/>
      <c r="Q19" s="213">
        <f t="shared" si="13"/>
        <v>0</v>
      </c>
      <c r="R19" s="214">
        <f t="shared" si="2"/>
        <v>0</v>
      </c>
      <c r="S19" s="214">
        <f t="shared" si="14"/>
        <v>0</v>
      </c>
      <c r="T19" s="214">
        <f t="shared" si="15"/>
        <v>0</v>
      </c>
      <c r="U19" s="215">
        <f t="shared" si="16"/>
        <v>0</v>
      </c>
      <c r="V19" s="215">
        <f t="shared" si="17"/>
        <v>0</v>
      </c>
      <c r="W19" s="215">
        <f t="shared" si="18"/>
        <v>0</v>
      </c>
      <c r="X19" s="216">
        <f t="shared" si="19"/>
        <v>0</v>
      </c>
      <c r="Y19" s="215">
        <f t="shared" si="20"/>
        <v>0</v>
      </c>
      <c r="Z19" s="212"/>
      <c r="AA19" s="217">
        <f t="shared" si="21"/>
        <v>0</v>
      </c>
      <c r="AB19" s="218">
        <f t="shared" si="22"/>
        <v>0</v>
      </c>
      <c r="AC19" s="218">
        <f t="shared" si="23"/>
        <v>0</v>
      </c>
      <c r="AD19" s="218">
        <f t="shared" si="24"/>
        <v>0</v>
      </c>
      <c r="AE19" s="218">
        <f t="shared" si="25"/>
        <v>0</v>
      </c>
      <c r="AF19" s="218">
        <f t="shared" si="26"/>
        <v>0</v>
      </c>
      <c r="AG19" s="218">
        <f t="shared" si="27"/>
        <v>0</v>
      </c>
      <c r="AH19" s="219">
        <f t="shared" si="28"/>
        <v>0</v>
      </c>
      <c r="AI19" s="215">
        <f t="shared" si="29"/>
        <v>0</v>
      </c>
      <c r="AJ19" s="220">
        <f t="shared" si="30"/>
        <v>0</v>
      </c>
      <c r="AK19" s="220">
        <f t="shared" si="31"/>
        <v>0</v>
      </c>
      <c r="AL19" s="220">
        <f t="shared" si="32"/>
        <v>0</v>
      </c>
      <c r="AM19" s="220"/>
      <c r="AN19" s="221">
        <f t="shared" si="3"/>
        <v>0</v>
      </c>
      <c r="AO19" s="221">
        <f t="shared" si="4"/>
        <v>0</v>
      </c>
      <c r="AP19" s="221">
        <f t="shared" si="5"/>
        <v>0</v>
      </c>
      <c r="AQ19" s="222" t="s">
        <v>69</v>
      </c>
    </row>
    <row r="20" spans="1:43" ht="15.75" x14ac:dyDescent="0.2">
      <c r="A20" s="132">
        <v>14</v>
      </c>
      <c r="B20" s="133" t="s">
        <v>16</v>
      </c>
      <c r="C20" s="134">
        <f>+'расчет точ'!C20</f>
        <v>0.89</v>
      </c>
      <c r="D20" s="134">
        <f>+'расчет точ'!D20</f>
        <v>0.89</v>
      </c>
      <c r="E20" s="134">
        <f>+'расчет точ'!E20</f>
        <v>0.89</v>
      </c>
      <c r="F20" s="177"/>
      <c r="G20" s="136">
        <f t="shared" si="6"/>
        <v>0</v>
      </c>
      <c r="H20" s="155">
        <f t="shared" si="0"/>
        <v>0</v>
      </c>
      <c r="I20" s="155">
        <f t="shared" si="7"/>
        <v>0</v>
      </c>
      <c r="J20" s="155">
        <f t="shared" si="1"/>
        <v>0</v>
      </c>
      <c r="K20" s="155">
        <f t="shared" si="8"/>
        <v>0</v>
      </c>
      <c r="L20" s="155">
        <f t="shared" si="9"/>
        <v>0</v>
      </c>
      <c r="M20" s="155">
        <f t="shared" si="10"/>
        <v>0</v>
      </c>
      <c r="N20" s="157">
        <f t="shared" si="11"/>
        <v>0</v>
      </c>
      <c r="O20" s="158">
        <f t="shared" si="12"/>
        <v>0</v>
      </c>
      <c r="P20" s="212"/>
      <c r="Q20" s="213">
        <f t="shared" si="13"/>
        <v>0</v>
      </c>
      <c r="R20" s="214">
        <f t="shared" si="2"/>
        <v>0</v>
      </c>
      <c r="S20" s="214">
        <f t="shared" si="14"/>
        <v>0</v>
      </c>
      <c r="T20" s="214">
        <f t="shared" si="15"/>
        <v>0</v>
      </c>
      <c r="U20" s="215">
        <f t="shared" si="16"/>
        <v>0</v>
      </c>
      <c r="V20" s="215">
        <f t="shared" si="17"/>
        <v>0</v>
      </c>
      <c r="W20" s="215">
        <f t="shared" si="18"/>
        <v>0</v>
      </c>
      <c r="X20" s="216">
        <f t="shared" si="19"/>
        <v>0</v>
      </c>
      <c r="Y20" s="215">
        <f t="shared" si="20"/>
        <v>0</v>
      </c>
      <c r="Z20" s="212"/>
      <c r="AA20" s="217">
        <f t="shared" si="21"/>
        <v>0</v>
      </c>
      <c r="AB20" s="218">
        <f t="shared" si="22"/>
        <v>0</v>
      </c>
      <c r="AC20" s="218">
        <f t="shared" si="23"/>
        <v>0</v>
      </c>
      <c r="AD20" s="218">
        <f t="shared" si="24"/>
        <v>0</v>
      </c>
      <c r="AE20" s="218">
        <f t="shared" si="25"/>
        <v>0</v>
      </c>
      <c r="AF20" s="218">
        <f t="shared" si="26"/>
        <v>0</v>
      </c>
      <c r="AG20" s="218">
        <f t="shared" si="27"/>
        <v>0</v>
      </c>
      <c r="AH20" s="219">
        <f t="shared" si="28"/>
        <v>0</v>
      </c>
      <c r="AI20" s="215">
        <f t="shared" si="29"/>
        <v>0</v>
      </c>
      <c r="AJ20" s="220">
        <f t="shared" si="30"/>
        <v>0</v>
      </c>
      <c r="AK20" s="220">
        <f t="shared" si="31"/>
        <v>0</v>
      </c>
      <c r="AL20" s="220">
        <f t="shared" si="32"/>
        <v>0</v>
      </c>
      <c r="AM20" s="220"/>
      <c r="AN20" s="221">
        <f t="shared" si="3"/>
        <v>0</v>
      </c>
      <c r="AO20" s="221">
        <f t="shared" si="4"/>
        <v>0</v>
      </c>
      <c r="AP20" s="221">
        <f t="shared" si="5"/>
        <v>0</v>
      </c>
      <c r="AQ20" s="222" t="s">
        <v>69</v>
      </c>
    </row>
    <row r="21" spans="1:43" ht="15.75" x14ac:dyDescent="0.2">
      <c r="A21" s="132">
        <v>15</v>
      </c>
      <c r="B21" s="133" t="s">
        <v>17</v>
      </c>
      <c r="C21" s="134">
        <f>+'расчет точ'!C21</f>
        <v>0.9</v>
      </c>
      <c r="D21" s="134">
        <f>+'расчет точ'!D21</f>
        <v>0.89</v>
      </c>
      <c r="E21" s="134">
        <f>+'расчет точ'!E21</f>
        <v>0.88</v>
      </c>
      <c r="F21" s="177"/>
      <c r="G21" s="136">
        <f t="shared" si="6"/>
        <v>0</v>
      </c>
      <c r="H21" s="155">
        <f t="shared" si="0"/>
        <v>0</v>
      </c>
      <c r="I21" s="155">
        <f t="shared" si="7"/>
        <v>0</v>
      </c>
      <c r="J21" s="155">
        <f t="shared" si="1"/>
        <v>0</v>
      </c>
      <c r="K21" s="155">
        <f t="shared" si="8"/>
        <v>0</v>
      </c>
      <c r="L21" s="155">
        <f t="shared" si="9"/>
        <v>0</v>
      </c>
      <c r="M21" s="155">
        <f t="shared" si="10"/>
        <v>0</v>
      </c>
      <c r="N21" s="157">
        <f t="shared" si="11"/>
        <v>0</v>
      </c>
      <c r="O21" s="158">
        <f t="shared" si="12"/>
        <v>0</v>
      </c>
      <c r="P21" s="212"/>
      <c r="Q21" s="213">
        <f t="shared" si="13"/>
        <v>0</v>
      </c>
      <c r="R21" s="214">
        <f t="shared" si="2"/>
        <v>0</v>
      </c>
      <c r="S21" s="214">
        <f t="shared" si="14"/>
        <v>0</v>
      </c>
      <c r="T21" s="214">
        <f t="shared" si="15"/>
        <v>0</v>
      </c>
      <c r="U21" s="215">
        <f t="shared" si="16"/>
        <v>0</v>
      </c>
      <c r="V21" s="215">
        <f t="shared" si="17"/>
        <v>0</v>
      </c>
      <c r="W21" s="215">
        <f t="shared" si="18"/>
        <v>0</v>
      </c>
      <c r="X21" s="216">
        <f t="shared" si="19"/>
        <v>0</v>
      </c>
      <c r="Y21" s="215">
        <f t="shared" si="20"/>
        <v>0</v>
      </c>
      <c r="Z21" s="212"/>
      <c r="AA21" s="217">
        <f t="shared" si="21"/>
        <v>0</v>
      </c>
      <c r="AB21" s="218">
        <f t="shared" si="22"/>
        <v>0</v>
      </c>
      <c r="AC21" s="218">
        <f t="shared" si="23"/>
        <v>0</v>
      </c>
      <c r="AD21" s="218">
        <f t="shared" si="24"/>
        <v>0</v>
      </c>
      <c r="AE21" s="218">
        <f t="shared" si="25"/>
        <v>0</v>
      </c>
      <c r="AF21" s="218">
        <f t="shared" si="26"/>
        <v>0</v>
      </c>
      <c r="AG21" s="218">
        <f t="shared" si="27"/>
        <v>0</v>
      </c>
      <c r="AH21" s="219">
        <f t="shared" si="28"/>
        <v>0</v>
      </c>
      <c r="AI21" s="215">
        <f t="shared" si="29"/>
        <v>0</v>
      </c>
      <c r="AJ21" s="220">
        <f t="shared" si="30"/>
        <v>0</v>
      </c>
      <c r="AK21" s="220">
        <f t="shared" si="31"/>
        <v>0</v>
      </c>
      <c r="AL21" s="220">
        <f t="shared" si="32"/>
        <v>0</v>
      </c>
      <c r="AM21" s="220"/>
      <c r="AN21" s="221">
        <f t="shared" si="3"/>
        <v>0</v>
      </c>
      <c r="AO21" s="221">
        <f t="shared" si="4"/>
        <v>0</v>
      </c>
      <c r="AP21" s="221">
        <f t="shared" si="5"/>
        <v>0</v>
      </c>
      <c r="AQ21" s="222" t="s">
        <v>69</v>
      </c>
    </row>
    <row r="22" spans="1:43" ht="15.75" x14ac:dyDescent="0.2">
      <c r="A22" s="132">
        <v>16</v>
      </c>
      <c r="B22" s="133" t="s">
        <v>18</v>
      </c>
      <c r="C22" s="134">
        <f>+'расчет точ'!C22</f>
        <v>0.9</v>
      </c>
      <c r="D22" s="134">
        <f>+'расчет точ'!D22</f>
        <v>0.91</v>
      </c>
      <c r="E22" s="134">
        <f>+'расчет точ'!E22</f>
        <v>0.91</v>
      </c>
      <c r="F22" s="177"/>
      <c r="G22" s="136">
        <f t="shared" si="6"/>
        <v>0</v>
      </c>
      <c r="H22" s="155">
        <f t="shared" si="0"/>
        <v>0</v>
      </c>
      <c r="I22" s="155">
        <f t="shared" si="7"/>
        <v>0</v>
      </c>
      <c r="J22" s="155">
        <f t="shared" si="1"/>
        <v>0</v>
      </c>
      <c r="K22" s="155">
        <f t="shared" si="8"/>
        <v>0</v>
      </c>
      <c r="L22" s="155">
        <f t="shared" si="9"/>
        <v>0</v>
      </c>
      <c r="M22" s="155">
        <f t="shared" si="10"/>
        <v>0</v>
      </c>
      <c r="N22" s="157">
        <f t="shared" si="11"/>
        <v>0</v>
      </c>
      <c r="O22" s="158">
        <f t="shared" si="12"/>
        <v>0</v>
      </c>
      <c r="P22" s="223"/>
      <c r="Q22" s="213">
        <f t="shared" si="13"/>
        <v>0</v>
      </c>
      <c r="R22" s="214">
        <f t="shared" si="2"/>
        <v>0</v>
      </c>
      <c r="S22" s="214">
        <f t="shared" si="14"/>
        <v>0</v>
      </c>
      <c r="T22" s="214">
        <f t="shared" si="15"/>
        <v>0</v>
      </c>
      <c r="U22" s="215">
        <f t="shared" si="16"/>
        <v>0</v>
      </c>
      <c r="V22" s="215">
        <f t="shared" si="17"/>
        <v>0</v>
      </c>
      <c r="W22" s="215">
        <f t="shared" si="18"/>
        <v>0</v>
      </c>
      <c r="X22" s="216">
        <f t="shared" si="19"/>
        <v>0</v>
      </c>
      <c r="Y22" s="215">
        <f t="shared" si="20"/>
        <v>0</v>
      </c>
      <c r="Z22" s="223"/>
      <c r="AA22" s="217">
        <f t="shared" si="21"/>
        <v>0</v>
      </c>
      <c r="AB22" s="218">
        <f t="shared" si="22"/>
        <v>0</v>
      </c>
      <c r="AC22" s="218">
        <f t="shared" si="23"/>
        <v>0</v>
      </c>
      <c r="AD22" s="218">
        <f t="shared" si="24"/>
        <v>0</v>
      </c>
      <c r="AE22" s="218">
        <f t="shared" si="25"/>
        <v>0</v>
      </c>
      <c r="AF22" s="218">
        <f t="shared" si="26"/>
        <v>0</v>
      </c>
      <c r="AG22" s="218">
        <f t="shared" si="27"/>
        <v>0</v>
      </c>
      <c r="AH22" s="219">
        <f t="shared" si="28"/>
        <v>0</v>
      </c>
      <c r="AI22" s="215">
        <f t="shared" si="29"/>
        <v>0</v>
      </c>
      <c r="AJ22" s="220">
        <f t="shared" si="30"/>
        <v>0</v>
      </c>
      <c r="AK22" s="220">
        <f t="shared" si="31"/>
        <v>0</v>
      </c>
      <c r="AL22" s="220">
        <f t="shared" si="32"/>
        <v>0</v>
      </c>
      <c r="AM22" s="220"/>
      <c r="AN22" s="221">
        <f t="shared" si="3"/>
        <v>0</v>
      </c>
      <c r="AO22" s="221">
        <f t="shared" si="4"/>
        <v>0</v>
      </c>
      <c r="AP22" s="221">
        <f t="shared" si="5"/>
        <v>0</v>
      </c>
      <c r="AQ22" s="222" t="s">
        <v>69</v>
      </c>
    </row>
    <row r="23" spans="1:43" ht="15.75" x14ac:dyDescent="0.2">
      <c r="A23" s="132">
        <v>17</v>
      </c>
      <c r="B23" s="133" t="s">
        <v>19</v>
      </c>
      <c r="C23" s="134">
        <f>+'расчет точ'!C23</f>
        <v>0.9</v>
      </c>
      <c r="D23" s="134">
        <f>+'расчет точ'!D23</f>
        <v>0.89</v>
      </c>
      <c r="E23" s="134">
        <f>+'расчет точ'!E23</f>
        <v>0.89</v>
      </c>
      <c r="F23" s="177"/>
      <c r="G23" s="136">
        <f t="shared" si="6"/>
        <v>0</v>
      </c>
      <c r="H23" s="155">
        <f t="shared" si="0"/>
        <v>0</v>
      </c>
      <c r="I23" s="155">
        <f t="shared" si="7"/>
        <v>0</v>
      </c>
      <c r="J23" s="155">
        <f t="shared" si="1"/>
        <v>0</v>
      </c>
      <c r="K23" s="155">
        <f>ROUND((I23-M23)*(1-$H$35),2)</f>
        <v>0</v>
      </c>
      <c r="L23" s="155">
        <f>ROUND((I23-M23)*$H$35,2)</f>
        <v>0</v>
      </c>
      <c r="M23" s="155">
        <f t="shared" si="10"/>
        <v>0</v>
      </c>
      <c r="N23" s="157">
        <f t="shared" si="11"/>
        <v>0</v>
      </c>
      <c r="O23" s="158">
        <f t="shared" si="12"/>
        <v>0</v>
      </c>
      <c r="P23" s="223"/>
      <c r="Q23" s="213">
        <f t="shared" si="13"/>
        <v>0</v>
      </c>
      <c r="R23" s="214">
        <f t="shared" si="2"/>
        <v>0</v>
      </c>
      <c r="S23" s="214">
        <f t="shared" si="14"/>
        <v>0</v>
      </c>
      <c r="T23" s="214">
        <f t="shared" si="15"/>
        <v>0</v>
      </c>
      <c r="U23" s="215">
        <f>ROUND((S23-W23)*(1-$S$35),2)</f>
        <v>0</v>
      </c>
      <c r="V23" s="215">
        <f>ROUND((S23-W23)*$S$35,2)</f>
        <v>0</v>
      </c>
      <c r="W23" s="215">
        <f t="shared" si="18"/>
        <v>0</v>
      </c>
      <c r="X23" s="216">
        <f t="shared" si="19"/>
        <v>0</v>
      </c>
      <c r="Y23" s="215">
        <f t="shared" si="20"/>
        <v>0</v>
      </c>
      <c r="Z23" s="223"/>
      <c r="AA23" s="217">
        <f t="shared" si="21"/>
        <v>0</v>
      </c>
      <c r="AB23" s="218">
        <f t="shared" si="22"/>
        <v>0</v>
      </c>
      <c r="AC23" s="218">
        <f t="shared" si="23"/>
        <v>0</v>
      </c>
      <c r="AD23" s="218">
        <f t="shared" si="24"/>
        <v>0</v>
      </c>
      <c r="AE23" s="218">
        <f t="shared" si="25"/>
        <v>0</v>
      </c>
      <c r="AF23" s="218">
        <f t="shared" si="26"/>
        <v>0</v>
      </c>
      <c r="AG23" s="218">
        <f t="shared" si="27"/>
        <v>0</v>
      </c>
      <c r="AH23" s="219">
        <f t="shared" si="28"/>
        <v>0</v>
      </c>
      <c r="AI23" s="215">
        <f t="shared" si="29"/>
        <v>0</v>
      </c>
      <c r="AJ23" s="220">
        <f t="shared" si="30"/>
        <v>0</v>
      </c>
      <c r="AK23" s="220">
        <f t="shared" si="31"/>
        <v>0</v>
      </c>
      <c r="AL23" s="220">
        <f t="shared" si="32"/>
        <v>0</v>
      </c>
      <c r="AM23" s="220"/>
      <c r="AN23" s="221">
        <f t="shared" si="3"/>
        <v>0</v>
      </c>
      <c r="AO23" s="221">
        <f t="shared" si="4"/>
        <v>0</v>
      </c>
      <c r="AP23" s="221">
        <f t="shared" si="5"/>
        <v>0</v>
      </c>
      <c r="AQ23" s="222" t="s">
        <v>69</v>
      </c>
    </row>
    <row r="24" spans="1:43" ht="15.75" x14ac:dyDescent="0.2">
      <c r="A24" s="132">
        <v>18</v>
      </c>
      <c r="B24" s="149" t="s">
        <v>20</v>
      </c>
      <c r="C24" s="134">
        <f>+'расчет точ'!C24</f>
        <v>0.77</v>
      </c>
      <c r="D24" s="134">
        <f>+'расчет точ'!D24</f>
        <v>0.76</v>
      </c>
      <c r="E24" s="134">
        <f>+'расчет точ'!E24</f>
        <v>0.78</v>
      </c>
      <c r="F24" s="177"/>
      <c r="G24" s="136">
        <f t="shared" si="6"/>
        <v>0</v>
      </c>
      <c r="H24" s="155">
        <f t="shared" si="0"/>
        <v>0</v>
      </c>
      <c r="I24" s="155">
        <f t="shared" si="7"/>
        <v>0</v>
      </c>
      <c r="J24" s="155">
        <f t="shared" si="1"/>
        <v>0</v>
      </c>
      <c r="K24" s="155">
        <f t="shared" si="8"/>
        <v>0</v>
      </c>
      <c r="L24" s="155">
        <f t="shared" si="9"/>
        <v>0</v>
      </c>
      <c r="M24" s="155">
        <f t="shared" si="10"/>
        <v>0</v>
      </c>
      <c r="N24" s="157">
        <f t="shared" si="11"/>
        <v>0</v>
      </c>
      <c r="O24" s="158">
        <f t="shared" si="12"/>
        <v>0</v>
      </c>
      <c r="P24" s="223"/>
      <c r="Q24" s="213">
        <f t="shared" si="13"/>
        <v>0</v>
      </c>
      <c r="R24" s="214">
        <f t="shared" si="2"/>
        <v>0</v>
      </c>
      <c r="S24" s="214">
        <f t="shared" si="14"/>
        <v>0</v>
      </c>
      <c r="T24" s="214">
        <f t="shared" si="15"/>
        <v>0</v>
      </c>
      <c r="U24" s="215">
        <f t="shared" si="16"/>
        <v>0</v>
      </c>
      <c r="V24" s="215">
        <f t="shared" si="17"/>
        <v>0</v>
      </c>
      <c r="W24" s="215">
        <f t="shared" si="18"/>
        <v>0</v>
      </c>
      <c r="X24" s="216">
        <f t="shared" si="19"/>
        <v>0</v>
      </c>
      <c r="Y24" s="215">
        <f t="shared" si="20"/>
        <v>0</v>
      </c>
      <c r="Z24" s="223">
        <v>0</v>
      </c>
      <c r="AA24" s="217">
        <f t="shared" si="21"/>
        <v>0</v>
      </c>
      <c r="AB24" s="218">
        <f t="shared" si="22"/>
        <v>0</v>
      </c>
      <c r="AC24" s="218">
        <f t="shared" si="23"/>
        <v>0</v>
      </c>
      <c r="AD24" s="218">
        <f>AE24+AF24</f>
        <v>0</v>
      </c>
      <c r="AE24" s="218">
        <f>ROUND((AC24-AG24)*(1-$AC$35),2)</f>
        <v>0</v>
      </c>
      <c r="AF24" s="218">
        <f t="shared" si="26"/>
        <v>0</v>
      </c>
      <c r="AG24" s="218">
        <f t="shared" si="27"/>
        <v>0</v>
      </c>
      <c r="AH24" s="219">
        <f t="shared" si="28"/>
        <v>0</v>
      </c>
      <c r="AI24" s="215">
        <f t="shared" si="29"/>
        <v>0</v>
      </c>
      <c r="AJ24" s="220">
        <f t="shared" si="30"/>
        <v>0</v>
      </c>
      <c r="AK24" s="220">
        <f t="shared" si="31"/>
        <v>0</v>
      </c>
      <c r="AL24" s="220">
        <f t="shared" si="32"/>
        <v>0</v>
      </c>
      <c r="AM24" s="220"/>
      <c r="AN24" s="221">
        <f t="shared" si="3"/>
        <v>0</v>
      </c>
      <c r="AO24" s="221">
        <f t="shared" si="4"/>
        <v>0</v>
      </c>
      <c r="AP24" s="221">
        <f t="shared" si="5"/>
        <v>0</v>
      </c>
      <c r="AQ24" s="222" t="s">
        <v>69</v>
      </c>
    </row>
    <row r="25" spans="1:43" ht="15.75" x14ac:dyDescent="0.2">
      <c r="A25" s="132"/>
      <c r="B25" s="133" t="s">
        <v>58</v>
      </c>
      <c r="C25" s="134"/>
      <c r="D25" s="134"/>
      <c r="E25" s="134"/>
      <c r="F25" s="177">
        <f>SUM(F7:F24)</f>
        <v>1E-4</v>
      </c>
      <c r="G25" s="164">
        <f t="shared" ref="G25:M25" si="33">SUM(G7:G24)</f>
        <v>8.7000000000000001E-5</v>
      </c>
      <c r="H25" s="155">
        <f t="shared" si="33"/>
        <v>0</v>
      </c>
      <c r="I25" s="155">
        <f t="shared" si="33"/>
        <v>0</v>
      </c>
      <c r="J25" s="155">
        <f t="shared" si="33"/>
        <v>0</v>
      </c>
      <c r="K25" s="155">
        <f t="shared" si="33"/>
        <v>0</v>
      </c>
      <c r="L25" s="155">
        <f t="shared" si="33"/>
        <v>0</v>
      </c>
      <c r="M25" s="155">
        <f t="shared" si="33"/>
        <v>0</v>
      </c>
      <c r="N25" s="157">
        <f t="shared" si="11"/>
        <v>0</v>
      </c>
      <c r="O25" s="158">
        <f t="shared" si="12"/>
        <v>0</v>
      </c>
      <c r="P25" s="218">
        <f t="shared" ref="P25:W25" si="34">SUM(P7:P24)</f>
        <v>1</v>
      </c>
      <c r="Q25" s="218">
        <f t="shared" si="34"/>
        <v>0.89</v>
      </c>
      <c r="R25" s="218">
        <f t="shared" si="34"/>
        <v>22836404.490000002</v>
      </c>
      <c r="S25" s="218">
        <f t="shared" si="34"/>
        <v>22836404.489999998</v>
      </c>
      <c r="T25" s="218">
        <f t="shared" si="34"/>
        <v>20324400</v>
      </c>
      <c r="U25" s="218">
        <f t="shared" si="34"/>
        <v>13617300</v>
      </c>
      <c r="V25" s="218">
        <f t="shared" si="34"/>
        <v>6707100</v>
      </c>
      <c r="W25" s="218">
        <f t="shared" si="34"/>
        <v>2512004.4900000002</v>
      </c>
      <c r="X25" s="216">
        <f t="shared" si="19"/>
        <v>0.10999999982922007</v>
      </c>
      <c r="Y25" s="215">
        <f t="shared" si="20"/>
        <v>22836404.489999998</v>
      </c>
      <c r="Z25" s="218">
        <f t="shared" ref="Z25:AG25" si="35">SUM(Z7:Z24)</f>
        <v>2</v>
      </c>
      <c r="AA25" s="217">
        <f t="shared" si="35"/>
        <v>1.8</v>
      </c>
      <c r="AB25" s="218">
        <f t="shared" si="35"/>
        <v>23334888.890000001</v>
      </c>
      <c r="AC25" s="218">
        <f t="shared" si="35"/>
        <v>23334888.890000001</v>
      </c>
      <c r="AD25" s="218">
        <f t="shared" si="35"/>
        <v>21001400</v>
      </c>
      <c r="AE25" s="218">
        <f t="shared" si="35"/>
        <v>14070900</v>
      </c>
      <c r="AF25" s="218">
        <f t="shared" si="35"/>
        <v>6930500</v>
      </c>
      <c r="AG25" s="218">
        <f t="shared" si="35"/>
        <v>2333488.8899999997</v>
      </c>
      <c r="AH25" s="219">
        <f t="shared" si="28"/>
        <v>0.10000000004285427</v>
      </c>
      <c r="AI25" s="215">
        <f t="shared" si="29"/>
        <v>11667444.445</v>
      </c>
      <c r="AJ25" s="218">
        <f t="shared" ref="AJ25:AP25" si="36">SUM(AJ7:AJ24)</f>
        <v>0</v>
      </c>
      <c r="AK25" s="218">
        <f t="shared" si="36"/>
        <v>20324400</v>
      </c>
      <c r="AL25" s="218">
        <f t="shared" si="36"/>
        <v>21001400</v>
      </c>
      <c r="AM25" s="218"/>
      <c r="AN25" s="218">
        <f t="shared" si="36"/>
        <v>0</v>
      </c>
      <c r="AO25" s="218">
        <f t="shared" si="36"/>
        <v>20324.400000000001</v>
      </c>
      <c r="AP25" s="218">
        <f t="shared" si="36"/>
        <v>21001.4</v>
      </c>
      <c r="AQ25" s="222" t="s">
        <v>69</v>
      </c>
    </row>
    <row r="26" spans="1:43" ht="15.75" hidden="1" x14ac:dyDescent="0.2">
      <c r="A26" s="154" t="s">
        <v>60</v>
      </c>
      <c r="B26" s="133" t="s">
        <v>59</v>
      </c>
      <c r="C26" s="134"/>
      <c r="D26" s="134"/>
      <c r="E26" s="134"/>
      <c r="F26" s="177"/>
      <c r="G26" s="136">
        <f>C26*F26</f>
        <v>0</v>
      </c>
      <c r="H26" s="155">
        <f>K26+L26+M26</f>
        <v>0</v>
      </c>
      <c r="I26" s="155">
        <f>ROUND($H$33/$G$29*F26,2)</f>
        <v>0</v>
      </c>
      <c r="J26" s="155">
        <f>K26+L26</f>
        <v>0</v>
      </c>
      <c r="K26" s="155">
        <f>ROUND((I26-M26)*(1-$H$35),2)</f>
        <v>0</v>
      </c>
      <c r="L26" s="155">
        <f>ROUND((I26-M26)*$H$35,2)</f>
        <v>0</v>
      </c>
      <c r="M26" s="155">
        <f>ROUNDUP(I26*(1-C26),2)</f>
        <v>0</v>
      </c>
      <c r="N26" s="157">
        <f t="shared" si="11"/>
        <v>0</v>
      </c>
      <c r="O26" s="158">
        <f t="shared" si="12"/>
        <v>0</v>
      </c>
      <c r="P26" s="148"/>
      <c r="Q26" s="136">
        <f>P26*D26</f>
        <v>0</v>
      </c>
      <c r="R26" s="140">
        <f t="shared" si="2"/>
        <v>0</v>
      </c>
      <c r="S26" s="140">
        <f>ROUND($S$33/$Q$29*P26,2)</f>
        <v>0</v>
      </c>
      <c r="T26" s="140">
        <f>U26+V26</f>
        <v>0</v>
      </c>
      <c r="U26" s="158">
        <f>ROUND((S26-W26)*(1-$S$35),2)</f>
        <v>0</v>
      </c>
      <c r="V26" s="158">
        <f>ROUND((S26-W26)*$S$35,2)</f>
        <v>0</v>
      </c>
      <c r="W26" s="158">
        <f>ROUND(S26*(1-D26),2)</f>
        <v>0</v>
      </c>
      <c r="X26" s="160">
        <f t="shared" si="19"/>
        <v>0</v>
      </c>
      <c r="Y26" s="158">
        <f t="shared" si="20"/>
        <v>0</v>
      </c>
      <c r="Z26" s="148"/>
      <c r="AA26" s="161"/>
      <c r="AB26" s="155">
        <f t="shared" si="22"/>
        <v>0</v>
      </c>
      <c r="AC26" s="155">
        <f>ROUND($AC$33/$AA$29*Z26,2)</f>
        <v>0</v>
      </c>
      <c r="AD26" s="155">
        <f>AE26+AF26</f>
        <v>0</v>
      </c>
      <c r="AE26" s="155">
        <f>ROUND((AC26-AG26)*(1-$AC$35),2)</f>
        <v>0</v>
      </c>
      <c r="AF26" s="155">
        <f>ROUND((AC26-AG26)*$AC$35,2)</f>
        <v>0</v>
      </c>
      <c r="AG26" s="155">
        <f>ROUNDUP(AC26*(1-E26),2)</f>
        <v>0</v>
      </c>
      <c r="AH26" s="157">
        <f t="shared" si="28"/>
        <v>0</v>
      </c>
      <c r="AI26" s="158">
        <f t="shared" si="29"/>
        <v>0</v>
      </c>
      <c r="AJ26" s="162">
        <f t="shared" si="30"/>
        <v>0</v>
      </c>
      <c r="AK26" s="162">
        <f t="shared" si="31"/>
        <v>0</v>
      </c>
      <c r="AL26" s="162">
        <f t="shared" si="32"/>
        <v>0</v>
      </c>
      <c r="AM26" s="162"/>
      <c r="AN26" s="210">
        <f t="shared" ref="AN26:AP28" si="37">ROUND(AJ26/1000,1)</f>
        <v>0</v>
      </c>
      <c r="AO26" s="210">
        <f t="shared" si="37"/>
        <v>0</v>
      </c>
      <c r="AP26" s="210">
        <f t="shared" si="37"/>
        <v>0</v>
      </c>
      <c r="AQ26" s="211" t="s">
        <v>69</v>
      </c>
    </row>
    <row r="27" spans="1:43" ht="15.75" hidden="1" x14ac:dyDescent="0.2">
      <c r="A27" s="154" t="s">
        <v>61</v>
      </c>
      <c r="B27" s="133" t="s">
        <v>59</v>
      </c>
      <c r="C27" s="134"/>
      <c r="D27" s="134"/>
      <c r="E27" s="134"/>
      <c r="F27" s="177"/>
      <c r="G27" s="136">
        <f>C27*F27</f>
        <v>0</v>
      </c>
      <c r="H27" s="155">
        <f>K27+L27+M27</f>
        <v>0</v>
      </c>
      <c r="I27" s="155">
        <f>ROUND($H$33/$G$29*F27,2)</f>
        <v>0</v>
      </c>
      <c r="J27" s="155">
        <f>K27+L27</f>
        <v>0</v>
      </c>
      <c r="K27" s="155">
        <f>ROUND((I27-M27)*(1-$H$35),2)</f>
        <v>0</v>
      </c>
      <c r="L27" s="155">
        <f>ROUND((I27-M27)*$H$35,2)</f>
        <v>0</v>
      </c>
      <c r="M27" s="155">
        <f>ROUNDUP(I27*(1-C27),2)</f>
        <v>0</v>
      </c>
      <c r="N27" s="157">
        <f t="shared" si="11"/>
        <v>0</v>
      </c>
      <c r="O27" s="158">
        <f t="shared" si="12"/>
        <v>0</v>
      </c>
      <c r="P27" s="148"/>
      <c r="Q27" s="136">
        <f>P27*D27</f>
        <v>0</v>
      </c>
      <c r="R27" s="140">
        <f t="shared" si="2"/>
        <v>0</v>
      </c>
      <c r="S27" s="140">
        <f>ROUND($S$33/$Q$29*P27,2)</f>
        <v>0</v>
      </c>
      <c r="T27" s="140">
        <f>U27+V27</f>
        <v>0</v>
      </c>
      <c r="U27" s="158">
        <f>ROUND((S27-W27)*(1-$S$35),2)</f>
        <v>0</v>
      </c>
      <c r="V27" s="158">
        <f>ROUND((S27-W27)*$S$35,2)</f>
        <v>0</v>
      </c>
      <c r="W27" s="158">
        <f>ROUND(S27*(1-D27),2)</f>
        <v>0</v>
      </c>
      <c r="X27" s="160">
        <f t="shared" si="19"/>
        <v>0</v>
      </c>
      <c r="Y27" s="158">
        <f t="shared" si="20"/>
        <v>0</v>
      </c>
      <c r="Z27" s="148"/>
      <c r="AA27" s="161"/>
      <c r="AB27" s="155">
        <f t="shared" si="22"/>
        <v>0</v>
      </c>
      <c r="AC27" s="155">
        <f>ROUND($AC$33/$AA$29*Z27,2)</f>
        <v>0</v>
      </c>
      <c r="AD27" s="155">
        <f>AE27+AF27</f>
        <v>0</v>
      </c>
      <c r="AE27" s="155">
        <f>ROUND((AC27-AG27)*(1-$AC$35),2)</f>
        <v>0</v>
      </c>
      <c r="AF27" s="155">
        <f>ROUND((AC27-AG27)*$AC$35,2)</f>
        <v>0</v>
      </c>
      <c r="AG27" s="155">
        <f>ROUNDUP(AC27*(1-E27),2)</f>
        <v>0</v>
      </c>
      <c r="AH27" s="157">
        <f t="shared" si="28"/>
        <v>0</v>
      </c>
      <c r="AI27" s="158">
        <f t="shared" si="29"/>
        <v>0</v>
      </c>
      <c r="AJ27" s="162">
        <f t="shared" si="30"/>
        <v>0</v>
      </c>
      <c r="AK27" s="162">
        <f t="shared" si="31"/>
        <v>0</v>
      </c>
      <c r="AL27" s="162">
        <f t="shared" si="32"/>
        <v>0</v>
      </c>
      <c r="AM27" s="162"/>
      <c r="AN27" s="117">
        <f t="shared" si="37"/>
        <v>0</v>
      </c>
      <c r="AO27" s="117">
        <f t="shared" si="37"/>
        <v>0</v>
      </c>
      <c r="AP27" s="117">
        <f t="shared" si="37"/>
        <v>0</v>
      </c>
      <c r="AQ27" s="211" t="s">
        <v>69</v>
      </c>
    </row>
    <row r="28" spans="1:43" ht="15.75" hidden="1" x14ac:dyDescent="0.2">
      <c r="A28" s="154" t="s">
        <v>62</v>
      </c>
      <c r="B28" s="133" t="s">
        <v>59</v>
      </c>
      <c r="C28" s="134"/>
      <c r="D28" s="134"/>
      <c r="E28" s="134"/>
      <c r="F28" s="177"/>
      <c r="G28" s="136">
        <f>C28*F28</f>
        <v>0</v>
      </c>
      <c r="H28" s="155">
        <f>K28+L28+M28</f>
        <v>0</v>
      </c>
      <c r="I28" s="155">
        <f>ROUND($H$33/$G$29*F28,2)</f>
        <v>0</v>
      </c>
      <c r="J28" s="155">
        <f>K28+L28</f>
        <v>0</v>
      </c>
      <c r="K28" s="155">
        <f>ROUND((I28-M28)*(1-$H$35),2)</f>
        <v>0</v>
      </c>
      <c r="L28" s="155">
        <f>ROUND((I28-M28)*$H$35,2)</f>
        <v>0</v>
      </c>
      <c r="M28" s="155">
        <f>ROUNDUP(I28*(1-C28),2)</f>
        <v>0</v>
      </c>
      <c r="N28" s="157">
        <f t="shared" si="11"/>
        <v>0</v>
      </c>
      <c r="O28" s="158">
        <f t="shared" si="12"/>
        <v>0</v>
      </c>
      <c r="P28" s="148"/>
      <c r="Q28" s="136">
        <f>P28*D28</f>
        <v>0</v>
      </c>
      <c r="R28" s="140">
        <f t="shared" si="2"/>
        <v>0</v>
      </c>
      <c r="S28" s="140">
        <f>ROUND($S$33/$Q$29*P28,2)</f>
        <v>0</v>
      </c>
      <c r="T28" s="140">
        <f>U28+V28</f>
        <v>0</v>
      </c>
      <c r="U28" s="158">
        <f>ROUND((S28-W28)*(1-$S$35),2)</f>
        <v>0</v>
      </c>
      <c r="V28" s="158">
        <f>ROUND((S28-W28)*$S$35,2)</f>
        <v>0</v>
      </c>
      <c r="W28" s="158">
        <f>ROUND(S28*(1-D28),2)</f>
        <v>0</v>
      </c>
      <c r="X28" s="160">
        <f t="shared" si="19"/>
        <v>0</v>
      </c>
      <c r="Y28" s="158">
        <f t="shared" si="20"/>
        <v>0</v>
      </c>
      <c r="Z28" s="148"/>
      <c r="AA28" s="161"/>
      <c r="AB28" s="155">
        <f t="shared" si="22"/>
        <v>0</v>
      </c>
      <c r="AC28" s="155">
        <f>ROUND($AC$33/$AA$29*Z28,2)</f>
        <v>0</v>
      </c>
      <c r="AD28" s="155">
        <f>AE28+AF28</f>
        <v>0</v>
      </c>
      <c r="AE28" s="155">
        <f>ROUND((AC28-AG28)*(1-$AC$35),2)</f>
        <v>0</v>
      </c>
      <c r="AF28" s="155">
        <f>ROUND((AC28-AG28)*$AC$35,2)</f>
        <v>0</v>
      </c>
      <c r="AG28" s="155">
        <f>ROUNDUP(AC28*(1-E28),2)</f>
        <v>0</v>
      </c>
      <c r="AH28" s="157">
        <f t="shared" si="28"/>
        <v>0</v>
      </c>
      <c r="AI28" s="158">
        <f t="shared" si="29"/>
        <v>0</v>
      </c>
      <c r="AJ28" s="162">
        <f t="shared" si="30"/>
        <v>0</v>
      </c>
      <c r="AK28" s="162">
        <f t="shared" si="31"/>
        <v>0</v>
      </c>
      <c r="AL28" s="162">
        <f t="shared" si="32"/>
        <v>0</v>
      </c>
      <c r="AM28" s="162"/>
      <c r="AN28" s="117">
        <f t="shared" si="37"/>
        <v>0</v>
      </c>
      <c r="AO28" s="117">
        <f t="shared" si="37"/>
        <v>0</v>
      </c>
      <c r="AP28" s="117">
        <f t="shared" si="37"/>
        <v>0</v>
      </c>
      <c r="AQ28" s="211" t="s">
        <v>69</v>
      </c>
    </row>
    <row r="29" spans="1:43" ht="15.75" hidden="1" x14ac:dyDescent="0.2">
      <c r="A29" s="132"/>
      <c r="B29" s="133" t="s">
        <v>25</v>
      </c>
      <c r="C29" s="163"/>
      <c r="D29" s="163"/>
      <c r="E29" s="163"/>
      <c r="F29" s="177">
        <f>F25+F26+F27+F28</f>
        <v>1E-4</v>
      </c>
      <c r="G29" s="164">
        <f t="shared" ref="G29:AG29" si="38">G25+G26+G27+G28</f>
        <v>8.7000000000000001E-5</v>
      </c>
      <c r="H29" s="155">
        <f t="shared" si="38"/>
        <v>0</v>
      </c>
      <c r="I29" s="155">
        <f t="shared" si="38"/>
        <v>0</v>
      </c>
      <c r="J29" s="155">
        <f t="shared" si="38"/>
        <v>0</v>
      </c>
      <c r="K29" s="155">
        <f t="shared" si="38"/>
        <v>0</v>
      </c>
      <c r="L29" s="155">
        <f t="shared" si="38"/>
        <v>0</v>
      </c>
      <c r="M29" s="155">
        <f t="shared" si="38"/>
        <v>0</v>
      </c>
      <c r="N29" s="157">
        <f t="shared" si="11"/>
        <v>0</v>
      </c>
      <c r="O29" s="158">
        <f t="shared" si="12"/>
        <v>0</v>
      </c>
      <c r="P29" s="148">
        <f t="shared" si="38"/>
        <v>1</v>
      </c>
      <c r="Q29" s="161">
        <f t="shared" si="38"/>
        <v>0.89</v>
      </c>
      <c r="R29" s="148">
        <f t="shared" si="38"/>
        <v>22836404.490000002</v>
      </c>
      <c r="S29" s="148">
        <f t="shared" si="38"/>
        <v>22836404.489999998</v>
      </c>
      <c r="T29" s="148">
        <f t="shared" si="38"/>
        <v>20324400</v>
      </c>
      <c r="U29" s="148">
        <f t="shared" si="38"/>
        <v>13617300</v>
      </c>
      <c r="V29" s="148">
        <f t="shared" si="38"/>
        <v>6707100</v>
      </c>
      <c r="W29" s="148">
        <f t="shared" si="38"/>
        <v>2512004.4900000002</v>
      </c>
      <c r="X29" s="160">
        <f t="shared" si="19"/>
        <v>0.10999999982922007</v>
      </c>
      <c r="Y29" s="158">
        <f t="shared" si="20"/>
        <v>22836404.489999998</v>
      </c>
      <c r="Z29" s="148">
        <f t="shared" si="38"/>
        <v>2</v>
      </c>
      <c r="AA29" s="161">
        <f t="shared" si="38"/>
        <v>1.8</v>
      </c>
      <c r="AB29" s="155">
        <f t="shared" si="38"/>
        <v>23334888.890000001</v>
      </c>
      <c r="AC29" s="155">
        <f t="shared" si="38"/>
        <v>23334888.890000001</v>
      </c>
      <c r="AD29" s="155">
        <f t="shared" si="38"/>
        <v>21001400</v>
      </c>
      <c r="AE29" s="155">
        <f t="shared" si="38"/>
        <v>14070900</v>
      </c>
      <c r="AF29" s="155">
        <f t="shared" si="38"/>
        <v>6930500</v>
      </c>
      <c r="AG29" s="155">
        <f t="shared" si="38"/>
        <v>2333488.8899999997</v>
      </c>
      <c r="AH29" s="157">
        <f t="shared" si="28"/>
        <v>0.10000000004285427</v>
      </c>
      <c r="AI29" s="158">
        <f t="shared" si="29"/>
        <v>11667444.445</v>
      </c>
      <c r="AJ29" s="155">
        <f t="shared" ref="AJ29:AP29" si="39">AJ25+AJ26+AJ27+AJ28</f>
        <v>0</v>
      </c>
      <c r="AK29" s="155">
        <f t="shared" si="39"/>
        <v>20324400</v>
      </c>
      <c r="AL29" s="155">
        <f t="shared" si="39"/>
        <v>21001400</v>
      </c>
      <c r="AM29" s="155"/>
      <c r="AN29" s="155">
        <f t="shared" si="39"/>
        <v>0</v>
      </c>
      <c r="AO29" s="155">
        <f t="shared" si="39"/>
        <v>20324.400000000001</v>
      </c>
      <c r="AP29" s="155">
        <f t="shared" si="39"/>
        <v>21001.4</v>
      </c>
      <c r="AQ29" s="211" t="s">
        <v>69</v>
      </c>
    </row>
    <row r="30" spans="1:43" hidden="1" x14ac:dyDescent="0.2">
      <c r="O30" s="167"/>
      <c r="X30" s="168"/>
      <c r="Y30" s="158"/>
      <c r="AN30" s="169">
        <f>ROUND(AJ30/1000,1)</f>
        <v>0</v>
      </c>
      <c r="AO30" s="169">
        <f>ROUND(AK30/1000,1)</f>
        <v>0</v>
      </c>
      <c r="AP30" s="169">
        <f>ROUND(AL30/1000,1)</f>
        <v>0</v>
      </c>
    </row>
    <row r="31" spans="1:43" ht="15" hidden="1" x14ac:dyDescent="0.25">
      <c r="G31" s="170" t="s">
        <v>30</v>
      </c>
      <c r="H31" s="208">
        <v>0</v>
      </c>
      <c r="I31" s="172">
        <f>H31-K29</f>
        <v>0</v>
      </c>
      <c r="S31" s="171">
        <v>13617300</v>
      </c>
      <c r="T31" s="171">
        <f>S31-U29</f>
        <v>0</v>
      </c>
      <c r="AC31" s="171">
        <v>14070900</v>
      </c>
      <c r="AD31" s="172">
        <f>AC31-AE29</f>
        <v>0</v>
      </c>
    </row>
    <row r="32" spans="1:43" ht="15" hidden="1" x14ac:dyDescent="0.25">
      <c r="G32" s="170" t="s">
        <v>29</v>
      </c>
      <c r="H32" s="171">
        <v>1.0000000000000001E-5</v>
      </c>
      <c r="I32" s="172">
        <f>H32-L29</f>
        <v>1.0000000000000001E-5</v>
      </c>
      <c r="S32" s="171">
        <v>6707100</v>
      </c>
      <c r="T32" s="171">
        <f>S32-V29</f>
        <v>0</v>
      </c>
      <c r="AC32" s="171">
        <v>6930500</v>
      </c>
      <c r="AD32" s="172">
        <f>AC32-AF29</f>
        <v>0</v>
      </c>
    </row>
    <row r="33" spans="7:29" hidden="1" x14ac:dyDescent="0.2">
      <c r="G33" s="170" t="s">
        <v>36</v>
      </c>
      <c r="H33" s="173">
        <f>SUM(H31:H32)</f>
        <v>1.0000000000000001E-5</v>
      </c>
      <c r="S33" s="173">
        <f>SUM(S31:S32)</f>
        <v>20324400</v>
      </c>
      <c r="T33" s="173"/>
      <c r="AC33" s="173">
        <f>SUM(AC31:AC32)</f>
        <v>21001400</v>
      </c>
    </row>
    <row r="34" spans="7:29" hidden="1" x14ac:dyDescent="0.2">
      <c r="AC34" s="170"/>
    </row>
    <row r="35" spans="7:29" hidden="1" x14ac:dyDescent="0.2">
      <c r="H35" s="119">
        <f>H32/H33</f>
        <v>1</v>
      </c>
      <c r="S35" s="119">
        <f>S32/S33</f>
        <v>0.33000236169333413</v>
      </c>
      <c r="AC35" s="119">
        <f>AC32/AC33</f>
        <v>0.33000180940318263</v>
      </c>
    </row>
    <row r="36" spans="7:29" hidden="1" x14ac:dyDescent="0.2"/>
    <row r="37" spans="7:29" hidden="1" x14ac:dyDescent="0.2"/>
    <row r="38" spans="7:29" hidden="1" x14ac:dyDescent="0.2"/>
    <row r="39" spans="7:29" hidden="1" x14ac:dyDescent="0.2"/>
  </sheetData>
  <mergeCells count="28">
    <mergeCell ref="A2:AQ2"/>
    <mergeCell ref="AJ3:AM5"/>
    <mergeCell ref="AN3:AQ5"/>
    <mergeCell ref="A3:A6"/>
    <mergeCell ref="B3:B6"/>
    <mergeCell ref="C3:E5"/>
    <mergeCell ref="F3:AI3"/>
    <mergeCell ref="P5:P6"/>
    <mergeCell ref="Q5:Q6"/>
    <mergeCell ref="R5:R6"/>
    <mergeCell ref="S5:W5"/>
    <mergeCell ref="AA5:AA6"/>
    <mergeCell ref="AB5:AB6"/>
    <mergeCell ref="AC5:AG5"/>
    <mergeCell ref="F4:O4"/>
    <mergeCell ref="P4:Y4"/>
    <mergeCell ref="Z4:AI4"/>
    <mergeCell ref="F5:F6"/>
    <mergeCell ref="G5:G6"/>
    <mergeCell ref="H5:H6"/>
    <mergeCell ref="I5:M5"/>
    <mergeCell ref="N5:N6"/>
    <mergeCell ref="O5:O6"/>
    <mergeCell ref="AH5:AH6"/>
    <mergeCell ref="AI5:AI6"/>
    <mergeCell ref="X5:X6"/>
    <mergeCell ref="Y5:Y6"/>
    <mergeCell ref="Z5:Z6"/>
  </mergeCells>
  <pageMargins left="0.70866141732283472" right="0.70866141732283472" top="0.74803149606299213" bottom="0.74803149606299213" header="0.31496062992125984" footer="0.31496062992125984"/>
  <pageSetup paperSize="9" scale="83" fitToWidth="2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13</vt:i4>
      </vt:variant>
    </vt:vector>
  </HeadingPairs>
  <TitlesOfParts>
    <vt:vector size="20" baseType="lpstr">
      <vt:lpstr>Приложение(9)_4_исход</vt:lpstr>
      <vt:lpstr>расчет точ</vt:lpstr>
      <vt:lpstr>расчет спорт в бюджет</vt:lpstr>
      <vt:lpstr>расчет спорт в бюджет_</vt:lpstr>
      <vt:lpstr>расчет квант</vt:lpstr>
      <vt:lpstr>расчетЦОС</vt:lpstr>
      <vt:lpstr>расчет куб</vt:lpstr>
      <vt:lpstr>'Приложение(9)_4_исход'!Заголовки_для_печати</vt:lpstr>
      <vt:lpstr>'расчет квант'!Заголовки_для_печати</vt:lpstr>
      <vt:lpstr>'расчет спорт в бюджет'!Заголовки_для_печати</vt:lpstr>
      <vt:lpstr>'расчет спорт в бюджет_'!Заголовки_для_печати</vt:lpstr>
      <vt:lpstr>'расчет точ'!Заголовки_для_печати</vt:lpstr>
      <vt:lpstr>расчетЦОС!Заголовки_для_печати</vt:lpstr>
      <vt:lpstr>'Приложение(9)_4_исход'!Область_печати</vt:lpstr>
      <vt:lpstr>'расчет квант'!Область_печати</vt:lpstr>
      <vt:lpstr>'расчет куб'!Область_печати</vt:lpstr>
      <vt:lpstr>'расчет спорт в бюджет'!Область_печати</vt:lpstr>
      <vt:lpstr>'расчет спорт в бюджет_'!Область_печати</vt:lpstr>
      <vt:lpstr>'расчет точ'!Область_печати</vt:lpstr>
      <vt:lpstr>расчетЦОС!Область_печати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Ямалтдинова Алина Шамилевна</cp:lastModifiedBy>
  <cp:revision>26</cp:revision>
  <cp:lastPrinted>2022-10-04T07:01:11Z</cp:lastPrinted>
  <dcterms:created xsi:type="dcterms:W3CDTF">1996-10-08T23:32:33Z</dcterms:created>
  <dcterms:modified xsi:type="dcterms:W3CDTF">2022-10-04T07:02:01Z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