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65" yWindow="2400" windowWidth="29040" windowHeight="14115" tabRatio="500"/>
  </bookViews>
  <sheets>
    <sheet name="ЧДОУ" sheetId="21" r:id="rId1"/>
    <sheet name="документы_2021" sheetId="24" state="hidden" r:id="rId2"/>
    <sheet name="ЧООУ" sheetId="28" r:id="rId3"/>
    <sheet name="Лист1" sheetId="27" r:id="rId4"/>
  </sheets>
  <externalReferences>
    <externalReference r:id="rId5"/>
  </externalReferences>
  <definedNames>
    <definedName name="Z_03BB0823_F46D_4FFC_9767_8DD17CA40F59_.wvu.Cols" localSheetId="0" hidden="1">ЧДОУ!$P:$W</definedName>
    <definedName name="Z_03BB0823_F46D_4FFC_9767_8DD17CA40F59_.wvu.PrintArea" localSheetId="0" hidden="1">ЧДОУ!$A$1:$AS$50</definedName>
    <definedName name="Z_03BB0823_F46D_4FFC_9767_8DD17CA40F59_.wvu.PrintTitles" localSheetId="0" hidden="1">ЧДОУ!$A:$C</definedName>
    <definedName name="Z_03BB0823_F46D_4FFC_9767_8DD17CA40F59_.wvu.Rows" localSheetId="0" hidden="1">ЧДОУ!$7:$7,ЧДОУ!#REF!</definedName>
    <definedName name="_xlnm.Print_Titles" localSheetId="0">ЧДОУ!$A:$C,ЧДОУ!$3:$9</definedName>
    <definedName name="_xlnm.Print_Titles" localSheetId="2">ЧООУ!$A:$C</definedName>
    <definedName name="_xlnm.Print_Area" localSheetId="0">ЧДОУ!$A$1:$BI$54</definedName>
    <definedName name="_xlnm.Print_Area" localSheetId="2">ЧООУ!$A$1:$AU$24</definedName>
  </definedNames>
  <calcPr calcId="145621"/>
</workbook>
</file>

<file path=xl/calcChain.xml><?xml version="1.0" encoding="utf-8"?>
<calcChain xmlns="http://schemas.openxmlformats.org/spreadsheetml/2006/main">
  <c r="AX62" i="21" l="1"/>
  <c r="AS64" i="21"/>
  <c r="AT51" i="21" l="1"/>
  <c r="AU51" i="21"/>
  <c r="AV51" i="21"/>
  <c r="AW51" i="21"/>
  <c r="AX51" i="21"/>
  <c r="Z26" i="28" l="1"/>
  <c r="AD43" i="21" l="1"/>
  <c r="AP24" i="21" l="1"/>
  <c r="AN24" i="21"/>
  <c r="Z28" i="21"/>
  <c r="AA27" i="21"/>
  <c r="AA26" i="21"/>
  <c r="AA25" i="21"/>
  <c r="AA24" i="21"/>
  <c r="AA23" i="21"/>
  <c r="AA22" i="21"/>
  <c r="AA21" i="21"/>
  <c r="O24" i="21"/>
  <c r="M24" i="21"/>
  <c r="AO24" i="21" s="1"/>
  <c r="AQ24" i="21" l="1"/>
  <c r="AS24" i="21" s="1"/>
  <c r="AR24" i="21"/>
  <c r="BE41" i="21"/>
  <c r="BH41" i="21" s="1"/>
  <c r="BF41" i="21"/>
  <c r="BG41" i="21"/>
  <c r="AN41" i="21"/>
  <c r="AP41" i="21"/>
  <c r="AM40" i="21"/>
  <c r="AE41" i="21"/>
  <c r="AE40" i="21"/>
  <c r="AE39" i="21"/>
  <c r="AE38" i="21"/>
  <c r="S41" i="21"/>
  <c r="O41" i="21"/>
  <c r="M41" i="21"/>
  <c r="Q41" i="21"/>
  <c r="AR41" i="21" l="1"/>
  <c r="AO41" i="21"/>
  <c r="AQ41" i="21"/>
  <c r="L43" i="21"/>
  <c r="AS41" i="21" l="1"/>
  <c r="O31" i="21"/>
  <c r="M31" i="21"/>
  <c r="V48" i="21" l="1"/>
  <c r="V45" i="21"/>
  <c r="V43" i="21"/>
  <c r="V36" i="21"/>
  <c r="V32" i="21"/>
  <c r="V27" i="21"/>
  <c r="W11" i="21"/>
  <c r="W12" i="21"/>
  <c r="W13" i="21"/>
  <c r="W14" i="21"/>
  <c r="W15" i="21"/>
  <c r="W16" i="21"/>
  <c r="W17" i="21"/>
  <c r="W18" i="21"/>
  <c r="W19" i="21"/>
  <c r="W20" i="21"/>
  <c r="W21" i="21"/>
  <c r="W22" i="21"/>
  <c r="W23" i="21"/>
  <c r="W25" i="21"/>
  <c r="W26" i="21"/>
  <c r="W28" i="21"/>
  <c r="W29" i="21"/>
  <c r="W30" i="21"/>
  <c r="W31" i="21"/>
  <c r="W33" i="21"/>
  <c r="W34" i="21"/>
  <c r="W35" i="21"/>
  <c r="W37" i="21"/>
  <c r="W38" i="21"/>
  <c r="W39" i="21"/>
  <c r="W40" i="21"/>
  <c r="W42" i="21"/>
  <c r="W44" i="21"/>
  <c r="W45" i="21" s="1"/>
  <c r="W46" i="21"/>
  <c r="W47" i="21"/>
  <c r="U28" i="21"/>
  <c r="U29" i="21"/>
  <c r="U30" i="21"/>
  <c r="U31" i="21"/>
  <c r="U33" i="21"/>
  <c r="U34" i="21"/>
  <c r="U35" i="21"/>
  <c r="U37" i="21"/>
  <c r="U38" i="21"/>
  <c r="U39" i="21"/>
  <c r="U40" i="21"/>
  <c r="U42" i="21"/>
  <c r="U44" i="21"/>
  <c r="U45" i="21" s="1"/>
  <c r="U46" i="21"/>
  <c r="U47" i="21"/>
  <c r="AN26" i="21"/>
  <c r="W32" i="21" l="1"/>
  <c r="U32" i="21"/>
  <c r="W48" i="21"/>
  <c r="W36" i="21"/>
  <c r="U48" i="21"/>
  <c r="W43" i="21"/>
  <c r="U43" i="21"/>
  <c r="U36" i="21"/>
  <c r="V49" i="21"/>
  <c r="Y19" i="21"/>
  <c r="AA19" i="21"/>
  <c r="AP47" i="21"/>
  <c r="AN47" i="21"/>
  <c r="AQ46" i="21"/>
  <c r="AP46" i="21"/>
  <c r="AN46" i="21"/>
  <c r="AP44" i="21"/>
  <c r="AN44" i="21"/>
  <c r="AP42" i="21"/>
  <c r="AN42" i="21"/>
  <c r="AP40" i="21"/>
  <c r="AN40" i="21"/>
  <c r="AP39" i="21"/>
  <c r="AN39" i="21"/>
  <c r="AP38" i="21"/>
  <c r="AN38" i="21"/>
  <c r="AP37" i="21"/>
  <c r="AN37" i="21"/>
  <c r="AP35" i="21"/>
  <c r="AN35" i="21"/>
  <c r="AP34" i="21"/>
  <c r="AN34" i="21"/>
  <c r="AP33" i="21"/>
  <c r="AN33" i="21"/>
  <c r="AP31" i="21"/>
  <c r="AN31" i="21"/>
  <c r="AP30" i="21"/>
  <c r="AN30" i="21"/>
  <c r="AP29" i="21"/>
  <c r="AN29" i="21"/>
  <c r="AP26" i="21"/>
  <c r="AR26" i="21" s="1"/>
  <c r="AP25" i="21"/>
  <c r="AN25" i="21"/>
  <c r="AP23" i="21"/>
  <c r="AN23" i="21"/>
  <c r="AP22" i="21"/>
  <c r="AN22" i="21"/>
  <c r="AP21" i="21"/>
  <c r="AN21" i="21"/>
  <c r="AP20" i="21"/>
  <c r="AN20" i="21"/>
  <c r="AP19" i="21"/>
  <c r="AN19" i="21"/>
  <c r="AP18" i="21"/>
  <c r="AN18" i="21"/>
  <c r="AP17" i="21"/>
  <c r="AN17" i="21"/>
  <c r="AP16" i="21"/>
  <c r="AN16" i="21"/>
  <c r="AP15" i="21"/>
  <c r="AN15" i="21"/>
  <c r="AP14" i="21"/>
  <c r="AN14" i="21"/>
  <c r="AP13" i="21"/>
  <c r="AN13" i="21"/>
  <c r="AP12" i="21"/>
  <c r="AN12" i="21"/>
  <c r="AP11" i="21"/>
  <c r="AN11" i="21"/>
  <c r="AP10" i="21"/>
  <c r="AN10" i="21"/>
  <c r="AL48" i="21"/>
  <c r="AJ48" i="21"/>
  <c r="AH48" i="21"/>
  <c r="AF48" i="21"/>
  <c r="AM47" i="21"/>
  <c r="AM48" i="21" s="1"/>
  <c r="AK47" i="21"/>
  <c r="AK48" i="21" s="1"/>
  <c r="AI47" i="21"/>
  <c r="AI48" i="21" s="1"/>
  <c r="AG47" i="21"/>
  <c r="AG48" i="21" s="1"/>
  <c r="AL45" i="21"/>
  <c r="AJ45" i="21"/>
  <c r="AH45" i="21"/>
  <c r="AF45" i="21"/>
  <c r="AM44" i="21"/>
  <c r="AM45" i="21" s="1"/>
  <c r="AK44" i="21"/>
  <c r="AK45" i="21" s="1"/>
  <c r="AI44" i="21"/>
  <c r="AI45" i="21" s="1"/>
  <c r="AG44" i="21"/>
  <c r="AG45" i="21" s="1"/>
  <c r="AL43" i="21"/>
  <c r="AJ43" i="21"/>
  <c r="AH43" i="21"/>
  <c r="AF43" i="21"/>
  <c r="AM42" i="21"/>
  <c r="AK42" i="21"/>
  <c r="AI42" i="21"/>
  <c r="AG42" i="21"/>
  <c r="AM37" i="21"/>
  <c r="AK37" i="21"/>
  <c r="AI37" i="21"/>
  <c r="AG37" i="21"/>
  <c r="AL36" i="21"/>
  <c r="AJ36" i="21"/>
  <c r="AH36" i="21"/>
  <c r="AF36" i="21"/>
  <c r="AM34" i="21"/>
  <c r="AK34" i="21"/>
  <c r="AI34" i="21"/>
  <c r="AG34" i="21"/>
  <c r="AM33" i="21"/>
  <c r="AK33" i="21"/>
  <c r="AI33" i="21"/>
  <c r="AG33" i="21"/>
  <c r="AM32" i="21"/>
  <c r="AL32" i="21"/>
  <c r="AK32" i="21"/>
  <c r="AJ32" i="21"/>
  <c r="AI32" i="21"/>
  <c r="AH32" i="21"/>
  <c r="AG32" i="21"/>
  <c r="AF32" i="21"/>
  <c r="AL27" i="21"/>
  <c r="AJ27" i="21"/>
  <c r="AH27" i="21"/>
  <c r="AF27" i="21"/>
  <c r="AM26" i="21"/>
  <c r="AK26" i="21"/>
  <c r="AI26" i="21"/>
  <c r="AG26" i="21"/>
  <c r="AM20" i="21"/>
  <c r="AK20" i="21"/>
  <c r="AI20" i="21"/>
  <c r="AG20" i="21"/>
  <c r="AM19" i="21"/>
  <c r="AM18" i="21"/>
  <c r="AK18" i="21"/>
  <c r="AI18" i="21"/>
  <c r="AG18" i="21"/>
  <c r="AM17" i="21"/>
  <c r="AK17" i="21"/>
  <c r="AI17" i="21"/>
  <c r="AG17" i="21"/>
  <c r="AM16" i="21"/>
  <c r="AK16" i="21"/>
  <c r="AI16" i="21"/>
  <c r="AG16" i="21"/>
  <c r="AM15" i="21"/>
  <c r="AK15" i="21"/>
  <c r="AI15" i="21"/>
  <c r="AG15" i="21"/>
  <c r="AM14" i="21"/>
  <c r="AK14" i="21"/>
  <c r="AI14" i="21"/>
  <c r="AG14" i="21"/>
  <c r="AM13" i="21"/>
  <c r="AK13" i="21"/>
  <c r="AI13" i="21"/>
  <c r="AG13" i="21"/>
  <c r="AM12" i="21"/>
  <c r="AK12" i="21"/>
  <c r="AI12" i="21"/>
  <c r="AG12" i="21"/>
  <c r="AM11" i="21"/>
  <c r="AK11" i="21"/>
  <c r="AI11" i="21"/>
  <c r="AG11" i="21"/>
  <c r="AM10" i="21"/>
  <c r="AK10" i="21"/>
  <c r="AI10" i="21"/>
  <c r="AG10" i="21"/>
  <c r="AI36" i="21" l="1"/>
  <c r="AM43" i="21"/>
  <c r="AF49" i="21"/>
  <c r="AR46" i="21"/>
  <c r="AG36" i="21"/>
  <c r="AJ49" i="21"/>
  <c r="AK43" i="21"/>
  <c r="AM36" i="21"/>
  <c r="AL49" i="21"/>
  <c r="AR35" i="21"/>
  <c r="AG43" i="21"/>
  <c r="AR47" i="21"/>
  <c r="AH49" i="21"/>
  <c r="AR33" i="21"/>
  <c r="AR44" i="21"/>
  <c r="AR13" i="21"/>
  <c r="AR17" i="21"/>
  <c r="AR21" i="21"/>
  <c r="AR11" i="21"/>
  <c r="AR15" i="21"/>
  <c r="AR19" i="21"/>
  <c r="AR23" i="21"/>
  <c r="AR12" i="21"/>
  <c r="AR16" i="21"/>
  <c r="AR20" i="21"/>
  <c r="AR25" i="21"/>
  <c r="AR14" i="21"/>
  <c r="AR18" i="21"/>
  <c r="AR22" i="21"/>
  <c r="AR40" i="21"/>
  <c r="AR34" i="21"/>
  <c r="AR39" i="21"/>
  <c r="AK36" i="21"/>
  <c r="AI43" i="21"/>
  <c r="AR30" i="21"/>
  <c r="AR29" i="21"/>
  <c r="AR31" i="21"/>
  <c r="AR38" i="21"/>
  <c r="AR37" i="21"/>
  <c r="AR42" i="21"/>
  <c r="AG27" i="21"/>
  <c r="AI27" i="21"/>
  <c r="AK27" i="21"/>
  <c r="AM27" i="21"/>
  <c r="AC7" i="28"/>
  <c r="AC8" i="28"/>
  <c r="AC10" i="28"/>
  <c r="AC11" i="28" s="1"/>
  <c r="AC12" i="28"/>
  <c r="AC13" i="28"/>
  <c r="AC14" i="28"/>
  <c r="AC16" i="28"/>
  <c r="AC17" i="28" s="1"/>
  <c r="AC18" i="28"/>
  <c r="AC19" i="28" s="1"/>
  <c r="AC20" i="28"/>
  <c r="AC21" i="28" s="1"/>
  <c r="AC22" i="28"/>
  <c r="AC23" i="28" s="1"/>
  <c r="AC6" i="28"/>
  <c r="R23" i="28"/>
  <c r="Q21" i="28"/>
  <c r="R21" i="28"/>
  <c r="Q19" i="28"/>
  <c r="R19" i="28"/>
  <c r="Q17" i="28"/>
  <c r="R17" i="28"/>
  <c r="Q15" i="28"/>
  <c r="R15" i="28"/>
  <c r="R9" i="28"/>
  <c r="R11" i="28"/>
  <c r="S7" i="28"/>
  <c r="S8" i="28"/>
  <c r="S10" i="28"/>
  <c r="S11" i="28" s="1"/>
  <c r="S12" i="28"/>
  <c r="S13" i="28"/>
  <c r="S14" i="28"/>
  <c r="S16" i="28"/>
  <c r="S17" i="28" s="1"/>
  <c r="S18" i="28"/>
  <c r="S20" i="28"/>
  <c r="S21" i="28" s="1"/>
  <c r="S22" i="28"/>
  <c r="S23" i="28" s="1"/>
  <c r="S6" i="28"/>
  <c r="AC9" i="28" l="1"/>
  <c r="AG49" i="21"/>
  <c r="S15" i="28"/>
  <c r="S9" i="28"/>
  <c r="AM49" i="21"/>
  <c r="R24" i="28"/>
  <c r="AK49" i="21"/>
  <c r="AC15" i="28"/>
  <c r="AI49" i="21"/>
  <c r="S19" i="28"/>
  <c r="AP26" i="28"/>
  <c r="AP24" i="28"/>
  <c r="AO24" i="28"/>
  <c r="AN23" i="28"/>
  <c r="Y23" i="28"/>
  <c r="V23" i="28"/>
  <c r="U23" i="28"/>
  <c r="Q23" i="28"/>
  <c r="N23" i="28"/>
  <c r="K23" i="28"/>
  <c r="J23" i="28"/>
  <c r="G23" i="28"/>
  <c r="F23" i="28"/>
  <c r="E23" i="28"/>
  <c r="D23" i="28"/>
  <c r="AS22" i="28"/>
  <c r="AR22" i="28"/>
  <c r="AN22" i="28"/>
  <c r="AQ22" i="28" s="1"/>
  <c r="AE22" i="28"/>
  <c r="AE23" i="28" s="1"/>
  <c r="AD22" i="28"/>
  <c r="AD23" i="28" s="1"/>
  <c r="AB22" i="28"/>
  <c r="Z22" i="28"/>
  <c r="Z23" i="28" s="1"/>
  <c r="W22" i="28"/>
  <c r="W23" i="28" s="1"/>
  <c r="O22" i="28"/>
  <c r="O23" i="28" s="1"/>
  <c r="M22" i="28"/>
  <c r="M23" i="28" s="1"/>
  <c r="L22" i="28"/>
  <c r="L23" i="28" s="1"/>
  <c r="H22" i="28"/>
  <c r="H23" i="28" s="1"/>
  <c r="AN21" i="28"/>
  <c r="Y21" i="28"/>
  <c r="V21" i="28"/>
  <c r="U21" i="28"/>
  <c r="N21" i="28"/>
  <c r="K21" i="28"/>
  <c r="J21" i="28"/>
  <c r="G21" i="28"/>
  <c r="F21" i="28"/>
  <c r="E21" i="28"/>
  <c r="D21" i="28"/>
  <c r="AS20" i="28"/>
  <c r="AR20" i="28"/>
  <c r="AN20" i="28"/>
  <c r="AQ20" i="28" s="1"/>
  <c r="AE20" i="28"/>
  <c r="AE21" i="28" s="1"/>
  <c r="AD20" i="28"/>
  <c r="AD21" i="28" s="1"/>
  <c r="AB20" i="28"/>
  <c r="Z20" i="28"/>
  <c r="Z21" i="28" s="1"/>
  <c r="W20" i="28"/>
  <c r="W21" i="28" s="1"/>
  <c r="O20" i="28"/>
  <c r="O21" i="28" s="1"/>
  <c r="M20" i="28"/>
  <c r="M21" i="28" s="1"/>
  <c r="L20" i="28"/>
  <c r="L21" i="28" s="1"/>
  <c r="H20" i="28"/>
  <c r="H21" i="28" s="1"/>
  <c r="AN19" i="28"/>
  <c r="Y19" i="28"/>
  <c r="V19" i="28"/>
  <c r="U19" i="28"/>
  <c r="N19" i="28"/>
  <c r="K19" i="28"/>
  <c r="J19" i="28"/>
  <c r="G19" i="28"/>
  <c r="F19" i="28"/>
  <c r="E19" i="28"/>
  <c r="D19" i="28"/>
  <c r="AS18" i="28"/>
  <c r="AR18" i="28"/>
  <c r="AN18" i="28"/>
  <c r="AQ18" i="28" s="1"/>
  <c r="AE18" i="28"/>
  <c r="AE19" i="28" s="1"/>
  <c r="AD18" i="28"/>
  <c r="AD19" i="28" s="1"/>
  <c r="AB18" i="28"/>
  <c r="Z18" i="28"/>
  <c r="Z19" i="28" s="1"/>
  <c r="W18" i="28"/>
  <c r="W19" i="28" s="1"/>
  <c r="O18" i="28"/>
  <c r="O19" i="28" s="1"/>
  <c r="M18" i="28"/>
  <c r="M19" i="28" s="1"/>
  <c r="L18" i="28"/>
  <c r="L19" i="28" s="1"/>
  <c r="H18" i="28"/>
  <c r="H19" i="28" s="1"/>
  <c r="AN17" i="28"/>
  <c r="Y17" i="28"/>
  <c r="V17" i="28"/>
  <c r="U17" i="28"/>
  <c r="N17" i="28"/>
  <c r="K17" i="28"/>
  <c r="J17" i="28"/>
  <c r="G17" i="28"/>
  <c r="F17" i="28"/>
  <c r="E17" i="28"/>
  <c r="D17" i="28"/>
  <c r="AS16" i="28"/>
  <c r="AR16" i="28"/>
  <c r="AN16" i="28"/>
  <c r="AQ16" i="28" s="1"/>
  <c r="AE16" i="28"/>
  <c r="AE17" i="28" s="1"/>
  <c r="AD16" i="28"/>
  <c r="AD17" i="28" s="1"/>
  <c r="AB16" i="28"/>
  <c r="AB17" i="28" s="1"/>
  <c r="Z16" i="28"/>
  <c r="Z17" i="28" s="1"/>
  <c r="W16" i="28"/>
  <c r="W17" i="28" s="1"/>
  <c r="O16" i="28"/>
  <c r="O17" i="28" s="1"/>
  <c r="M16" i="28"/>
  <c r="M17" i="28" s="1"/>
  <c r="L16" i="28"/>
  <c r="L17" i="28" s="1"/>
  <c r="H16" i="28"/>
  <c r="H17" i="28" s="1"/>
  <c r="AN15" i="28"/>
  <c r="Y15" i="28"/>
  <c r="V15" i="28"/>
  <c r="U15" i="28"/>
  <c r="N15" i="28"/>
  <c r="K15" i="28"/>
  <c r="J15" i="28"/>
  <c r="G15" i="28"/>
  <c r="F15" i="28"/>
  <c r="E15" i="28"/>
  <c r="D15" i="28"/>
  <c r="AS14" i="28"/>
  <c r="AR14" i="28"/>
  <c r="AN14" i="28"/>
  <c r="AQ14" i="28" s="1"/>
  <c r="AE14" i="28"/>
  <c r="AD14" i="28"/>
  <c r="AB14" i="28"/>
  <c r="Z14" i="28"/>
  <c r="W14" i="28"/>
  <c r="O14" i="28"/>
  <c r="M14" i="28"/>
  <c r="L14" i="28"/>
  <c r="H14" i="28"/>
  <c r="AS13" i="28"/>
  <c r="AR13" i="28"/>
  <c r="AN13" i="28"/>
  <c r="AQ13" i="28" s="1"/>
  <c r="AE13" i="28"/>
  <c r="AD13" i="28"/>
  <c r="AB13" i="28"/>
  <c r="Z13" i="28"/>
  <c r="W13" i="28"/>
  <c r="O13" i="28"/>
  <c r="M13" i="28"/>
  <c r="L13" i="28"/>
  <c r="H13" i="28"/>
  <c r="AS12" i="28"/>
  <c r="AR12" i="28"/>
  <c r="AN12" i="28"/>
  <c r="AQ12" i="28" s="1"/>
  <c r="AE12" i="28"/>
  <c r="AD12" i="28"/>
  <c r="AB12" i="28"/>
  <c r="Z12" i="28"/>
  <c r="W12" i="28"/>
  <c r="O12" i="28"/>
  <c r="M12" i="28"/>
  <c r="L12" i="28"/>
  <c r="H12" i="28"/>
  <c r="AN11" i="28"/>
  <c r="Y11" i="28"/>
  <c r="V11" i="28"/>
  <c r="U11" i="28"/>
  <c r="Q11" i="28"/>
  <c r="N11" i="28"/>
  <c r="K11" i="28"/>
  <c r="J11" i="28"/>
  <c r="G11" i="28"/>
  <c r="F11" i="28"/>
  <c r="E11" i="28"/>
  <c r="D11" i="28"/>
  <c r="AS10" i="28"/>
  <c r="AR10" i="28"/>
  <c r="AN10" i="28"/>
  <c r="AQ10" i="28" s="1"/>
  <c r="AE10" i="28"/>
  <c r="AE11" i="28" s="1"/>
  <c r="AD10" i="28"/>
  <c r="AD11" i="28" s="1"/>
  <c r="AB10" i="28"/>
  <c r="AB11" i="28" s="1"/>
  <c r="Z10" i="28"/>
  <c r="Z11" i="28" s="1"/>
  <c r="W10" i="28"/>
  <c r="W11" i="28" s="1"/>
  <c r="O10" i="28"/>
  <c r="O11" i="28" s="1"/>
  <c r="M10" i="28"/>
  <c r="M11" i="28" s="1"/>
  <c r="L10" i="28"/>
  <c r="L11" i="28" s="1"/>
  <c r="H10" i="28"/>
  <c r="H11" i="28" s="1"/>
  <c r="AN9" i="28"/>
  <c r="Y9" i="28"/>
  <c r="V9" i="28"/>
  <c r="U9" i="28"/>
  <c r="Q9" i="28"/>
  <c r="N9" i="28"/>
  <c r="K9" i="28"/>
  <c r="J9" i="28"/>
  <c r="G9" i="28"/>
  <c r="F9" i="28"/>
  <c r="E9" i="28"/>
  <c r="D9" i="28"/>
  <c r="AE8" i="28"/>
  <c r="AD8" i="28"/>
  <c r="AB8" i="28"/>
  <c r="Z8" i="28"/>
  <c r="W8" i="28"/>
  <c r="O8" i="28"/>
  <c r="M8" i="28"/>
  <c r="L8" i="28"/>
  <c r="H8" i="28"/>
  <c r="AD7" i="28"/>
  <c r="AB7" i="28"/>
  <c r="H7" i="28"/>
  <c r="AE6" i="28"/>
  <c r="AD6" i="28"/>
  <c r="AB6" i="28"/>
  <c r="Z6" i="28"/>
  <c r="W6" i="28"/>
  <c r="O6" i="28"/>
  <c r="M6" i="28"/>
  <c r="L6" i="28"/>
  <c r="H6" i="28"/>
  <c r="AA6" i="28"/>
  <c r="P6" i="28"/>
  <c r="G5" i="28"/>
  <c r="AC24" i="28" l="1"/>
  <c r="M9" i="28"/>
  <c r="AB15" i="28"/>
  <c r="AF7" i="28"/>
  <c r="O15" i="28"/>
  <c r="AF22" i="28"/>
  <c r="AF23" i="28" s="1"/>
  <c r="AH23" i="28" s="1"/>
  <c r="AI23" i="28" s="1"/>
  <c r="AK23" i="28" s="1"/>
  <c r="AR23" i="28" s="1"/>
  <c r="S24" i="28"/>
  <c r="G24" i="28"/>
  <c r="AF8" i="28"/>
  <c r="AF20" i="28"/>
  <c r="AF21" i="28" s="1"/>
  <c r="AH21" i="28" s="1"/>
  <c r="AI21" i="28" s="1"/>
  <c r="AK21" i="28" s="1"/>
  <c r="AR21" i="28" s="1"/>
  <c r="L15" i="28"/>
  <c r="M15" i="28"/>
  <c r="Z15" i="28"/>
  <c r="AN24" i="28"/>
  <c r="AB23" i="28"/>
  <c r="P13" i="28"/>
  <c r="W15" i="28"/>
  <c r="O9" i="28"/>
  <c r="N24" i="28"/>
  <c r="AA16" i="28"/>
  <c r="AA17" i="28" s="1"/>
  <c r="AB21" i="28"/>
  <c r="Z9" i="28"/>
  <c r="U24" i="28"/>
  <c r="AD15" i="28"/>
  <c r="H15" i="28"/>
  <c r="F24" i="28"/>
  <c r="Y24" i="28"/>
  <c r="AF10" i="28"/>
  <c r="AF11" i="28" s="1"/>
  <c r="AH11" i="28" s="1"/>
  <c r="AI11" i="28" s="1"/>
  <c r="AK11" i="28" s="1"/>
  <c r="AR11" i="28" s="1"/>
  <c r="AA14" i="28"/>
  <c r="T13" i="28"/>
  <c r="T14" i="28"/>
  <c r="T16" i="28"/>
  <c r="T17" i="28" s="1"/>
  <c r="T20" i="28"/>
  <c r="T21" i="28" s="1"/>
  <c r="T6" i="28"/>
  <c r="T18" i="28"/>
  <c r="T19" i="28" s="1"/>
  <c r="T7" i="28"/>
  <c r="T22" i="28"/>
  <c r="T23" i="28" s="1"/>
  <c r="T8" i="28"/>
  <c r="T10" i="28"/>
  <c r="T11" i="28" s="1"/>
  <c r="T12" i="28"/>
  <c r="P20" i="28"/>
  <c r="P21" i="28" s="1"/>
  <c r="I16" i="28"/>
  <c r="I17" i="28" s="1"/>
  <c r="AA20" i="28"/>
  <c r="AA21" i="28" s="1"/>
  <c r="I12" i="28"/>
  <c r="P8" i="28"/>
  <c r="P9" i="28" s="1"/>
  <c r="AA8" i="28"/>
  <c r="AA9" i="28" s="1"/>
  <c r="X6" i="28"/>
  <c r="P10" i="28"/>
  <c r="P11" i="28" s="1"/>
  <c r="AA10" i="28"/>
  <c r="AA11" i="28" s="1"/>
  <c r="AA12" i="28"/>
  <c r="AE15" i="28"/>
  <c r="I14" i="28"/>
  <c r="P14" i="28"/>
  <c r="P16" i="28"/>
  <c r="P17" i="28" s="1"/>
  <c r="P18" i="28"/>
  <c r="P19" i="28" s="1"/>
  <c r="AA18" i="28"/>
  <c r="AA19" i="28" s="1"/>
  <c r="P22" i="28"/>
  <c r="P23" i="28" s="1"/>
  <c r="AA22" i="28"/>
  <c r="AA23" i="28" s="1"/>
  <c r="AA13" i="28"/>
  <c r="D24" i="28"/>
  <c r="J24" i="28"/>
  <c r="P12" i="28"/>
  <c r="X14" i="28"/>
  <c r="X16" i="28"/>
  <c r="X17" i="28" s="1"/>
  <c r="AF18" i="28"/>
  <c r="AF19" i="28" s="1"/>
  <c r="AH19" i="28" s="1"/>
  <c r="AI19" i="28" s="1"/>
  <c r="AK19" i="28" s="1"/>
  <c r="AR19" i="28" s="1"/>
  <c r="AB19" i="28"/>
  <c r="W9" i="28"/>
  <c r="X22" i="28"/>
  <c r="X23" i="28" s="1"/>
  <c r="X20" i="28"/>
  <c r="X21" i="28" s="1"/>
  <c r="X8" i="28"/>
  <c r="X10" i="28"/>
  <c r="X11" i="28" s="1"/>
  <c r="X18" i="28"/>
  <c r="X19" i="28" s="1"/>
  <c r="I7" i="28"/>
  <c r="E24" i="28"/>
  <c r="V24" i="28"/>
  <c r="I22" i="28"/>
  <c r="I20" i="28"/>
  <c r="H9" i="28"/>
  <c r="K24" i="28"/>
  <c r="Q24" i="28"/>
  <c r="AD9" i="28"/>
  <c r="I13" i="28"/>
  <c r="X13" i="28"/>
  <c r="AF14" i="28"/>
  <c r="AF16" i="28"/>
  <c r="AF17" i="28" s="1"/>
  <c r="AH17" i="28" s="1"/>
  <c r="AI17" i="28" s="1"/>
  <c r="AK17" i="28" s="1"/>
  <c r="AR17" i="28" s="1"/>
  <c r="L9" i="28"/>
  <c r="I8" i="28"/>
  <c r="I10" i="28"/>
  <c r="AF12" i="28"/>
  <c r="I18" i="28"/>
  <c r="AF6" i="28"/>
  <c r="AB9" i="28"/>
  <c r="X12" i="28"/>
  <c r="AF13" i="28"/>
  <c r="I6" i="28"/>
  <c r="AE9" i="28"/>
  <c r="M24" i="28" l="1"/>
  <c r="W24" i="28"/>
  <c r="I15" i="28"/>
  <c r="AE24" i="28"/>
  <c r="O24" i="28"/>
  <c r="Z24" i="28"/>
  <c r="P15" i="28"/>
  <c r="P24" i="28" s="1"/>
  <c r="AD24" i="28"/>
  <c r="L24" i="28"/>
  <c r="AF15" i="28"/>
  <c r="AH15" i="28" s="1"/>
  <c r="AI15" i="28" s="1"/>
  <c r="AK15" i="28" s="1"/>
  <c r="AR15" i="28" s="1"/>
  <c r="AG14" i="28"/>
  <c r="H24" i="28"/>
  <c r="T15" i="28"/>
  <c r="AG16" i="28"/>
  <c r="AG17" i="28" s="1"/>
  <c r="AJ17" i="28" s="1"/>
  <c r="AQ17" i="28" s="1"/>
  <c r="T9" i="28"/>
  <c r="AG7" i="28"/>
  <c r="AA15" i="28"/>
  <c r="AA24" i="28" s="1"/>
  <c r="AB24" i="28"/>
  <c r="AG22" i="28"/>
  <c r="AG23" i="28" s="1"/>
  <c r="AJ23" i="28" s="1"/>
  <c r="I23" i="28"/>
  <c r="AF9" i="28"/>
  <c r="AH9" i="28" s="1"/>
  <c r="AI9" i="28" s="1"/>
  <c r="AK9" i="28" s="1"/>
  <c r="AG6" i="28"/>
  <c r="I9" i="28"/>
  <c r="AG8" i="28"/>
  <c r="X15" i="28"/>
  <c r="I19" i="28"/>
  <c r="AG18" i="28"/>
  <c r="AG19" i="28" s="1"/>
  <c r="AJ19" i="28" s="1"/>
  <c r="AG13" i="28"/>
  <c r="I21" i="28"/>
  <c r="AG20" i="28"/>
  <c r="AG21" i="28" s="1"/>
  <c r="AJ21" i="28" s="1"/>
  <c r="X9" i="28"/>
  <c r="I11" i="28"/>
  <c r="AG10" i="28"/>
  <c r="AG11" i="28" s="1"/>
  <c r="AJ11" i="28" s="1"/>
  <c r="AG12" i="28"/>
  <c r="X24" i="28" l="1"/>
  <c r="T24" i="28"/>
  <c r="AF24" i="28"/>
  <c r="AH24" i="28" s="1"/>
  <c r="AI24" i="28" s="1"/>
  <c r="AL17" i="28"/>
  <c r="I24" i="28"/>
  <c r="AQ11" i="28"/>
  <c r="AL11" i="28"/>
  <c r="AL21" i="28"/>
  <c r="AQ21" i="28"/>
  <c r="AQ23" i="28"/>
  <c r="AL23" i="28"/>
  <c r="AK24" i="28"/>
  <c r="AR9" i="28"/>
  <c r="AR24" i="28" s="1"/>
  <c r="AG15" i="28"/>
  <c r="AJ15" i="28" s="1"/>
  <c r="AQ19" i="28"/>
  <c r="AL19" i="28"/>
  <c r="AG9" i="28"/>
  <c r="AJ9" i="28" s="1"/>
  <c r="AS17" i="28" l="1"/>
  <c r="AT17" i="28"/>
  <c r="AU17" i="28" s="1"/>
  <c r="AJ24" i="28"/>
  <c r="AL9" i="28"/>
  <c r="AQ9" i="28"/>
  <c r="AG24" i="28"/>
  <c r="AT23" i="28"/>
  <c r="AU23" i="28" s="1"/>
  <c r="AS23" i="28"/>
  <c r="AL15" i="28"/>
  <c r="AQ15" i="28"/>
  <c r="AT21" i="28"/>
  <c r="AU21" i="28" s="1"/>
  <c r="AS21" i="28"/>
  <c r="AT11" i="28"/>
  <c r="AU11" i="28" s="1"/>
  <c r="AS11" i="28"/>
  <c r="AT19" i="28"/>
  <c r="AU19" i="28" s="1"/>
  <c r="AS19" i="28"/>
  <c r="AQ24" i="28" l="1"/>
  <c r="AL24" i="28"/>
  <c r="AT9" i="28"/>
  <c r="AU9" i="28" s="1"/>
  <c r="AS9" i="28"/>
  <c r="AT15" i="28"/>
  <c r="AU15" i="28" s="1"/>
  <c r="AS15" i="28"/>
  <c r="AL26" i="28" l="1"/>
  <c r="AL27" i="28"/>
  <c r="AS25" i="28"/>
  <c r="AT24" i="28"/>
  <c r="AU24" i="28" s="1"/>
  <c r="AS24" i="28"/>
  <c r="C8" i="27"/>
  <c r="C7" i="27"/>
  <c r="C6" i="27"/>
  <c r="C5" i="27"/>
  <c r="C4" i="27"/>
  <c r="C3" i="27"/>
  <c r="AM24" i="28" l="1"/>
  <c r="C9" i="27"/>
  <c r="BF28" i="21"/>
  <c r="BG28" i="21"/>
  <c r="BF29" i="21"/>
  <c r="BG29" i="21"/>
  <c r="BF30" i="21"/>
  <c r="BG30" i="21"/>
  <c r="BF31" i="21"/>
  <c r="BG31" i="21"/>
  <c r="BF33" i="21"/>
  <c r="BG33" i="21"/>
  <c r="BF34" i="21"/>
  <c r="BG34" i="21"/>
  <c r="BF35" i="21"/>
  <c r="BG35" i="21"/>
  <c r="BF37" i="21"/>
  <c r="BG37" i="21"/>
  <c r="BF38" i="21"/>
  <c r="BG38" i="21"/>
  <c r="BF39" i="21"/>
  <c r="BG39" i="21"/>
  <c r="BF40" i="21"/>
  <c r="BG40" i="21"/>
  <c r="BF42" i="21"/>
  <c r="BG42" i="21"/>
  <c r="BF44" i="21"/>
  <c r="BG44" i="21"/>
  <c r="BF46" i="21"/>
  <c r="BG46" i="21"/>
  <c r="BF47" i="21"/>
  <c r="BG47" i="21"/>
  <c r="BE10" i="21"/>
  <c r="BE11" i="21"/>
  <c r="BE12" i="21"/>
  <c r="BE13" i="21"/>
  <c r="BE14" i="21"/>
  <c r="BE15" i="21"/>
  <c r="BE16" i="21"/>
  <c r="BE17" i="21"/>
  <c r="BE18" i="21"/>
  <c r="BE19" i="21"/>
  <c r="BE20" i="21"/>
  <c r="BE21" i="21"/>
  <c r="BE22" i="21"/>
  <c r="BE23" i="21"/>
  <c r="BE25" i="21"/>
  <c r="BE26" i="21"/>
  <c r="BE27" i="21"/>
  <c r="BE28" i="21"/>
  <c r="BH28" i="21" s="1"/>
  <c r="BE29" i="21"/>
  <c r="BH29" i="21" s="1"/>
  <c r="BE30" i="21"/>
  <c r="BH30" i="21" s="1"/>
  <c r="BE31" i="21"/>
  <c r="BH31" i="21" s="1"/>
  <c r="BE32" i="21"/>
  <c r="BE33" i="21"/>
  <c r="BH33" i="21" s="1"/>
  <c r="BE34" i="21"/>
  <c r="BH34" i="21" s="1"/>
  <c r="BE35" i="21"/>
  <c r="BH35" i="21" s="1"/>
  <c r="BE36" i="21"/>
  <c r="BE37" i="21"/>
  <c r="BH37" i="21" s="1"/>
  <c r="BE38" i="21"/>
  <c r="BH38" i="21" s="1"/>
  <c r="BE39" i="21"/>
  <c r="BH39" i="21" s="1"/>
  <c r="BE40" i="21"/>
  <c r="BH40" i="21" s="1"/>
  <c r="BE42" i="21"/>
  <c r="BH42" i="21" s="1"/>
  <c r="BE43" i="21"/>
  <c r="BE44" i="21"/>
  <c r="BH44" i="21" s="1"/>
  <c r="BE45" i="21"/>
  <c r="BE46" i="21"/>
  <c r="BH46" i="21" s="1"/>
  <c r="BE47" i="21"/>
  <c r="BH47" i="21" s="1"/>
  <c r="BE48" i="21"/>
  <c r="BC49" i="21"/>
  <c r="BD49" i="21"/>
  <c r="AM26" i="28" l="1"/>
  <c r="BE49" i="21"/>
  <c r="F48" i="21" l="1"/>
  <c r="H48" i="21"/>
  <c r="J48" i="21"/>
  <c r="L48" i="21"/>
  <c r="N48" i="21"/>
  <c r="P48" i="21"/>
  <c r="R48" i="21"/>
  <c r="T48" i="21"/>
  <c r="X48" i="21"/>
  <c r="Z48" i="21"/>
  <c r="AB48" i="21"/>
  <c r="AD48" i="21"/>
  <c r="F45" i="21"/>
  <c r="H45" i="21"/>
  <c r="J45" i="21"/>
  <c r="L45" i="21"/>
  <c r="N45" i="21"/>
  <c r="P45" i="21"/>
  <c r="R45" i="21"/>
  <c r="T45" i="21"/>
  <c r="X45" i="21"/>
  <c r="Z45" i="21"/>
  <c r="AB45" i="21"/>
  <c r="AD45" i="21"/>
  <c r="AN45" i="21"/>
  <c r="AP45" i="21"/>
  <c r="F43" i="21"/>
  <c r="H43" i="21"/>
  <c r="J43" i="21"/>
  <c r="N43" i="21"/>
  <c r="P43" i="21"/>
  <c r="R43" i="21"/>
  <c r="T43" i="21"/>
  <c r="X43" i="21"/>
  <c r="Z43" i="21"/>
  <c r="AB43" i="21"/>
  <c r="AN43" i="21"/>
  <c r="AP43" i="21"/>
  <c r="F36" i="21"/>
  <c r="H36" i="21"/>
  <c r="J36" i="21"/>
  <c r="L36" i="21"/>
  <c r="N36" i="21"/>
  <c r="P36" i="21"/>
  <c r="R36" i="21"/>
  <c r="T36" i="21"/>
  <c r="X36" i="21"/>
  <c r="Z36" i="21"/>
  <c r="AB36" i="21"/>
  <c r="AD36" i="21"/>
  <c r="E32" i="21"/>
  <c r="F32" i="21"/>
  <c r="G32" i="21"/>
  <c r="H32" i="21"/>
  <c r="I32" i="21"/>
  <c r="J32" i="21"/>
  <c r="K32" i="21"/>
  <c r="L32" i="21"/>
  <c r="N32" i="21"/>
  <c r="P32" i="21"/>
  <c r="R32" i="21"/>
  <c r="T32" i="21"/>
  <c r="Z32" i="21"/>
  <c r="F27" i="21"/>
  <c r="H27" i="21"/>
  <c r="J27" i="21"/>
  <c r="L27" i="21"/>
  <c r="N27" i="21"/>
  <c r="P27" i="21"/>
  <c r="R27" i="21"/>
  <c r="T27" i="21"/>
  <c r="X27" i="21"/>
  <c r="AB27" i="21"/>
  <c r="AB28" i="21" s="1"/>
  <c r="AB32" i="21" s="1"/>
  <c r="AD27" i="21"/>
  <c r="AD28" i="21" s="1"/>
  <c r="AP28" i="21" s="1"/>
  <c r="AN27" i="21"/>
  <c r="AP27" i="21"/>
  <c r="D48" i="21"/>
  <c r="D43" i="21"/>
  <c r="T49" i="21" l="1"/>
  <c r="P49" i="21"/>
  <c r="N49" i="21"/>
  <c r="X28" i="21"/>
  <c r="R49" i="21"/>
  <c r="AD32" i="21"/>
  <c r="AD49" i="21" s="1"/>
  <c r="L49" i="21"/>
  <c r="J49" i="21"/>
  <c r="H49" i="21"/>
  <c r="Z49" i="21"/>
  <c r="AB49" i="21"/>
  <c r="F49" i="21"/>
  <c r="AZ48" i="21"/>
  <c r="AZ45" i="21"/>
  <c r="AZ43" i="21"/>
  <c r="AZ36" i="21"/>
  <c r="AZ32" i="21"/>
  <c r="AZ27" i="21"/>
  <c r="BA49" i="21"/>
  <c r="BB49" i="21"/>
  <c r="AN28" i="21" l="1"/>
  <c r="AR28" i="21" s="1"/>
  <c r="X32" i="21"/>
  <c r="X49" i="21" s="1"/>
  <c r="AE37" i="21"/>
  <c r="AC37" i="21"/>
  <c r="AA37" i="21"/>
  <c r="Y37" i="21"/>
  <c r="K37" i="21"/>
  <c r="G37" i="21"/>
  <c r="AR32" i="21" l="1"/>
  <c r="AR51" i="21"/>
  <c r="AW56" i="21" s="1"/>
  <c r="AY56" i="21" s="1"/>
  <c r="AR43" i="21"/>
  <c r="AT43" i="21" s="1"/>
  <c r="AE19" i="21" l="1"/>
  <c r="AU43" i="21" l="1"/>
  <c r="D45" i="21" l="1"/>
  <c r="D36" i="21"/>
  <c r="D32" i="21"/>
  <c r="D27" i="21"/>
  <c r="AP32" i="21" l="1"/>
  <c r="AN32" i="21"/>
  <c r="D49" i="21"/>
  <c r="AT32" i="21" l="1"/>
  <c r="AU32" i="21" s="1"/>
  <c r="AW32" i="21" s="1"/>
  <c r="BG32" i="21" s="1"/>
  <c r="T37" i="24" l="1"/>
  <c r="AE20" i="21"/>
  <c r="AC20" i="21"/>
  <c r="AA20" i="21"/>
  <c r="Y20" i="21"/>
  <c r="U20" i="21"/>
  <c r="K20" i="21"/>
  <c r="G20" i="21"/>
  <c r="AE26" i="21"/>
  <c r="AC26" i="21"/>
  <c r="Y26" i="21"/>
  <c r="U26" i="21"/>
  <c r="K26" i="21"/>
  <c r="G26" i="21"/>
  <c r="AE18" i="21" l="1"/>
  <c r="AC18" i="21"/>
  <c r="AA18" i="21"/>
  <c r="Y18" i="21"/>
  <c r="U18" i="21"/>
  <c r="K18" i="21"/>
  <c r="G18" i="21"/>
  <c r="O38" i="21" l="1"/>
  <c r="O40" i="21"/>
  <c r="O39" i="21"/>
  <c r="O23" i="21"/>
  <c r="AQ23" i="21" s="1"/>
  <c r="O37" i="21"/>
  <c r="O26" i="21"/>
  <c r="O18" i="21"/>
  <c r="O19" i="21"/>
  <c r="AQ19" i="21" s="1"/>
  <c r="O20" i="21"/>
  <c r="O21" i="21"/>
  <c r="AQ21" i="21" s="1"/>
  <c r="O22" i="21"/>
  <c r="AQ22" i="21" s="1"/>
  <c r="O25" i="21"/>
  <c r="AQ25" i="21" s="1"/>
  <c r="O30" i="21"/>
  <c r="O28" i="21"/>
  <c r="O35" i="21"/>
  <c r="O29" i="21"/>
  <c r="O32" i="21" l="1"/>
  <c r="T15" i="24"/>
  <c r="T4" i="24"/>
  <c r="T44" i="24" l="1"/>
  <c r="M46" i="21"/>
  <c r="AO46" i="21" s="1"/>
  <c r="AS46" i="21" s="1"/>
  <c r="I37" i="21"/>
  <c r="M40" i="21" l="1"/>
  <c r="M39" i="21"/>
  <c r="M38" i="21"/>
  <c r="M23" i="21"/>
  <c r="AO23" i="21" s="1"/>
  <c r="AS23" i="21" s="1"/>
  <c r="M37" i="21"/>
  <c r="M20" i="21"/>
  <c r="M18" i="21"/>
  <c r="M19" i="21"/>
  <c r="AO19" i="21" s="1"/>
  <c r="AS19" i="21" s="1"/>
  <c r="M21" i="21"/>
  <c r="AO21" i="21" s="1"/>
  <c r="AS21" i="21" s="1"/>
  <c r="M22" i="21"/>
  <c r="AO22" i="21" s="1"/>
  <c r="AS22" i="21" s="1"/>
  <c r="M25" i="21"/>
  <c r="AO25" i="21" s="1"/>
  <c r="AS25" i="21" s="1"/>
  <c r="M26" i="21"/>
  <c r="M29" i="21"/>
  <c r="M35" i="21"/>
  <c r="M30" i="21"/>
  <c r="M28" i="21"/>
  <c r="I20" i="21"/>
  <c r="I26" i="21"/>
  <c r="I18" i="21"/>
  <c r="M33" i="21"/>
  <c r="M17" i="21"/>
  <c r="M32" i="21" l="1"/>
  <c r="AN48" i="21"/>
  <c r="AE16" i="21"/>
  <c r="AC16" i="21"/>
  <c r="AA16" i="21"/>
  <c r="U16" i="21"/>
  <c r="K16" i="21"/>
  <c r="AE15" i="21"/>
  <c r="AC15" i="21"/>
  <c r="AA15" i="21"/>
  <c r="U15" i="21"/>
  <c r="K15" i="21"/>
  <c r="AE34" i="21"/>
  <c r="AC34" i="21"/>
  <c r="AA34" i="21"/>
  <c r="K34" i="21"/>
  <c r="AE42" i="21"/>
  <c r="AE43" i="21" s="1"/>
  <c r="AC42" i="21"/>
  <c r="AC43" i="21" s="1"/>
  <c r="AA42" i="21"/>
  <c r="K42" i="21"/>
  <c r="K43" i="21" s="1"/>
  <c r="AE14" i="21"/>
  <c r="AC14" i="21"/>
  <c r="AA14" i="21"/>
  <c r="U14" i="21"/>
  <c r="K14" i="21"/>
  <c r="AE13" i="21"/>
  <c r="AC13" i="21"/>
  <c r="AA13" i="21"/>
  <c r="U13" i="21"/>
  <c r="K13" i="21"/>
  <c r="AA43" i="21" l="1"/>
  <c r="AW43" i="21"/>
  <c r="BG43" i="21" s="1"/>
  <c r="AE44" i="21" l="1"/>
  <c r="AE45" i="21" s="1"/>
  <c r="AE10" i="21"/>
  <c r="AE11" i="21"/>
  <c r="AE12" i="21"/>
  <c r="AE47" i="21"/>
  <c r="AE48" i="21" s="1"/>
  <c r="AE17" i="21"/>
  <c r="AE33" i="21"/>
  <c r="AE36" i="21" s="1"/>
  <c r="AC44" i="21"/>
  <c r="AC45" i="21" s="1"/>
  <c r="AC10" i="21"/>
  <c r="AC11" i="21"/>
  <c r="AC12" i="21"/>
  <c r="AC47" i="21"/>
  <c r="AC48" i="21" s="1"/>
  <c r="AC17" i="21"/>
  <c r="AC33" i="21"/>
  <c r="AC36" i="21" s="1"/>
  <c r="AA44" i="21"/>
  <c r="AA10" i="21"/>
  <c r="AA11" i="21"/>
  <c r="AA12" i="21"/>
  <c r="AA47" i="21"/>
  <c r="AA17" i="21"/>
  <c r="AA33" i="21"/>
  <c r="W10" i="21"/>
  <c r="U10" i="21"/>
  <c r="U11" i="21"/>
  <c r="U12" i="21"/>
  <c r="U17" i="21"/>
  <c r="K44" i="21"/>
  <c r="K45" i="21" s="1"/>
  <c r="K10" i="21"/>
  <c r="K11" i="21"/>
  <c r="K12" i="21"/>
  <c r="K47" i="21"/>
  <c r="K48" i="21" s="1"/>
  <c r="K17" i="21"/>
  <c r="K33" i="21"/>
  <c r="K36" i="21" s="1"/>
  <c r="AA28" i="21" l="1"/>
  <c r="AA32" i="21" s="1"/>
  <c r="W27" i="21"/>
  <c r="W49" i="21" s="1"/>
  <c r="U27" i="21"/>
  <c r="U49" i="21" s="1"/>
  <c r="AA45" i="21"/>
  <c r="AA36" i="21"/>
  <c r="AA48" i="21"/>
  <c r="K27" i="21"/>
  <c r="K49" i="21" s="1"/>
  <c r="AC27" i="21"/>
  <c r="AE27" i="21"/>
  <c r="AE28" i="21" s="1"/>
  <c r="AE32" i="21" s="1"/>
  <c r="I17" i="21"/>
  <c r="I44" i="21"/>
  <c r="I45" i="21" s="1"/>
  <c r="I11" i="21"/>
  <c r="I33" i="21"/>
  <c r="I47" i="21"/>
  <c r="I48" i="21" s="1"/>
  <c r="I12" i="21"/>
  <c r="I10" i="21"/>
  <c r="I16" i="21"/>
  <c r="I15" i="21"/>
  <c r="I34" i="21"/>
  <c r="I42" i="21"/>
  <c r="I43" i="21" s="1"/>
  <c r="I14" i="21"/>
  <c r="I13" i="21"/>
  <c r="E37" i="21"/>
  <c r="AE49" i="21" l="1"/>
  <c r="AC28" i="21"/>
  <c r="AC32" i="21" s="1"/>
  <c r="AA49" i="21"/>
  <c r="AN36" i="21"/>
  <c r="AN49" i="21" s="1"/>
  <c r="AP36" i="21"/>
  <c r="AP49" i="21" s="1"/>
  <c r="I27" i="21"/>
  <c r="I36" i="21"/>
  <c r="AP48" i="21"/>
  <c r="Q37" i="21"/>
  <c r="AO37" i="21" s="1"/>
  <c r="Q38" i="21"/>
  <c r="AO38" i="21" s="1"/>
  <c r="Q39" i="21"/>
  <c r="AO39" i="21" s="1"/>
  <c r="Q40" i="21"/>
  <c r="AO40" i="21" s="1"/>
  <c r="Q42" i="21"/>
  <c r="S38" i="21"/>
  <c r="AQ38" i="21" s="1"/>
  <c r="S39" i="21"/>
  <c r="AQ39" i="21" s="1"/>
  <c r="S40" i="21"/>
  <c r="AQ40" i="21" s="1"/>
  <c r="S37" i="21"/>
  <c r="AQ37" i="21" s="1"/>
  <c r="Q31" i="21"/>
  <c r="AO31" i="21" s="1"/>
  <c r="Q29" i="21"/>
  <c r="AO29" i="21" s="1"/>
  <c r="Q30" i="21"/>
  <c r="AO30" i="21" s="1"/>
  <c r="Q35" i="21"/>
  <c r="AO35" i="21" s="1"/>
  <c r="Q28" i="21"/>
  <c r="S17" i="21"/>
  <c r="S31" i="21"/>
  <c r="AQ31" i="21" s="1"/>
  <c r="S29" i="21"/>
  <c r="AQ29" i="21" s="1"/>
  <c r="S30" i="21"/>
  <c r="AQ30" i="21" s="1"/>
  <c r="S35" i="21"/>
  <c r="AQ35" i="21" s="1"/>
  <c r="S28" i="21"/>
  <c r="AQ28" i="21" s="1"/>
  <c r="S16" i="21"/>
  <c r="E26" i="21"/>
  <c r="E20" i="21"/>
  <c r="Q20" i="21"/>
  <c r="Q26" i="21"/>
  <c r="S20" i="21"/>
  <c r="AQ20" i="21" s="1"/>
  <c r="S26" i="21"/>
  <c r="AQ26" i="21" s="1"/>
  <c r="S12" i="21"/>
  <c r="S15" i="21"/>
  <c r="Q18" i="21"/>
  <c r="S18" i="21"/>
  <c r="AQ18" i="21" s="1"/>
  <c r="E33" i="21"/>
  <c r="E18" i="21"/>
  <c r="S34" i="21"/>
  <c r="S14" i="21"/>
  <c r="S11" i="21"/>
  <c r="S42" i="21"/>
  <c r="S13" i="21"/>
  <c r="S10" i="21"/>
  <c r="S44" i="21"/>
  <c r="S45" i="21" s="1"/>
  <c r="S33" i="21"/>
  <c r="S47" i="21"/>
  <c r="S48" i="21" s="1"/>
  <c r="AR10" i="21"/>
  <c r="AR27" i="21" s="1"/>
  <c r="AS29" i="21" l="1"/>
  <c r="AO26" i="21"/>
  <c r="AS26" i="21" s="1"/>
  <c r="AC49" i="21"/>
  <c r="AS30" i="21"/>
  <c r="AO20" i="21"/>
  <c r="AS20" i="21" s="1"/>
  <c r="AS37" i="21"/>
  <c r="AS35" i="21"/>
  <c r="AS31" i="21"/>
  <c r="AS39" i="21"/>
  <c r="AS38" i="21"/>
  <c r="AO18" i="21"/>
  <c r="AS18" i="21" s="1"/>
  <c r="AS40" i="21"/>
  <c r="AR45" i="21"/>
  <c r="AT45" i="21" s="1"/>
  <c r="AU45" i="21" s="1"/>
  <c r="AW45" i="21" s="1"/>
  <c r="BG45" i="21" s="1"/>
  <c r="AR36" i="21"/>
  <c r="AT36" i="21" s="1"/>
  <c r="AU36" i="21" s="1"/>
  <c r="AW36" i="21" s="1"/>
  <c r="BG36" i="21" s="1"/>
  <c r="S36" i="21"/>
  <c r="I49" i="21"/>
  <c r="Q32" i="21"/>
  <c r="S43" i="21"/>
  <c r="S27" i="21"/>
  <c r="Q43" i="21"/>
  <c r="S32" i="21"/>
  <c r="AT27" i="21"/>
  <c r="AQ32" i="21"/>
  <c r="AR49" i="21" l="1"/>
  <c r="AX52" i="21" s="1"/>
  <c r="AX53" i="21" s="1"/>
  <c r="AR48" i="21"/>
  <c r="AT48" i="21" s="1"/>
  <c r="AU48" i="21" s="1"/>
  <c r="S49" i="21"/>
  <c r="AU27" i="21"/>
  <c r="AW27" i="21" l="1"/>
  <c r="BG27" i="21" s="1"/>
  <c r="AU49" i="21"/>
  <c r="AW48" i="21"/>
  <c r="BG48" i="21" s="1"/>
  <c r="AT49" i="21"/>
  <c r="G34" i="21"/>
  <c r="G42" i="21"/>
  <c r="G14" i="21"/>
  <c r="G13" i="21"/>
  <c r="G16" i="21"/>
  <c r="G15" i="21"/>
  <c r="G10" i="21"/>
  <c r="G47" i="21"/>
  <c r="G11" i="21"/>
  <c r="G17" i="21"/>
  <c r="G33" i="21"/>
  <c r="G12" i="21"/>
  <c r="G44" i="21"/>
  <c r="G36" i="21" l="1"/>
  <c r="G43" i="21"/>
  <c r="G48" i="21"/>
  <c r="G45" i="21"/>
  <c r="G27" i="21"/>
  <c r="BG49" i="21"/>
  <c r="AW49" i="21"/>
  <c r="E16" i="21"/>
  <c r="E15" i="21"/>
  <c r="E34" i="21"/>
  <c r="E42" i="21"/>
  <c r="E14" i="21"/>
  <c r="E13" i="21"/>
  <c r="Q16" i="21"/>
  <c r="Q15" i="21"/>
  <c r="Q34" i="21"/>
  <c r="Q14" i="21"/>
  <c r="Q13" i="21"/>
  <c r="O15" i="21"/>
  <c r="AQ15" i="21" s="1"/>
  <c r="O16" i="21"/>
  <c r="AQ16" i="21" s="1"/>
  <c r="O34" i="21"/>
  <c r="AQ34" i="21" s="1"/>
  <c r="O42" i="21"/>
  <c r="O43" i="21" s="1"/>
  <c r="O14" i="21"/>
  <c r="AQ14" i="21" s="1"/>
  <c r="O13" i="21"/>
  <c r="AQ13" i="21" s="1"/>
  <c r="M16" i="21"/>
  <c r="M15" i="21"/>
  <c r="M34" i="21"/>
  <c r="M36" i="21" s="1"/>
  <c r="M42" i="21"/>
  <c r="M43" i="21" s="1"/>
  <c r="M14" i="21"/>
  <c r="M13" i="21"/>
  <c r="O33" i="21"/>
  <c r="AQ33" i="21" s="1"/>
  <c r="O11" i="21"/>
  <c r="AQ11" i="21" s="1"/>
  <c r="O17" i="21"/>
  <c r="AQ17" i="21" s="1"/>
  <c r="O44" i="21"/>
  <c r="O45" i="21" s="1"/>
  <c r="O12" i="21"/>
  <c r="AQ12" i="21" s="1"/>
  <c r="O47" i="21"/>
  <c r="O48" i="21" s="1"/>
  <c r="O10" i="21"/>
  <c r="AQ10" i="21" s="1"/>
  <c r="E47" i="21"/>
  <c r="E17" i="21"/>
  <c r="E10" i="21"/>
  <c r="E11" i="21"/>
  <c r="E12" i="21"/>
  <c r="E44" i="21"/>
  <c r="Q11" i="21"/>
  <c r="Q17" i="21"/>
  <c r="Q33" i="21"/>
  <c r="Q12" i="21"/>
  <c r="Q44" i="21"/>
  <c r="Q45" i="21" s="1"/>
  <c r="Q10" i="21"/>
  <c r="Q47" i="21"/>
  <c r="Q48" i="21" s="1"/>
  <c r="M10" i="21"/>
  <c r="M44" i="21"/>
  <c r="M45" i="21" s="1"/>
  <c r="M11" i="21"/>
  <c r="M12" i="21"/>
  <c r="M47" i="21"/>
  <c r="M48" i="21" s="1"/>
  <c r="AQ44" i="21" l="1"/>
  <c r="AQ45" i="21" s="1"/>
  <c r="AQ42" i="21"/>
  <c r="AQ43" i="21" s="1"/>
  <c r="E36" i="21"/>
  <c r="E48" i="21"/>
  <c r="AQ47" i="21"/>
  <c r="AQ48" i="21" s="1"/>
  <c r="G49" i="21"/>
  <c r="E45" i="21"/>
  <c r="E43" i="21"/>
  <c r="Q36" i="21"/>
  <c r="E27" i="21"/>
  <c r="Q27" i="21"/>
  <c r="O27" i="21"/>
  <c r="M27" i="21"/>
  <c r="M49" i="21" s="1"/>
  <c r="O36" i="21"/>
  <c r="AQ36" i="21"/>
  <c r="Q49" i="21" l="1"/>
  <c r="E49" i="21"/>
  <c r="O49" i="21"/>
  <c r="AQ27" i="21"/>
  <c r="AQ49" i="21" s="1"/>
  <c r="Y16" i="21"/>
  <c r="AO16" i="21" s="1"/>
  <c r="AS16" i="21" s="1"/>
  <c r="Y34" i="21"/>
  <c r="AO34" i="21" s="1"/>
  <c r="AS34" i="21" s="1"/>
  <c r="Y42" i="21"/>
  <c r="Y13" i="21"/>
  <c r="AO13" i="21" s="1"/>
  <c r="AS13" i="21" s="1"/>
  <c r="Y15" i="21"/>
  <c r="AO15" i="21" s="1"/>
  <c r="AS15" i="21" s="1"/>
  <c r="Y14" i="21"/>
  <c r="AO14" i="21" s="1"/>
  <c r="AS14" i="21" s="1"/>
  <c r="Y10" i="21"/>
  <c r="AO10" i="21" s="1"/>
  <c r="Y47" i="21"/>
  <c r="Y11" i="21"/>
  <c r="Y17" i="21"/>
  <c r="AO17" i="21" s="1"/>
  <c r="AS17" i="21" s="1"/>
  <c r="Y33" i="21"/>
  <c r="AO33" i="21" s="1"/>
  <c r="AS33" i="21" s="1"/>
  <c r="Y12" i="21"/>
  <c r="AO12" i="21" s="1"/>
  <c r="AS12" i="21" s="1"/>
  <c r="Y44" i="21"/>
  <c r="AO11" i="21" l="1"/>
  <c r="AS11" i="21" s="1"/>
  <c r="Y43" i="21"/>
  <c r="AO42" i="21"/>
  <c r="AS42" i="21" s="1"/>
  <c r="Y48" i="21"/>
  <c r="AO47" i="21"/>
  <c r="AS47" i="21" s="1"/>
  <c r="Y45" i="21"/>
  <c r="AO44" i="21"/>
  <c r="AS44" i="21" s="1"/>
  <c r="Y36" i="21"/>
  <c r="Y27" i="21"/>
  <c r="AO36" i="21"/>
  <c r="AO43" i="21" l="1"/>
  <c r="Y28" i="21"/>
  <c r="AO48" i="21"/>
  <c r="AS10" i="21"/>
  <c r="AO27" i="21"/>
  <c r="AS45" i="21"/>
  <c r="AV45" i="21" s="1"/>
  <c r="BF45" i="21" s="1"/>
  <c r="AO45" i="21"/>
  <c r="AS48" i="21"/>
  <c r="Y32" i="21" l="1"/>
  <c r="Y49" i="21" s="1"/>
  <c r="AO28" i="21"/>
  <c r="AS36" i="21"/>
  <c r="AV36" i="21" s="1"/>
  <c r="BF36" i="21" s="1"/>
  <c r="AS43" i="21"/>
  <c r="AV43" i="21" s="1"/>
  <c r="BF43" i="21" s="1"/>
  <c r="AS27" i="21"/>
  <c r="AV27" i="21" s="1"/>
  <c r="BF27" i="21" s="1"/>
  <c r="AX45" i="21"/>
  <c r="AV48" i="21"/>
  <c r="BF48" i="21" s="1"/>
  <c r="AZ49" i="21"/>
  <c r="AS28" i="21" l="1"/>
  <c r="AO32" i="21"/>
  <c r="AO49" i="21" s="1"/>
  <c r="BH45" i="21"/>
  <c r="BI45" i="21"/>
  <c r="BJ45" i="21" s="1"/>
  <c r="AX43" i="21"/>
  <c r="AX36" i="21"/>
  <c r="AX48" i="21"/>
  <c r="AX27" i="21"/>
  <c r="AS32" i="21" l="1"/>
  <c r="AV32" i="21" s="1"/>
  <c r="AV49" i="21" s="1"/>
  <c r="AS51" i="21"/>
  <c r="BH48" i="21"/>
  <c r="BI48" i="21"/>
  <c r="BJ48" i="21" s="1"/>
  <c r="BI36" i="21"/>
  <c r="BJ36" i="21" s="1"/>
  <c r="BH36" i="21"/>
  <c r="BI27" i="21"/>
  <c r="BJ27" i="21" s="1"/>
  <c r="BH27" i="21"/>
  <c r="BH43" i="21"/>
  <c r="BI43" i="21"/>
  <c r="BJ43" i="21" s="1"/>
  <c r="AW57" i="21" l="1"/>
  <c r="AS49" i="21"/>
  <c r="AS52" i="21" s="1"/>
  <c r="AX32" i="21"/>
  <c r="AX49" i="21" s="1"/>
  <c r="BF32" i="21"/>
  <c r="BF49" i="21" s="1"/>
  <c r="AW58" i="21" l="1"/>
  <c r="AS53" i="21"/>
  <c r="AW59" i="21"/>
  <c r="AX61" i="21"/>
  <c r="AZ52" i="21"/>
  <c r="AX63" i="21"/>
  <c r="BI49" i="21"/>
  <c r="BJ49" i="21" s="1"/>
  <c r="BH32" i="21"/>
  <c r="BH49" i="21" s="1"/>
  <c r="AY51" i="21"/>
  <c r="AY52" i="21" s="1"/>
  <c r="BI32" i="21"/>
  <c r="BJ32" i="21" s="1"/>
  <c r="AX57" i="21" l="1"/>
  <c r="AZ53" i="21"/>
  <c r="AY53" i="21"/>
  <c r="AX58" i="21"/>
  <c r="AY58" i="21"/>
  <c r="AY49" i="21"/>
  <c r="AX64" i="21" l="1"/>
  <c r="AY54" i="21"/>
  <c r="AX59" i="21"/>
  <c r="AY57" i="21"/>
  <c r="AY59" i="21" s="1"/>
  <c r="AZ57" i="21" l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<sst xmlns="http://schemas.openxmlformats.org/spreadsheetml/2006/main" count="478" uniqueCount="212">
  <si>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</si>
  <si>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</si>
  <si>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</si>
  <si>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</si>
  <si>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</si>
  <si>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</si>
  <si>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</si>
  <si>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</si>
  <si>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</si>
  <si>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</si>
  <si>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</si>
  <si>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</si>
  <si>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</si>
  <si>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</si>
  <si>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</si>
  <si>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</si>
  <si>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</si>
  <si>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</si>
  <si>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</si>
  <si>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</si>
  <si>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</si>
  <si>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</si>
  <si>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</si>
  <si>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</si>
  <si>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</si>
  <si>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</si>
  <si>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</si>
  <si>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</si>
  <si>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</si>
  <si>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</si>
  <si>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</si>
  <si>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</si>
  <si>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</si>
  <si>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</si>
  <si>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</si>
  <si>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</si>
  <si>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</si>
  <si>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</si>
  <si>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</si>
  <si>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</si>
  <si>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</si>
  <si>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</si>
  <si>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</si>
  <si>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</si>
  <si>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</si>
  <si>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</si>
  <si>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</si>
  <si>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</si>
  <si>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</si>
  <si>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</si>
  <si>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</si>
  <si>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</si>
  <si>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</si>
  <si>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</si>
  <si>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</si>
  <si>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</si>
  <si>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</si>
  <si>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</si>
  <si>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</si>
  <si>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</si>
  <si>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</si>
  <si>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</si>
  <si>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</si>
  <si>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</si>
  <si>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</si>
  <si>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</si>
  <si>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</si>
  <si>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</si>
  <si>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</si>
  <si>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</si>
  <si>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</si>
  <si>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</si>
  <si>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</si>
  <si>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</si>
  <si>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</si>
  <si>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</si>
  <si>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</si>
  <si>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</si>
  <si>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</si>
  <si>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</si>
  <si>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</si>
  <si>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</si>
  <si>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</si>
  <si>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</si>
  <si>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</si>
  <si>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</si>
  <si>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</si>
  <si>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</si>
  <si>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</si>
  <si>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</si>
  <si>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</si>
  <si>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</si>
  <si>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</si>
  <si>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</si>
  <si>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</si>
  <si>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</si>
  <si>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</si>
  <si>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</si>
  <si>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</si>
  <si>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</si>
  <si>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</si>
  <si>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</si>
  <si>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</si>
  <si>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</si>
  <si>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</si>
  <si>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</si>
  <si>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</si>
  <si>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</si>
  <si>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</si>
  <si>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</si>
  <si>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</si>
  <si>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</si>
  <si>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</si>
  <si>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</si>
  <si>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</si>
  <si>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</si>
  <si>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</si>
  <si>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</si>
  <si>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</si>
  <si>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</si>
  <si>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</si>
  <si>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</si>
  <si>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</si>
  <si>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</si>
  <si>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</si>
  <si>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</si>
  <si>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</si>
  <si>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</si>
  <si>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</si>
  <si>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</si>
  <si>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</si>
  <si>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</si>
  <si>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</si>
  <si>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</si>
  <si>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</si>
  <si>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</si>
  <si>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</si>
  <si>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</si>
  <si>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</si>
  <si>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</si>
  <si>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</si>
  <si>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</si>
  <si>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</si>
  <si>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В бюджет</t>
  </si>
  <si>
    <t>на реализацию полномочий</t>
  </si>
  <si>
    <t>на организацию полномочий</t>
  </si>
  <si>
    <t>ИП Розвезев А.В.</t>
  </si>
  <si>
    <t>Дополнительная потребность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</si>
  <si>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</si>
  <si>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</si>
  <si>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</si>
  <si>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Обеспеченность</t>
  </si>
  <si>
    <t>группы компенсирующей направленности для детей с тяжелыми нарушениями речи</t>
  </si>
  <si>
    <t>Перераспределение</t>
  </si>
  <si>
    <t>Наименование муниципального образования</t>
  </si>
  <si>
    <t>Сумма  на 2022 год</t>
  </si>
  <si>
    <t>(тысяч рублей)</t>
  </si>
  <si>
    <t>Всеволожский муниципальный район</t>
  </si>
  <si>
    <t>Выборгский район</t>
  </si>
  <si>
    <t>Гатчинский муниципальный район</t>
  </si>
  <si>
    <t>Ломоносовский муниципальный район</t>
  </si>
  <si>
    <t>Сосновоборский городской округ</t>
  </si>
  <si>
    <t>Тосненский район</t>
  </si>
  <si>
    <t>Итого</t>
  </si>
  <si>
    <t>В бюджете после уточнения 34-оз от 01.04.2022</t>
  </si>
  <si>
    <t>На одного обучающегося в общеобразовательных классах (в том числе с углубленным изучением отдельных учебных предметов, профильного образования) общеобразовательных организаций  по начальному общему образованию - более 149 человек, по основному общему образованию - более 199 человек, по среднему общему образованию - более 74 человек</t>
  </si>
  <si>
    <t>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слабослышащие (познооглохшие)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</si>
  <si>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тяжелыми нарушениями речи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</si>
  <si>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нарушением опорно-двигательного аппарата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</si>
  <si>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задержкой психического развития (ЗПР)</t>
  </si>
  <si>
    <t>по 3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умственной отсталостью (интеллектуальными нарушениями)</t>
  </si>
  <si>
    <t>классы, реализующие ФГОС</t>
  </si>
  <si>
    <t>всего</t>
  </si>
  <si>
    <t>классы, не реализующие ФГОС</t>
  </si>
  <si>
    <t>1-4 классы</t>
  </si>
  <si>
    <t>5-9 классы</t>
  </si>
  <si>
    <t>10-11 кл</t>
  </si>
  <si>
    <t>10-11 кл профильное</t>
  </si>
  <si>
    <t>АНО "ДП Центр им. Св. Николая"</t>
  </si>
  <si>
    <t>ЧОУ «Деловая волна»</t>
  </si>
  <si>
    <t>ЧОУ "Школа "Лужки""</t>
  </si>
  <si>
    <t>Кингисеппский</t>
  </si>
  <si>
    <t>Кингисеппский Итог</t>
  </si>
  <si>
    <t>Киришский</t>
  </si>
  <si>
    <t>Киришский Итог</t>
  </si>
  <si>
    <t>Приозерский</t>
  </si>
  <si>
    <t>Приозерский Итог</t>
  </si>
  <si>
    <t>13-14 часов</t>
  </si>
  <si>
    <t>%</t>
  </si>
  <si>
    <t>кол-во месяцев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</si>
  <si>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</si>
  <si>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</si>
  <si>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</si>
  <si>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</si>
  <si>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</si>
  <si>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</si>
  <si>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</si>
  <si>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</si>
  <si>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</si>
  <si>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2023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</si>
  <si>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частных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2023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</si>
  <si>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частных  организациях и у индивидуальных предпринимателей,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2023 год</t>
  </si>
  <si>
    <t>Итого потребность на 2023 год</t>
  </si>
  <si>
    <t>Всего обучающихся (общий контингент школ) и потребность на 2023 год</t>
  </si>
  <si>
    <t xml:space="preserve">В бюджете на 2023 год </t>
  </si>
  <si>
    <t xml:space="preserve">В бюджет на 2023 год </t>
  </si>
  <si>
    <t>Итого потребность</t>
  </si>
  <si>
    <t>В бюджете после уточнения № 1 на  2023</t>
  </si>
  <si>
    <t>ДП</t>
  </si>
  <si>
    <t>Контингент</t>
  </si>
  <si>
    <t>Потребность</t>
  </si>
  <si>
    <t>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</si>
</sst>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_);_(* \(#,##0.0\);_(* \-??_);_(@_)"/>
    <numFmt numFmtId="172" formatCode="_(* #,##0.000_);_(* \(#,##0.000\);_(* \-??_);_(@_)"/>
    <numFmt numFmtId="173" formatCode="_-* #,##0.0\ _₽_-;\-* #,##0.0\ _₽_-;_-* &quot;-&quot;??\ _₽_-;_-@_-"/>
  </numFmts>
  <fonts count="44" x14ac:knownFonts="1">
    <font>
      <sz val="1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z val="10"/>
      <name val="Arial"/>
      <family val="2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8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4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6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6" fillId="0" borderId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0" fontId="8" fillId="0" borderId="0"/>
    <xf numFmtId="164" fontId="2" fillId="0" borderId="0" applyBorder="0" applyProtection="0"/>
    <xf numFmtId="0" fontId="10" fillId="0" borderId="0"/>
    <xf numFmtId="0" fontId="2" fillId="0" borderId="0"/>
    <xf numFmtId="0" fontId="2" fillId="0" borderId="0"/>
    <xf numFmtId="0" fontId="11" fillId="0" borderId="0">
      <alignment vertical="center"/>
    </xf>
    <xf numFmtId="0" fontId="13" fillId="0" borderId="2">
      <alignment horizontal="left" indent="1"/>
    </xf>
    <xf numFmtId="166" fontId="12" fillId="0" borderId="0" applyFont="0" applyFill="0" applyBorder="0" applyProtection="0">
      <alignment horizontal="right" vertical="center" indent="1"/>
    </xf>
    <xf numFmtId="167" fontId="14" fillId="2" borderId="0" applyFont="0" applyFill="0" applyBorder="0" applyAlignment="0" applyProtection="0">
      <alignment horizontal="right" indent="1"/>
    </xf>
    <xf numFmtId="168" fontId="12" fillId="0" borderId="0" applyFont="0" applyFill="0" applyBorder="0" applyProtection="0">
      <alignment horizontal="right" vertical="center" indent="1"/>
    </xf>
    <xf numFmtId="0" fontId="2" fillId="0" borderId="0"/>
    <xf numFmtId="0" fontId="15" fillId="0" borderId="0" applyFill="0" applyBorder="0">
      <alignment horizontal="center" vertical="center" wrapText="1"/>
    </xf>
    <xf numFmtId="169" fontId="16" fillId="3" borderId="0">
      <alignment horizontal="right" vertical="center" indent="1"/>
    </xf>
    <xf numFmtId="9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89">
    <xf numFmtId="0" fontId="0" fillId="0" borderId="0" xfId="0"/>
    <xf numFmtId="0" fontId="19" fillId="0" borderId="3" xfId="115" applyFont="1" applyFill="1" applyBorder="1" applyAlignment="1">
      <alignment horizontal="left" vertical="center" wrapText="1"/>
    </xf>
    <xf numFmtId="0" fontId="20" fillId="0" borderId="0" xfId="115" applyFont="1" applyFill="1" applyAlignment="1">
      <alignment horizontal="left" wrapText="1"/>
    </xf>
    <xf numFmtId="0" fontId="20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0" fontId="19" fillId="5" borderId="1" xfId="115" applyFont="1" applyFill="1" applyBorder="1" applyAlignment="1">
      <alignment horizontal="left" vertical="center" wrapText="1"/>
    </xf>
    <xf numFmtId="0" fontId="21" fillId="5" borderId="6" xfId="115" applyFont="1" applyFill="1" applyBorder="1" applyAlignment="1">
      <alignment horizontal="left" vertical="center" wrapText="1"/>
    </xf>
    <xf numFmtId="0" fontId="21" fillId="5" borderId="4" xfId="115" applyFont="1" applyFill="1" applyBorder="1" applyAlignment="1">
      <alignment horizontal="left" vertical="center" wrapText="1"/>
    </xf>
    <xf numFmtId="0" fontId="19" fillId="5" borderId="4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7" xfId="115" applyFont="1" applyFill="1" applyBorder="1" applyAlignment="1">
      <alignment horizontal="left" vertical="center" wrapText="1"/>
    </xf>
    <xf numFmtId="0" fontId="21" fillId="0" borderId="1" xfId="115" applyFont="1" applyFill="1" applyBorder="1" applyAlignment="1">
      <alignment horizontal="left" wrapText="1"/>
    </xf>
    <xf numFmtId="0" fontId="25" fillId="0" borderId="4" xfId="115" applyFont="1" applyFill="1" applyBorder="1" applyAlignment="1">
      <alignment horizontal="left" vertical="center" wrapText="1"/>
    </xf>
    <xf numFmtId="0" fontId="21" fillId="5" borderId="1" xfId="115" applyFont="1" applyFill="1" applyBorder="1" applyAlignment="1">
      <alignment horizontal="left" vertical="center" wrapText="1"/>
    </xf>
    <xf numFmtId="0" fontId="26" fillId="5" borderId="0" xfId="115" applyFont="1" applyFill="1" applyAlignment="1">
      <alignment horizontal="left" vertical="center"/>
    </xf>
    <xf numFmtId="0" fontId="24" fillId="0" borderId="0" xfId="115" applyFont="1" applyFill="1" applyBorder="1" applyAlignment="1">
      <alignment horizontal="left" vertical="center" wrapText="1"/>
    </xf>
    <xf numFmtId="0" fontId="21" fillId="0" borderId="7" xfId="115" applyFont="1" applyFill="1" applyBorder="1" applyAlignment="1">
      <alignment horizontal="left" vertical="center" wrapText="1"/>
    </xf>
    <xf numFmtId="0" fontId="26" fillId="0" borderId="0" xfId="115" applyFont="1" applyFill="1" applyAlignment="1">
      <alignment horizontal="left" wrapText="1"/>
    </xf>
    <xf numFmtId="0" fontId="26" fillId="0" borderId="0" xfId="115" applyFont="1" applyFill="1" applyAlignment="1">
      <alignment horizontal="left"/>
    </xf>
    <xf numFmtId="0" fontId="21" fillId="0" borderId="4" xfId="115" applyFont="1" applyFill="1" applyBorder="1" applyAlignment="1">
      <alignment horizontal="left" vertical="center" wrapText="1"/>
    </xf>
    <xf numFmtId="14" fontId="24" fillId="0" borderId="4" xfId="115" applyNumberFormat="1" applyFont="1" applyFill="1" applyBorder="1" applyAlignment="1">
      <alignment horizontal="left" vertical="center" wrapText="1"/>
    </xf>
    <xf numFmtId="0" fontId="24" fillId="7" borderId="4" xfId="115" applyFont="1" applyFill="1" applyBorder="1" applyAlignment="1">
      <alignment horizontal="left" vertical="center" wrapText="1"/>
    </xf>
    <xf numFmtId="0" fontId="24" fillId="6" borderId="4" xfId="115" applyFont="1" applyFill="1" applyBorder="1" applyAlignment="1">
      <alignment horizontal="left" vertical="center" wrapText="1"/>
    </xf>
    <xf numFmtId="0" fontId="21" fillId="6" borderId="1" xfId="115" applyFont="1" applyFill="1" applyBorder="1" applyAlignment="1">
      <alignment horizontal="left" vertical="center" wrapText="1"/>
    </xf>
    <xf numFmtId="14" fontId="21" fillId="0" borderId="4" xfId="115" applyNumberFormat="1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4" fillId="4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6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4" borderId="1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1" fillId="0" borderId="4" xfId="115" applyFont="1" applyFill="1" applyBorder="1" applyAlignment="1">
      <alignment horizontal="left" vertical="center" wrapText="1"/>
    </xf>
    <xf numFmtId="0" fontId="28" fillId="0" borderId="4" xfId="115" applyFont="1" applyFill="1" applyBorder="1" applyAlignment="1">
      <alignment horizontal="left" vertical="center" wrapText="1"/>
    </xf>
    <xf numFmtId="0" fontId="28" fillId="0" borderId="1" xfId="115" applyFont="1" applyFill="1" applyBorder="1" applyAlignment="1">
      <alignment horizontal="left" vertical="center" wrapText="1"/>
    </xf>
    <xf numFmtId="0" fontId="29" fillId="0" borderId="4" xfId="115" applyFont="1" applyFill="1" applyBorder="1" applyAlignment="1">
      <alignment horizontal="left" vertical="center" wrapText="1"/>
    </xf>
    <xf numFmtId="14" fontId="24" fillId="4" borderId="4" xfId="115" applyNumberFormat="1" applyFont="1" applyFill="1" applyBorder="1" applyAlignment="1">
      <alignment horizontal="left" vertical="center" wrapText="1"/>
    </xf>
    <xf numFmtId="0" fontId="24" fillId="5" borderId="4" xfId="115" applyFont="1" applyFill="1" applyBorder="1" applyAlignment="1">
      <alignment horizontal="left" vertical="center" wrapText="1"/>
    </xf>
    <xf numFmtId="0" fontId="31" fillId="2" borderId="4" xfId="3" applyFont="1" applyFill="1" applyBorder="1" applyAlignment="1">
      <alignment horizontal="left" vertical="center" wrapText="1"/>
    </xf>
    <xf numFmtId="0" fontId="31" fillId="2" borderId="0" xfId="113" applyFont="1" applyFill="1"/>
    <xf numFmtId="0" fontId="8" fillId="2" borderId="0" xfId="113" applyFill="1" applyAlignment="1">
      <alignment horizontal="center"/>
    </xf>
    <xf numFmtId="0" fontId="8" fillId="2" borderId="0" xfId="113" applyFill="1" applyAlignment="1">
      <alignment horizontal="left"/>
    </xf>
    <xf numFmtId="0" fontId="8" fillId="2" borderId="0" xfId="113" applyFill="1"/>
    <xf numFmtId="0" fontId="4" fillId="2" borderId="0" xfId="113" applyFont="1" applyFill="1"/>
    <xf numFmtId="0" fontId="4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/>
    </xf>
    <xf numFmtId="0" fontId="3" fillId="2" borderId="4" xfId="113" applyFont="1" applyFill="1" applyBorder="1" applyAlignment="1">
      <alignment horizontal="center" vertical="center" wrapText="1"/>
    </xf>
    <xf numFmtId="0" fontId="3" fillId="2" borderId="0" xfId="113" applyFont="1" applyFill="1"/>
    <xf numFmtId="4" fontId="4" fillId="2" borderId="0" xfId="113" applyNumberFormat="1" applyFont="1" applyFill="1"/>
    <xf numFmtId="0" fontId="4" fillId="2" borderId="4" xfId="3" applyFont="1" applyFill="1" applyBorder="1" applyAlignment="1">
      <alignment horizontal="left" vertical="center" wrapText="1"/>
    </xf>
    <xf numFmtId="0" fontId="4" fillId="2" borderId="4" xfId="113" applyFont="1" applyFill="1" applyBorder="1" applyAlignment="1">
      <alignment horizontal="center" vertical="center" wrapText="1"/>
    </xf>
    <xf numFmtId="0" fontId="5" fillId="2" borderId="4" xfId="113" applyFont="1" applyFill="1" applyBorder="1" applyAlignment="1">
      <alignment horizontal="center" vertical="center" wrapText="1"/>
    </xf>
    <xf numFmtId="0" fontId="4" fillId="2" borderId="6" xfId="113" applyFont="1" applyFill="1" applyBorder="1" applyAlignment="1">
      <alignment horizontal="center"/>
    </xf>
    <xf numFmtId="0" fontId="4" fillId="2" borderId="6" xfId="3" applyFont="1" applyFill="1" applyBorder="1" applyAlignment="1">
      <alignment horizontal="left" vertical="center" wrapText="1"/>
    </xf>
    <xf numFmtId="165" fontId="4" fillId="2" borderId="6" xfId="114" applyNumberFormat="1" applyFont="1" applyFill="1" applyBorder="1" applyAlignment="1" applyProtection="1"/>
    <xf numFmtId="165" fontId="4" fillId="2" borderId="6" xfId="113" applyNumberFormat="1" applyFont="1" applyFill="1" applyBorder="1"/>
    <xf numFmtId="165" fontId="8" fillId="2" borderId="0" xfId="113" applyNumberFormat="1" applyFill="1"/>
    <xf numFmtId="43" fontId="8" fillId="2" borderId="0" xfId="113" applyNumberFormat="1" applyFill="1"/>
    <xf numFmtId="165" fontId="8" fillId="2" borderId="0" xfId="113" applyNumberFormat="1" applyFill="1" applyAlignment="1">
      <alignment horizontal="left"/>
    </xf>
    <xf numFmtId="43" fontId="3" fillId="2" borderId="0" xfId="127" applyFont="1" applyFill="1"/>
    <xf numFmtId="2" fontId="32" fillId="2" borderId="4" xfId="113" applyNumberFormat="1" applyFont="1" applyFill="1" applyBorder="1" applyAlignment="1">
      <alignment horizontal="center" vertical="center" wrapText="1"/>
    </xf>
    <xf numFmtId="0" fontId="32" fillId="2" borderId="4" xfId="113" applyFont="1" applyFill="1" applyBorder="1"/>
    <xf numFmtId="0" fontId="32" fillId="2" borderId="4" xfId="2" applyNumberFormat="1" applyFont="1" applyFill="1" applyBorder="1" applyAlignment="1" applyProtection="1">
      <alignment horizontal="center" vertical="center" wrapText="1"/>
    </xf>
    <xf numFmtId="0" fontId="32" fillId="2" borderId="4" xfId="113" applyFont="1" applyFill="1" applyBorder="1" applyAlignment="1">
      <alignment horizontal="center" vertical="center" wrapText="1"/>
    </xf>
    <xf numFmtId="0" fontId="32" fillId="2" borderId="4" xfId="2" applyNumberFormat="1" applyFont="1" applyFill="1" applyBorder="1" applyAlignment="1" applyProtection="1">
      <alignment vertical="center" wrapText="1"/>
    </xf>
    <xf numFmtId="4" fontId="9" fillId="2" borderId="4" xfId="113" applyNumberFormat="1" applyFont="1" applyFill="1" applyBorder="1" applyAlignment="1">
      <alignment horizontal="center" vertical="center"/>
    </xf>
    <xf numFmtId="4" fontId="4" fillId="2" borderId="4" xfId="113" applyNumberFormat="1" applyFont="1" applyFill="1" applyBorder="1" applyAlignment="1">
      <alignment vertical="center"/>
    </xf>
    <xf numFmtId="4" fontId="4" fillId="2" borderId="4" xfId="114" applyNumberFormat="1" applyFont="1" applyFill="1" applyBorder="1" applyAlignment="1" applyProtection="1">
      <alignment vertical="center"/>
    </xf>
    <xf numFmtId="170" fontId="4" fillId="2" borderId="4" xfId="127" applyNumberFormat="1" applyFont="1" applyFill="1" applyBorder="1" applyAlignment="1">
      <alignment vertical="center"/>
    </xf>
    <xf numFmtId="165" fontId="4" fillId="2" borderId="4" xfId="114" applyNumberFormat="1" applyFont="1" applyFill="1" applyBorder="1" applyAlignment="1" applyProtection="1">
      <alignment vertical="center"/>
    </xf>
    <xf numFmtId="165" fontId="4" fillId="2" borderId="4" xfId="113" applyNumberFormat="1" applyFont="1" applyFill="1" applyBorder="1" applyAlignment="1">
      <alignment vertical="center"/>
    </xf>
    <xf numFmtId="43" fontId="4" fillId="2" borderId="4" xfId="127" applyFont="1" applyFill="1" applyBorder="1" applyAlignment="1">
      <alignment vertical="center"/>
    </xf>
    <xf numFmtId="43" fontId="4" fillId="2" borderId="4" xfId="113" applyNumberFormat="1" applyFont="1" applyFill="1" applyBorder="1" applyAlignment="1">
      <alignment vertical="center"/>
    </xf>
    <xf numFmtId="168" fontId="4" fillId="2" borderId="4" xfId="126" applyNumberFormat="1" applyFont="1" applyFill="1" applyBorder="1" applyAlignment="1">
      <alignment vertical="center"/>
    </xf>
    <xf numFmtId="0" fontId="31" fillId="2" borderId="4" xfId="113" applyFont="1" applyFill="1" applyBorder="1" applyAlignment="1">
      <alignment horizontal="center" vertical="center"/>
    </xf>
    <xf numFmtId="43" fontId="4" fillId="2" borderId="0" xfId="113" applyNumberFormat="1" applyFont="1" applyFill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2" xfId="0" applyFont="1" applyBorder="1" applyAlignment="1">
      <alignment vertical="center" wrapText="1"/>
    </xf>
    <xf numFmtId="0" fontId="36" fillId="0" borderId="12" xfId="0" applyFont="1" applyBorder="1" applyAlignment="1">
      <alignment vertical="center" wrapText="1"/>
    </xf>
    <xf numFmtId="173" fontId="35" fillId="0" borderId="14" xfId="127" applyNumberFormat="1" applyFont="1" applyBorder="1" applyAlignment="1">
      <alignment horizontal="center" vertical="center" wrapText="1"/>
    </xf>
    <xf numFmtId="173" fontId="35" fillId="0" borderId="12" xfId="127" applyNumberFormat="1" applyFont="1" applyBorder="1" applyAlignment="1">
      <alignment horizontal="center" vertical="center" wrapText="1"/>
    </xf>
    <xf numFmtId="173" fontId="37" fillId="0" borderId="12" xfId="127" applyNumberFormat="1" applyFont="1" applyBorder="1" applyAlignment="1">
      <alignment horizontal="center" vertical="center" wrapText="1"/>
    </xf>
    <xf numFmtId="0" fontId="4" fillId="2" borderId="0" xfId="2" applyNumberFormat="1" applyFont="1" applyFill="1" applyBorder="1" applyAlignment="1" applyProtection="1"/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2" fillId="2" borderId="0" xfId="2" applyNumberFormat="1" applyFont="1" applyFill="1" applyBorder="1" applyAlignment="1" applyProtection="1">
      <alignment horizontal="center" vertical="center" wrapText="1"/>
    </xf>
    <xf numFmtId="0" fontId="2" fillId="2" borderId="4" xfId="129" applyFont="1" applyFill="1" applyBorder="1" applyAlignment="1">
      <alignment horizontal="center" vertical="center" wrapText="1"/>
    </xf>
    <xf numFmtId="0" fontId="2" fillId="2" borderId="4" xfId="2" applyNumberFormat="1" applyFont="1" applyFill="1" applyBorder="1" applyAlignment="1" applyProtection="1">
      <alignment vertical="center" wrapText="1"/>
    </xf>
    <xf numFmtId="0" fontId="2" fillId="2" borderId="4" xfId="129" applyFont="1" applyFill="1" applyBorder="1" applyAlignment="1">
      <alignment horizontal="center" vertical="top" wrapText="1"/>
    </xf>
    <xf numFmtId="0" fontId="2" fillId="2" borderId="0" xfId="129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center" wrapText="1"/>
    </xf>
    <xf numFmtId="16" fontId="38" fillId="2" borderId="4" xfId="7" applyNumberFormat="1" applyFont="1" applyFill="1" applyBorder="1" applyAlignment="1">
      <alignment horizontal="center" vertical="center" wrapText="1"/>
    </xf>
    <xf numFmtId="0" fontId="4" fillId="2" borderId="4" xfId="2" applyNumberFormat="1" applyFont="1" applyFill="1" applyBorder="1" applyAlignment="1" applyProtection="1">
      <alignment horizontal="center" vertical="center" wrapText="1"/>
    </xf>
    <xf numFmtId="0" fontId="4" fillId="2" borderId="0" xfId="2" applyNumberFormat="1" applyFont="1" applyFill="1" applyBorder="1" applyAlignment="1" applyProtection="1">
      <alignment horizontal="center" vertical="center" wrapText="1"/>
    </xf>
    <xf numFmtId="4" fontId="39" fillId="2" borderId="4" xfId="2" applyNumberFormat="1" applyFont="1" applyFill="1" applyBorder="1" applyAlignment="1" applyProtection="1">
      <alignment horizontal="center" vertical="center" wrapText="1"/>
    </xf>
    <xf numFmtId="170" fontId="2" fillId="2" borderId="4" xfId="130" applyNumberFormat="1" applyFont="1" applyFill="1" applyBorder="1" applyAlignment="1">
      <alignment vertical="center" wrapText="1"/>
    </xf>
    <xf numFmtId="4" fontId="2" fillId="2" borderId="0" xfId="2" applyNumberFormat="1" applyFont="1" applyFill="1" applyBorder="1" applyAlignment="1">
      <alignment vertical="center" wrapText="1"/>
    </xf>
    <xf numFmtId="0" fontId="41" fillId="2" borderId="4" xfId="2" applyNumberFormat="1" applyFont="1" applyFill="1" applyBorder="1" applyAlignment="1" applyProtection="1">
      <alignment vertical="center" wrapText="1"/>
    </xf>
    <xf numFmtId="165" fontId="2" fillId="2" borderId="4" xfId="2" applyNumberFormat="1" applyFont="1" applyFill="1" applyBorder="1" applyAlignment="1">
      <alignment vertical="center" wrapText="1"/>
    </xf>
    <xf numFmtId="43" fontId="2" fillId="2" borderId="4" xfId="130" applyFont="1" applyFill="1" applyBorder="1" applyAlignment="1">
      <alignment vertical="center" wrapText="1"/>
    </xf>
    <xf numFmtId="165" fontId="2" fillId="2" borderId="0" xfId="2" applyNumberFormat="1" applyFont="1" applyFill="1" applyBorder="1" applyAlignment="1">
      <alignment vertical="center" wrapText="1"/>
    </xf>
    <xf numFmtId="170" fontId="2" fillId="2" borderId="4" xfId="130" applyNumberFormat="1" applyFont="1" applyFill="1" applyBorder="1" applyAlignment="1">
      <alignment horizontal="right" vertical="center" wrapText="1"/>
    </xf>
    <xf numFmtId="0" fontId="5" fillId="2" borderId="4" xfId="132" applyFont="1" applyFill="1" applyBorder="1" applyAlignment="1">
      <alignment vertical="center" wrapText="1"/>
    </xf>
    <xf numFmtId="168" fontId="2" fillId="2" borderId="4" xfId="131" applyNumberFormat="1" applyFont="1" applyFill="1" applyBorder="1" applyAlignment="1">
      <alignment vertical="center" wrapText="1"/>
    </xf>
    <xf numFmtId="0" fontId="42" fillId="2" borderId="4" xfId="2" applyNumberFormat="1" applyFont="1" applyFill="1" applyBorder="1" applyAlignment="1" applyProtection="1">
      <alignment vertical="center" wrapText="1"/>
    </xf>
    <xf numFmtId="0" fontId="2" fillId="2" borderId="0" xfId="2" applyNumberFormat="1" applyFont="1" applyFill="1" applyBorder="1" applyAlignment="1" applyProtection="1"/>
    <xf numFmtId="165" fontId="2" fillId="2" borderId="0" xfId="2" applyNumberFormat="1" applyFont="1" applyFill="1" applyBorder="1" applyAlignment="1" applyProtection="1"/>
    <xf numFmtId="0" fontId="2" fillId="2" borderId="4" xfId="128" applyNumberFormat="1" applyFont="1" applyFill="1" applyBorder="1" applyAlignment="1" applyProtection="1">
      <alignment vertical="center"/>
    </xf>
    <xf numFmtId="170" fontId="2" fillId="2" borderId="0" xfId="130" applyNumberFormat="1" applyFont="1" applyFill="1" applyBorder="1" applyAlignment="1" applyProtection="1"/>
    <xf numFmtId="170" fontId="2" fillId="2" borderId="0" xfId="2" applyNumberFormat="1" applyFont="1" applyFill="1" applyBorder="1" applyAlignment="1" applyProtection="1"/>
    <xf numFmtId="170" fontId="2" fillId="0" borderId="4" xfId="130" applyNumberFormat="1" applyFont="1" applyFill="1" applyBorder="1" applyAlignment="1">
      <alignment vertical="center" wrapText="1"/>
    </xf>
    <xf numFmtId="0" fontId="32" fillId="2" borderId="4" xfId="113" applyFont="1" applyFill="1" applyBorder="1" applyAlignment="1">
      <alignment horizontal="center" vertical="center" wrapText="1"/>
    </xf>
    <xf numFmtId="0" fontId="2" fillId="2" borderId="4" xfId="128" applyNumberFormat="1" applyFont="1" applyFill="1" applyBorder="1" applyAlignment="1" applyProtection="1">
      <alignment horizontal="center" vertical="center"/>
    </xf>
    <xf numFmtId="0" fontId="32" fillId="2" borderId="4" xfId="113" applyFont="1" applyFill="1" applyBorder="1" applyAlignment="1">
      <alignment horizontal="center" vertical="center" wrapText="1"/>
    </xf>
    <xf numFmtId="0" fontId="4" fillId="2" borderId="4" xfId="113" applyFont="1" applyFill="1" applyBorder="1" applyAlignment="1">
      <alignment horizontal="center" vertical="center" wrapText="1"/>
    </xf>
    <xf numFmtId="0" fontId="4" fillId="2" borderId="4" xfId="113" applyFont="1" applyFill="1" applyBorder="1" applyAlignment="1">
      <alignment horizontal="center" vertical="center"/>
    </xf>
    <xf numFmtId="4" fontId="4" fillId="2" borderId="4" xfId="113" applyNumberFormat="1" applyFont="1" applyFill="1" applyBorder="1"/>
    <xf numFmtId="173" fontId="4" fillId="2" borderId="4" xfId="127" applyNumberFormat="1" applyFont="1" applyFill="1" applyBorder="1"/>
    <xf numFmtId="0" fontId="32" fillId="2" borderId="4" xfId="113" applyFont="1" applyFill="1" applyBorder="1" applyAlignment="1">
      <alignment vertical="center" wrapText="1"/>
    </xf>
    <xf numFmtId="173" fontId="2" fillId="2" borderId="4" xfId="127" applyNumberFormat="1" applyFont="1" applyFill="1" applyBorder="1" applyAlignment="1">
      <alignment vertical="center" wrapText="1"/>
    </xf>
    <xf numFmtId="0" fontId="4" fillId="2" borderId="4" xfId="113" applyFont="1" applyFill="1" applyBorder="1" applyAlignment="1">
      <alignment vertical="center" wrapText="1"/>
    </xf>
    <xf numFmtId="0" fontId="4" fillId="2" borderId="4" xfId="113" applyFont="1" applyFill="1" applyBorder="1" applyAlignment="1">
      <alignment horizontal="center" vertical="center"/>
    </xf>
    <xf numFmtId="165" fontId="4" fillId="0" borderId="4" xfId="114" applyNumberFormat="1" applyFont="1" applyFill="1" applyBorder="1" applyAlignment="1" applyProtection="1">
      <alignment vertical="center"/>
    </xf>
    <xf numFmtId="0" fontId="31" fillId="0" borderId="4" xfId="113" applyFont="1" applyFill="1" applyBorder="1"/>
    <xf numFmtId="0" fontId="31" fillId="0" borderId="4" xfId="113" applyFont="1" applyFill="1" applyBorder="1" applyAlignment="1">
      <alignment vertical="center"/>
    </xf>
    <xf numFmtId="165" fontId="31" fillId="0" borderId="4" xfId="113" applyNumberFormat="1" applyFont="1" applyFill="1" applyBorder="1" applyAlignment="1">
      <alignment vertical="center"/>
    </xf>
    <xf numFmtId="170" fontId="31" fillId="0" borderId="4" xfId="127" applyNumberFormat="1" applyFont="1" applyFill="1" applyBorder="1" applyAlignment="1">
      <alignment vertical="center"/>
    </xf>
    <xf numFmtId="165" fontId="31" fillId="0" borderId="4" xfId="114" applyNumberFormat="1" applyFont="1" applyFill="1" applyBorder="1" applyAlignment="1" applyProtection="1">
      <alignment vertical="center"/>
    </xf>
    <xf numFmtId="0" fontId="4" fillId="0" borderId="4" xfId="113" applyFont="1" applyFill="1" applyBorder="1"/>
    <xf numFmtId="43" fontId="4" fillId="0" borderId="4" xfId="113" applyNumberFormat="1" applyFont="1" applyFill="1" applyBorder="1" applyAlignment="1">
      <alignment vertical="center"/>
    </xf>
    <xf numFmtId="0" fontId="4" fillId="0" borderId="4" xfId="113" applyFont="1" applyFill="1" applyBorder="1" applyAlignment="1">
      <alignment vertical="center"/>
    </xf>
    <xf numFmtId="170" fontId="4" fillId="0" borderId="4" xfId="127" applyNumberFormat="1" applyFont="1" applyFill="1" applyBorder="1" applyAlignment="1">
      <alignment vertical="center"/>
    </xf>
    <xf numFmtId="43" fontId="4" fillId="0" borderId="4" xfId="127" applyFont="1" applyFill="1" applyBorder="1" applyAlignment="1">
      <alignment vertical="center"/>
    </xf>
    <xf numFmtId="165" fontId="4" fillId="0" borderId="4" xfId="113" applyNumberFormat="1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43" fontId="31" fillId="0" borderId="4" xfId="127" applyFont="1" applyFill="1" applyBorder="1" applyAlignment="1">
      <alignment vertical="center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4" fillId="0" borderId="4" xfId="3" applyFont="1" applyFill="1" applyBorder="1" applyAlignment="1">
      <alignment horizontal="left" vertical="center" wrapText="1"/>
    </xf>
    <xf numFmtId="165" fontId="4" fillId="0" borderId="4" xfId="114" applyNumberFormat="1" applyFont="1" applyFill="1" applyBorder="1" applyAlignment="1" applyProtection="1">
      <alignment vertical="center" wrapText="1"/>
    </xf>
    <xf numFmtId="165" fontId="4" fillId="0" borderId="4" xfId="114" applyNumberFormat="1" applyFont="1" applyFill="1" applyBorder="1" applyAlignment="1" applyProtection="1">
      <alignment vertical="center"/>
    </xf>
    <xf numFmtId="0" fontId="2" fillId="8" borderId="0" xfId="113" applyFont="1" applyFill="1" applyAlignment="1">
      <alignment horizontal="center"/>
    </xf>
    <xf numFmtId="0" fontId="4" fillId="9" borderId="4" xfId="113" applyFont="1" applyFill="1" applyBorder="1" applyAlignment="1">
      <alignment horizontal="center" vertical="center"/>
    </xf>
    <xf numFmtId="4" fontId="5" fillId="9" borderId="4" xfId="113" applyNumberFormat="1" applyFont="1" applyFill="1" applyBorder="1" applyAlignment="1">
      <alignment horizontal="center" vertical="center"/>
    </xf>
    <xf numFmtId="0" fontId="4" fillId="9" borderId="4" xfId="3" applyFont="1" applyFill="1" applyBorder="1" applyAlignment="1">
      <alignment horizontal="left" vertical="center" wrapText="1"/>
    </xf>
    <xf numFmtId="165" fontId="4" fillId="9" borderId="4" xfId="114" applyNumberFormat="1" applyFont="1" applyFill="1" applyBorder="1" applyAlignment="1" applyProtection="1">
      <alignment vertical="center"/>
    </xf>
    <xf numFmtId="43" fontId="4" fillId="9" borderId="4" xfId="127" applyFont="1" applyFill="1" applyBorder="1" applyAlignment="1">
      <alignment vertical="center"/>
    </xf>
    <xf numFmtId="170" fontId="4" fillId="9" borderId="4" xfId="127" applyNumberFormat="1" applyFont="1" applyFill="1" applyBorder="1" applyAlignment="1">
      <alignment vertical="center"/>
    </xf>
    <xf numFmtId="165" fontId="4" fillId="9" borderId="4" xfId="113" applyNumberFormat="1" applyFont="1" applyFill="1" applyBorder="1" applyAlignment="1">
      <alignment vertical="center"/>
    </xf>
    <xf numFmtId="43" fontId="4" fillId="9" borderId="4" xfId="113" applyNumberFormat="1" applyFont="1" applyFill="1" applyBorder="1" applyAlignment="1">
      <alignment vertical="center"/>
    </xf>
    <xf numFmtId="168" fontId="4" fillId="9" borderId="4" xfId="126" applyNumberFormat="1" applyFont="1" applyFill="1" applyBorder="1" applyAlignment="1">
      <alignment vertical="center"/>
    </xf>
    <xf numFmtId="173" fontId="4" fillId="9" borderId="4" xfId="127" applyNumberFormat="1" applyFont="1" applyFill="1" applyBorder="1"/>
    <xf numFmtId="43" fontId="4" fillId="9" borderId="0" xfId="113" applyNumberFormat="1" applyFont="1" applyFill="1"/>
    <xf numFmtId="0" fontId="4" fillId="9" borderId="0" xfId="113" applyFont="1" applyFill="1"/>
    <xf numFmtId="0" fontId="5" fillId="9" borderId="4" xfId="113" applyFont="1" applyFill="1" applyBorder="1" applyAlignment="1">
      <alignment horizontal="center" vertical="center" wrapText="1"/>
    </xf>
    <xf numFmtId="0" fontId="5" fillId="9" borderId="4" xfId="113" applyFont="1" applyFill="1" applyBorder="1" applyAlignment="1">
      <alignment horizontal="center" vertical="center"/>
    </xf>
    <xf numFmtId="165" fontId="4" fillId="9" borderId="4" xfId="114" applyNumberFormat="1" applyFont="1" applyFill="1" applyBorder="1" applyAlignment="1" applyProtection="1">
      <alignment vertical="center" wrapText="1"/>
    </xf>
    <xf numFmtId="0" fontId="2" fillId="9" borderId="4" xfId="2" applyNumberFormat="1" applyFont="1" applyFill="1" applyBorder="1" applyAlignment="1" applyProtection="1">
      <alignment horizontal="center" vertical="center" wrapText="1"/>
    </xf>
    <xf numFmtId="4" fontId="42" fillId="9" borderId="4" xfId="2" applyNumberFormat="1" applyFont="1" applyFill="1" applyBorder="1" applyAlignment="1" applyProtection="1">
      <alignment vertical="center" wrapText="1"/>
    </xf>
    <xf numFmtId="0" fontId="41" fillId="9" borderId="4" xfId="2" applyNumberFormat="1" applyFont="1" applyFill="1" applyBorder="1" applyAlignment="1" applyProtection="1">
      <alignment vertical="center" wrapText="1"/>
    </xf>
    <xf numFmtId="170" fontId="2" fillId="9" borderId="4" xfId="130" applyNumberFormat="1" applyFont="1" applyFill="1" applyBorder="1" applyAlignment="1">
      <alignment horizontal="right" vertical="center" wrapText="1"/>
    </xf>
    <xf numFmtId="0" fontId="5" fillId="9" borderId="4" xfId="132" applyFont="1" applyFill="1" applyBorder="1" applyAlignment="1">
      <alignment vertical="center" wrapText="1"/>
    </xf>
    <xf numFmtId="165" fontId="2" fillId="9" borderId="4" xfId="2" applyNumberFormat="1" applyFont="1" applyFill="1" applyBorder="1" applyAlignment="1">
      <alignment vertical="center" wrapText="1"/>
    </xf>
    <xf numFmtId="170" fontId="2" fillId="9" borderId="4" xfId="130" applyNumberFormat="1" applyFont="1" applyFill="1" applyBorder="1" applyAlignment="1">
      <alignment vertical="center" wrapText="1"/>
    </xf>
    <xf numFmtId="43" fontId="2" fillId="9" borderId="4" xfId="130" applyFont="1" applyFill="1" applyBorder="1" applyAlignment="1">
      <alignment vertical="center" wrapText="1"/>
    </xf>
    <xf numFmtId="168" fontId="2" fillId="9" borderId="4" xfId="131" applyNumberFormat="1" applyFont="1" applyFill="1" applyBorder="1" applyAlignment="1">
      <alignment vertical="center" wrapText="1"/>
    </xf>
    <xf numFmtId="173" fontId="2" fillId="9" borderId="4" xfId="127" applyNumberFormat="1" applyFont="1" applyFill="1" applyBorder="1" applyAlignment="1">
      <alignment vertical="center" wrapText="1"/>
    </xf>
    <xf numFmtId="165" fontId="2" fillId="9" borderId="0" xfId="2" applyNumberFormat="1" applyFont="1" applyFill="1" applyBorder="1" applyAlignment="1">
      <alignment vertical="center" wrapText="1"/>
    </xf>
    <xf numFmtId="0" fontId="42" fillId="9" borderId="4" xfId="2" applyNumberFormat="1" applyFont="1" applyFill="1" applyBorder="1" applyAlignment="1" applyProtection="1">
      <alignment vertical="center" wrapText="1"/>
    </xf>
    <xf numFmtId="0" fontId="2" fillId="9" borderId="4" xfId="2" applyNumberFormat="1" applyFont="1" applyFill="1" applyBorder="1" applyAlignment="1" applyProtection="1">
      <alignment vertical="center" wrapText="1"/>
    </xf>
    <xf numFmtId="170" fontId="40" fillId="9" borderId="4" xfId="130" applyNumberFormat="1" applyFont="1" applyFill="1" applyBorder="1" applyAlignment="1" applyProtection="1">
      <alignment horizontal="right" vertical="center" wrapText="1"/>
    </xf>
    <xf numFmtId="170" fontId="40" fillId="4" borderId="4" xfId="130" applyNumberFormat="1" applyFont="1" applyFill="1" applyBorder="1" applyAlignment="1" applyProtection="1">
      <alignment horizontal="right" vertical="center" wrapText="1"/>
    </xf>
    <xf numFmtId="170" fontId="2" fillId="4" borderId="4" xfId="130" applyNumberFormat="1" applyFont="1" applyFill="1" applyBorder="1" applyAlignment="1">
      <alignment horizontal="right" vertical="center" wrapText="1"/>
    </xf>
    <xf numFmtId="170" fontId="40" fillId="0" borderId="4" xfId="130" applyNumberFormat="1" applyFont="1" applyFill="1" applyBorder="1" applyAlignment="1" applyProtection="1">
      <alignment horizontal="right" vertical="center" wrapText="1"/>
    </xf>
    <xf numFmtId="170" fontId="2" fillId="0" borderId="4" xfId="130" applyNumberFormat="1" applyFont="1" applyFill="1" applyBorder="1" applyAlignment="1">
      <alignment horizontal="right" vertical="center" wrapText="1"/>
    </xf>
    <xf numFmtId="170" fontId="2" fillId="0" borderId="4" xfId="130" applyNumberFormat="1" applyFont="1" applyFill="1" applyBorder="1" applyAlignment="1" applyProtection="1">
      <alignment horizontal="center" vertical="center" wrapText="1"/>
    </xf>
    <xf numFmtId="170" fontId="2" fillId="0" borderId="4" xfId="130" applyNumberFormat="1" applyFont="1" applyFill="1" applyBorder="1" applyAlignment="1">
      <alignment horizontal="center" vertical="center" wrapText="1"/>
    </xf>
    <xf numFmtId="170" fontId="39" fillId="0" borderId="4" xfId="130" applyNumberFormat="1" applyFont="1" applyFill="1" applyBorder="1" applyAlignment="1">
      <alignment horizontal="center" vertical="center" wrapText="1"/>
    </xf>
    <xf numFmtId="4" fontId="2" fillId="0" borderId="4" xfId="2" applyNumberFormat="1" applyFont="1" applyFill="1" applyBorder="1" applyAlignment="1">
      <alignment vertical="center" wrapText="1"/>
    </xf>
    <xf numFmtId="10" fontId="2" fillId="0" borderId="4" xfId="131" applyNumberFormat="1" applyFont="1" applyFill="1" applyBorder="1" applyAlignment="1">
      <alignment vertical="center" wrapText="1"/>
    </xf>
    <xf numFmtId="165" fontId="2" fillId="0" borderId="4" xfId="2" applyNumberFormat="1" applyFont="1" applyFill="1" applyBorder="1" applyAlignment="1">
      <alignment vertical="center" wrapText="1"/>
    </xf>
    <xf numFmtId="43" fontId="2" fillId="0" borderId="4" xfId="130" applyFont="1" applyFill="1" applyBorder="1" applyAlignment="1">
      <alignment vertical="center" wrapText="1"/>
    </xf>
    <xf numFmtId="0" fontId="32" fillId="0" borderId="4" xfId="113" applyFont="1" applyFill="1" applyBorder="1" applyAlignment="1">
      <alignment vertical="center" wrapText="1"/>
    </xf>
    <xf numFmtId="0" fontId="4" fillId="0" borderId="4" xfId="113" applyFont="1" applyFill="1" applyBorder="1" applyAlignment="1">
      <alignment vertical="center" wrapText="1"/>
    </xf>
    <xf numFmtId="0" fontId="4" fillId="6" borderId="4" xfId="2" applyNumberFormat="1" applyFont="1" applyFill="1" applyBorder="1" applyAlignment="1" applyProtection="1">
      <alignment horizontal="center" vertical="center" wrapText="1"/>
    </xf>
    <xf numFmtId="170" fontId="40" fillId="0" borderId="4" xfId="130" applyNumberFormat="1" applyFont="1" applyFill="1" applyBorder="1" applyAlignment="1" applyProtection="1">
      <alignment vertical="center" wrapText="1"/>
    </xf>
    <xf numFmtId="1" fontId="2" fillId="2" borderId="0" xfId="2" applyNumberFormat="1" applyFont="1" applyFill="1" applyBorder="1" applyAlignment="1" applyProtection="1"/>
    <xf numFmtId="165" fontId="2" fillId="0" borderId="4" xfId="2" applyNumberFormat="1" applyFont="1" applyFill="1" applyBorder="1" applyAlignment="1">
      <alignment vertical="center" wrapText="1"/>
    </xf>
    <xf numFmtId="3" fontId="2" fillId="0" borderId="4" xfId="2" applyNumberFormat="1" applyFont="1" applyFill="1" applyBorder="1" applyAlignment="1">
      <alignment horizontal="right" vertical="center" wrapText="1"/>
    </xf>
    <xf numFmtId="43" fontId="2" fillId="0" borderId="4" xfId="130" applyFont="1" applyFill="1" applyBorder="1" applyAlignment="1">
      <alignment vertical="center" wrapText="1"/>
    </xf>
    <xf numFmtId="170" fontId="2" fillId="0" borderId="4" xfId="130" applyNumberFormat="1" applyFont="1" applyFill="1" applyBorder="1" applyAlignment="1">
      <alignment vertical="center" wrapText="1"/>
    </xf>
    <xf numFmtId="170" fontId="40" fillId="0" borderId="4" xfId="130" applyNumberFormat="1" applyFont="1" applyFill="1" applyBorder="1" applyAlignment="1" applyProtection="1">
      <alignment horizontal="right" vertical="center" wrapText="1"/>
    </xf>
    <xf numFmtId="170" fontId="2" fillId="0" borderId="4" xfId="130" applyNumberFormat="1" applyFont="1" applyFill="1" applyBorder="1" applyAlignment="1">
      <alignment vertical="center" wrapText="1"/>
    </xf>
    <xf numFmtId="170" fontId="2" fillId="0" borderId="4" xfId="130" applyNumberFormat="1" applyFont="1" applyFill="1" applyBorder="1" applyAlignment="1">
      <alignment horizontal="right" vertical="center" wrapText="1"/>
    </xf>
    <xf numFmtId="170" fontId="42" fillId="0" borderId="4" xfId="130" applyNumberFormat="1" applyFont="1" applyFill="1" applyBorder="1" applyAlignment="1">
      <alignment horizontal="right" vertical="center" wrapText="1"/>
    </xf>
    <xf numFmtId="170" fontId="4" fillId="4" borderId="4" xfId="127" applyNumberFormat="1" applyFont="1" applyFill="1" applyBorder="1" applyAlignment="1">
      <alignment vertical="center"/>
    </xf>
    <xf numFmtId="0" fontId="42" fillId="2" borderId="0" xfId="113" applyFont="1" applyFill="1"/>
    <xf numFmtId="4" fontId="5" fillId="2" borderId="4" xfId="113" applyNumberFormat="1" applyFont="1" applyFill="1" applyBorder="1" applyAlignment="1">
      <alignment vertical="center"/>
    </xf>
    <xf numFmtId="170" fontId="5" fillId="0" borderId="4" xfId="127" applyNumberFormat="1" applyFont="1" applyFill="1" applyBorder="1" applyAlignment="1">
      <alignment vertical="center"/>
    </xf>
    <xf numFmtId="170" fontId="5" fillId="9" borderId="4" xfId="127" applyNumberFormat="1" applyFont="1" applyFill="1" applyBorder="1" applyAlignment="1">
      <alignment vertical="center"/>
    </xf>
    <xf numFmtId="170" fontId="43" fillId="0" borderId="4" xfId="127" applyNumberFormat="1" applyFont="1" applyFill="1" applyBorder="1" applyAlignment="1">
      <alignment vertical="center"/>
    </xf>
    <xf numFmtId="170" fontId="5" fillId="2" borderId="4" xfId="127" applyNumberFormat="1" applyFont="1" applyFill="1" applyBorder="1" applyAlignment="1">
      <alignment vertical="center"/>
    </xf>
    <xf numFmtId="43" fontId="5" fillId="2" borderId="0" xfId="127" applyFont="1" applyFill="1"/>
    <xf numFmtId="0" fontId="5" fillId="2" borderId="0" xfId="2" applyNumberFormat="1" applyFont="1" applyFill="1" applyBorder="1" applyAlignment="1" applyProtection="1"/>
    <xf numFmtId="4" fontId="42" fillId="0" borderId="4" xfId="2" applyNumberFormat="1" applyFont="1" applyFill="1" applyBorder="1" applyAlignment="1">
      <alignment vertical="center" wrapText="1"/>
    </xf>
    <xf numFmtId="170" fontId="42" fillId="0" borderId="4" xfId="130" applyNumberFormat="1" applyFont="1" applyFill="1" applyBorder="1" applyAlignment="1">
      <alignment vertical="center" wrapText="1"/>
    </xf>
    <xf numFmtId="170" fontId="42" fillId="9" borderId="4" xfId="130" applyNumberFormat="1" applyFont="1" applyFill="1" applyBorder="1" applyAlignment="1">
      <alignment vertical="center" wrapText="1"/>
    </xf>
    <xf numFmtId="170" fontId="42" fillId="2" borderId="4" xfId="130" applyNumberFormat="1" applyFont="1" applyFill="1" applyBorder="1" applyAlignment="1">
      <alignment vertical="center" wrapText="1"/>
    </xf>
    <xf numFmtId="170" fontId="42" fillId="2" borderId="0" xfId="2" applyNumberFormat="1" applyFont="1" applyFill="1" applyBorder="1" applyAlignment="1" applyProtection="1"/>
    <xf numFmtId="0" fontId="42" fillId="2" borderId="0" xfId="2" applyNumberFormat="1" applyFont="1" applyFill="1" applyBorder="1" applyAlignment="1" applyProtection="1"/>
    <xf numFmtId="43" fontId="42" fillId="2" borderId="0" xfId="113" applyNumberFormat="1" applyFont="1" applyFill="1"/>
    <xf numFmtId="0" fontId="2" fillId="2" borderId="0" xfId="113" applyFont="1" applyFill="1"/>
    <xf numFmtId="165" fontId="8" fillId="4" borderId="0" xfId="113" applyNumberFormat="1" applyFill="1"/>
    <xf numFmtId="0" fontId="2" fillId="4" borderId="0" xfId="113" applyFont="1" applyFill="1"/>
    <xf numFmtId="43" fontId="8" fillId="4" borderId="0" xfId="127" applyFont="1" applyFill="1"/>
    <xf numFmtId="165" fontId="42" fillId="4" borderId="0" xfId="113" applyNumberFormat="1" applyFont="1" applyFill="1"/>
    <xf numFmtId="0" fontId="42" fillId="4" borderId="0" xfId="113" applyFont="1" applyFill="1"/>
    <xf numFmtId="0" fontId="8" fillId="4" borderId="0" xfId="113" applyFill="1"/>
    <xf numFmtId="170" fontId="8" fillId="4" borderId="0" xfId="113" applyNumberFormat="1" applyFill="1"/>
    <xf numFmtId="170" fontId="42" fillId="4" borderId="0" xfId="113" applyNumberFormat="1" applyFont="1" applyFill="1"/>
    <xf numFmtId="170" fontId="2" fillId="4" borderId="4" xfId="130" applyNumberFormat="1" applyFont="1" applyFill="1" applyBorder="1" applyAlignment="1">
      <alignment vertical="center" wrapText="1"/>
    </xf>
    <xf numFmtId="43" fontId="4" fillId="2" borderId="0" xfId="127" applyFont="1" applyFill="1"/>
    <xf numFmtId="4" fontId="4" fillId="4" borderId="4" xfId="114" applyNumberFormat="1" applyFont="1" applyFill="1" applyBorder="1" applyAlignment="1" applyProtection="1">
      <alignment vertical="center"/>
    </xf>
    <xf numFmtId="170" fontId="2" fillId="4" borderId="4" xfId="130" applyNumberFormat="1" applyFont="1" applyFill="1" applyBorder="1" applyAlignment="1" applyProtection="1">
      <alignment horizontal="center" vertical="center" wrapText="1"/>
    </xf>
    <xf numFmtId="170" fontId="42" fillId="2" borderId="0" xfId="113" applyNumberFormat="1" applyFont="1" applyFill="1"/>
    <xf numFmtId="170" fontId="8" fillId="2" borderId="0" xfId="127" applyNumberFormat="1" applyFont="1" applyFill="1"/>
    <xf numFmtId="0" fontId="7" fillId="2" borderId="0" xfId="113" applyFont="1" applyFill="1" applyBorder="1" applyAlignment="1">
      <alignment horizontal="center" vertical="center" wrapText="1"/>
    </xf>
    <xf numFmtId="0" fontId="32" fillId="2" borderId="4" xfId="2" applyNumberFormat="1" applyFont="1" applyFill="1" applyBorder="1" applyAlignment="1" applyProtection="1">
      <alignment horizontal="center" vertical="center" wrapText="1"/>
    </xf>
    <xf numFmtId="0" fontId="32" fillId="4" borderId="4" xfId="2" applyNumberFormat="1" applyFont="1" applyFill="1" applyBorder="1" applyAlignment="1" applyProtection="1">
      <alignment horizontal="center" vertical="center" wrapText="1"/>
    </xf>
    <xf numFmtId="0" fontId="32" fillId="2" borderId="4" xfId="113" applyFont="1" applyFill="1" applyBorder="1" applyAlignment="1">
      <alignment horizontal="center" vertical="center" wrapText="1"/>
    </xf>
    <xf numFmtId="0" fontId="32" fillId="0" borderId="4" xfId="113" applyFont="1" applyFill="1" applyBorder="1" applyAlignment="1">
      <alignment horizontal="center" vertical="center" wrapText="1"/>
    </xf>
    <xf numFmtId="0" fontId="4" fillId="2" borderId="4" xfId="113" applyFont="1" applyFill="1" applyBorder="1" applyAlignment="1">
      <alignment horizontal="center" vertical="center"/>
    </xf>
    <xf numFmtId="0" fontId="4" fillId="2" borderId="4" xfId="113" applyFont="1" applyFill="1" applyBorder="1" applyAlignment="1">
      <alignment horizontal="center" vertical="center" wrapText="1"/>
    </xf>
    <xf numFmtId="171" fontId="2" fillId="2" borderId="4" xfId="128" applyNumberFormat="1" applyFont="1" applyFill="1" applyBorder="1" applyAlignment="1">
      <alignment horizontal="center" vertical="center" wrapText="1"/>
    </xf>
    <xf numFmtId="172" fontId="2" fillId="2" borderId="4" xfId="128" applyNumberFormat="1" applyFont="1" applyFill="1" applyBorder="1" applyAlignment="1">
      <alignment horizontal="center" vertical="center" wrapText="1"/>
    </xf>
    <xf numFmtId="0" fontId="2" fillId="2" borderId="4" xfId="128" applyNumberFormat="1" applyFont="1" applyFill="1" applyBorder="1" applyAlignment="1" applyProtection="1">
      <alignment horizontal="center" vertical="center"/>
    </xf>
    <xf numFmtId="0" fontId="32" fillId="2" borderId="4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/>
    <xf numFmtId="0" fontId="33" fillId="6" borderId="5" xfId="2" applyNumberFormat="1" applyFont="1" applyFill="1" applyBorder="1" applyAlignment="1" applyProtection="1">
      <alignment horizontal="center" vertical="center" wrapText="1"/>
    </xf>
    <xf numFmtId="0" fontId="33" fillId="6" borderId="8" xfId="2" applyNumberFormat="1" applyFont="1" applyFill="1" applyBorder="1" applyAlignment="1" applyProtection="1">
      <alignment horizontal="center" vertical="center" wrapText="1"/>
    </xf>
    <xf numFmtId="0" fontId="33" fillId="6" borderId="6" xfId="2" applyNumberFormat="1" applyFont="1" applyFill="1" applyBorder="1" applyAlignment="1" applyProtection="1">
      <alignment horizontal="center" vertical="center" wrapText="1"/>
    </xf>
    <xf numFmtId="0" fontId="33" fillId="2" borderId="4" xfId="113" applyFont="1" applyFill="1" applyBorder="1" applyAlignment="1">
      <alignment horizontal="center"/>
    </xf>
    <xf numFmtId="0" fontId="32" fillId="2" borderId="4" xfId="0" applyFont="1" applyFill="1" applyBorder="1" applyAlignment="1">
      <alignment horizontal="center"/>
    </xf>
    <xf numFmtId="0" fontId="32" fillId="2" borderId="4" xfId="113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21" fillId="0" borderId="4" xfId="115" applyFont="1" applyFill="1" applyBorder="1" applyAlignment="1">
      <alignment horizontal="left" vertical="center" wrapText="1"/>
    </xf>
    <xf numFmtId="0" fontId="21" fillId="0" borderId="5" xfId="115" applyFont="1" applyFill="1" applyBorder="1" applyAlignment="1">
      <alignment horizontal="left" vertical="center" wrapText="1"/>
    </xf>
    <xf numFmtId="0" fontId="21" fillId="0" borderId="6" xfId="115" applyFont="1" applyFill="1" applyBorder="1" applyAlignment="1">
      <alignment horizontal="left" vertical="center" wrapText="1"/>
    </xf>
    <xf numFmtId="0" fontId="7" fillId="2" borderId="0" xfId="2" applyNumberFormat="1" applyFont="1" applyFill="1" applyBorder="1" applyAlignment="1" applyProtection="1">
      <alignment horizontal="center" vertical="center" wrapText="1"/>
    </xf>
    <xf numFmtId="0" fontId="2" fillId="2" borderId="0" xfId="2" applyNumberFormat="1" applyFont="1" applyFill="1" applyBorder="1" applyAlignment="1" applyProtection="1">
      <alignment horizontal="center" vertical="center" wrapText="1"/>
    </xf>
    <xf numFmtId="0" fontId="2" fillId="2" borderId="4" xfId="2" applyNumberFormat="1" applyFont="1" applyFill="1" applyBorder="1" applyAlignment="1" applyProtection="1">
      <alignment horizontal="center" vertical="center" wrapText="1"/>
    </xf>
    <xf numFmtId="0" fontId="38" fillId="2" borderId="4" xfId="2" applyNumberFormat="1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4" xfId="2" applyNumberFormat="1" applyFont="1" applyFill="1" applyBorder="1" applyAlignment="1" applyProtection="1">
      <alignment horizontal="center" vertical="center" wrapText="1"/>
    </xf>
    <xf numFmtId="0" fontId="2" fillId="2" borderId="4" xfId="129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16" fontId="38" fillId="2" borderId="4" xfId="7" applyNumberFormat="1" applyFont="1" applyFill="1" applyBorder="1" applyAlignment="1">
      <alignment horizontal="center" vertical="center" wrapText="1"/>
    </xf>
    <xf numFmtId="16" fontId="38" fillId="2" borderId="4" xfId="117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 applyProtection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42" fillId="6" borderId="5" xfId="2" applyNumberFormat="1" applyFont="1" applyFill="1" applyBorder="1" applyAlignment="1" applyProtection="1">
      <alignment horizontal="center" vertical="center" wrapText="1"/>
    </xf>
    <xf numFmtId="0" fontId="42" fillId="6" borderId="8" xfId="2" applyNumberFormat="1" applyFont="1" applyFill="1" applyBorder="1" applyAlignment="1" applyProtection="1">
      <alignment horizontal="center" vertical="center" wrapText="1"/>
    </xf>
    <xf numFmtId="0" fontId="42" fillId="6" borderId="6" xfId="2" applyNumberFormat="1" applyFont="1" applyFill="1" applyBorder="1" applyAlignment="1" applyProtection="1">
      <alignment horizontal="center" vertical="center" wrapText="1"/>
    </xf>
    <xf numFmtId="0" fontId="2" fillId="4" borderId="1" xfId="2" applyNumberFormat="1" applyFont="1" applyFill="1" applyBorder="1" applyAlignment="1" applyProtection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172" fontId="2" fillId="2" borderId="1" xfId="128" applyNumberFormat="1" applyFont="1" applyFill="1" applyBorder="1" applyAlignment="1">
      <alignment horizontal="center" vertical="center" wrapText="1"/>
    </xf>
    <xf numFmtId="172" fontId="2" fillId="2" borderId="16" xfId="128" applyNumberFormat="1" applyFont="1" applyFill="1" applyBorder="1" applyAlignment="1">
      <alignment horizontal="center" vertical="center" wrapText="1"/>
    </xf>
    <xf numFmtId="0" fontId="2" fillId="2" borderId="1" xfId="128" applyNumberFormat="1" applyFont="1" applyFill="1" applyBorder="1" applyAlignment="1" applyProtection="1">
      <alignment horizontal="center" vertical="center"/>
    </xf>
    <xf numFmtId="0" fontId="2" fillId="2" borderId="15" xfId="128" applyNumberFormat="1" applyFont="1" applyFill="1" applyBorder="1" applyAlignment="1" applyProtection="1">
      <alignment horizontal="center" vertical="center"/>
    </xf>
    <xf numFmtId="0" fontId="2" fillId="2" borderId="16" xfId="128" applyNumberFormat="1" applyFont="1" applyFill="1" applyBorder="1" applyAlignment="1" applyProtection="1">
      <alignment horizontal="center" vertical="center"/>
    </xf>
    <xf numFmtId="171" fontId="2" fillId="2" borderId="1" xfId="128" applyNumberFormat="1" applyFont="1" applyFill="1" applyBorder="1" applyAlignment="1">
      <alignment horizontal="center" vertical="center" wrapText="1"/>
    </xf>
    <xf numFmtId="171" fontId="2" fillId="2" borderId="16" xfId="128" applyNumberFormat="1" applyFont="1" applyFill="1" applyBorder="1" applyAlignment="1">
      <alignment horizontal="center" vertical="center" wrapText="1"/>
    </xf>
  </cellXfs>
  <cellStyles count="134">
    <cellStyle name="Заголовок 1 2" xfId="119"/>
    <cellStyle name="Обычный" xfId="0" builtinId="0"/>
    <cellStyle name="Обычный 12" xfId="123"/>
    <cellStyle name="Обычный 12 2" xfId="128"/>
    <cellStyle name="Обычный 13" xfId="1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2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9" xfId="118"/>
    <cellStyle name="Обычный_Расчет по заработной плате 01.09" xfId="129"/>
    <cellStyle name="Процентный" xfId="126" builtinId="5"/>
    <cellStyle name="Процентный 10" xfId="133"/>
    <cellStyle name="Процентный 2" xfId="17"/>
    <cellStyle name="Процентный 2 2" xfId="18"/>
    <cellStyle name="Процентный 2 2 2" xfId="19"/>
    <cellStyle name="Процентный 2 2_Школы" xfId="20"/>
    <cellStyle name="Процентный 2 3" xfId="21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_Школы" xfId="27"/>
    <cellStyle name="Процентный 3 2 3" xfId="28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_Школы" xfId="33"/>
    <cellStyle name="Процентный 3 3 3" xfId="34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_Школы" xfId="39"/>
    <cellStyle name="Процентный 3 4 3" xfId="40"/>
    <cellStyle name="Процентный 3 4_Школы" xfId="41"/>
    <cellStyle name="Процентный 3 5" xfId="42"/>
    <cellStyle name="Процентный 3 5 2" xfId="43"/>
    <cellStyle name="Процентный 3 5_Школы" xfId="44"/>
    <cellStyle name="Процентный 3 6" xfId="45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_Школы" xfId="50"/>
    <cellStyle name="Процентный 4 3" xfId="51"/>
    <cellStyle name="Процентный 4_Школы" xfId="52"/>
    <cellStyle name="Процентный 5" xfId="53"/>
    <cellStyle name="Процентный 5 2" xfId="54"/>
    <cellStyle name="Процентный 5_Школы" xfId="55"/>
    <cellStyle name="Процентный 6" xfId="56"/>
    <cellStyle name="Процентный 6 2" xfId="111"/>
    <cellStyle name="Процентный 7" xfId="57"/>
    <cellStyle name="Процентный 8" xfId="122"/>
    <cellStyle name="Процентный 9" xfId="131"/>
    <cellStyle name="Таб: +|-" xfId="121"/>
    <cellStyle name="Таб: Графа" xfId="124"/>
    <cellStyle name="Таб: Номер" xfId="125"/>
    <cellStyle name="Финансовый" xfId="127" builtinId="3"/>
    <cellStyle name="Финансовый 10" xfId="130"/>
    <cellStyle name="Финансовый 2" xfId="58"/>
    <cellStyle name="Финансовый 2 2" xfId="59"/>
    <cellStyle name="Финансовый 2 2 2" xfId="60"/>
    <cellStyle name="Финансовый 2 2 2 2" xfId="61"/>
    <cellStyle name="Финансовый 2 2 2_Школы" xfId="62"/>
    <cellStyle name="Финансовый 2 2 3" xfId="63"/>
    <cellStyle name="Финансовый 2 2_Школы" xfId="64"/>
    <cellStyle name="Финансовый 2 3" xfId="65"/>
    <cellStyle name="Финансовый 2 3 2" xfId="66"/>
    <cellStyle name="Финансовый 2 3_Школы" xfId="67"/>
    <cellStyle name="Финансовый 2 4" xfId="68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_Школы" xfId="73"/>
    <cellStyle name="Финансовый 3 3" xfId="74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_Школы" xfId="80"/>
    <cellStyle name="Финансовый 4 2 3" xfId="81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_Школы" xfId="86"/>
    <cellStyle name="Финансовый 4 3 3" xfId="87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_Школы" xfId="92"/>
    <cellStyle name="Финансовый 4 4 3" xfId="93"/>
    <cellStyle name="Финансовый 4 4_Школы" xfId="94"/>
    <cellStyle name="Финансовый 4 5" xfId="95"/>
    <cellStyle name="Финансовый 4 5 2" xfId="96"/>
    <cellStyle name="Финансовый 4 5_Школы" xfId="97"/>
    <cellStyle name="Финансовый 4 6" xfId="98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_Школы" xfId="103"/>
    <cellStyle name="Финансовый 5 3" xfId="104"/>
    <cellStyle name="Финансовый 5_Школы" xfId="105"/>
    <cellStyle name="Финансовый 6" xfId="106"/>
    <cellStyle name="Финансовый 6 2" xfId="107"/>
    <cellStyle name="Финансовый 6_Школы" xfId="108"/>
    <cellStyle name="Финансовый 7" xfId="109"/>
    <cellStyle name="Финансовый 7 2" xfId="112"/>
    <cellStyle name="Финансовый 8" xfId="110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045;&#1075;&#1086;&#1088;&#1086;&#1074;&#1072;&#1070;&#1042;%20&#1085;&#1072;%2009.03.2022\&#1063;&#1072;&#1089;&#1090;&#1085;&#1099;&#1077;\2022\&#1059;&#1090;&#1086;&#1095;&#1085;&#1077;&#1085;&#1085;&#1099;&#1081;%20&#1088;&#1072;&#1089;&#1095;&#1077;&#1090;%20&#1089;&#1091;&#1073;&#1074;&#1077;&#1085;&#1094;&#1080;&#1081;%20&#1095;&#1072;&#1089;&#1090;&#1085;&#1080;&#1082;&#1072;&#1084;%20&#1085;&#1072;%202022%20&#1075;&#1086;&#1076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тивы ДО"/>
      <sheetName val="Нормативы ОО"/>
      <sheetName val="ЧООУ"/>
      <sheetName val="ЧДОУ"/>
      <sheetName val="документы_2021"/>
      <sheetName val="ЧДОУ 2023"/>
      <sheetName val="ЧДОУ 2024"/>
      <sheetName val="Лист1"/>
    </sheetNames>
    <sheetDataSet>
      <sheetData sheetId="0"/>
      <sheetData sheetId="1">
        <row r="459">
          <cell r="D459">
            <v>53675</v>
          </cell>
          <cell r="M459">
            <v>78016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L79"/>
  <sheetViews>
    <sheetView tabSelected="1" zoomScale="110" zoomScaleNormal="110" zoomScaleSheetLayoutView="120" workbookViewId="0">
      <pane xSplit="3" ySplit="9" topLeftCell="D10" activePane="bottomRight" state="frozen"/>
      <selection activeCell="C2" sqref="C2:L2"/>
      <selection pane="topRight" activeCell="C2" sqref="C2:L2"/>
      <selection pane="bottomLeft" activeCell="C2" sqref="C2:L2"/>
      <selection pane="bottomRight" activeCell="E23" sqref="E23"/>
    </sheetView>
  </sheetViews>
  <sheetFormatPr defaultColWidth="9.140625" defaultRowHeight="12.75" outlineLevelRow="2" x14ac:dyDescent="0.2"/>
  <cols>
    <col min="1" max="1" width="4" style="46" customWidth="1"/>
    <col min="2" max="2" width="14" style="46" customWidth="1"/>
    <col min="3" max="3" width="22.5703125" style="47" customWidth="1"/>
    <col min="4" max="4" width="6.140625" style="48" customWidth="1"/>
    <col min="5" max="5" width="9" style="48" customWidth="1"/>
    <col min="6" max="7" width="7.5703125" style="48" customWidth="1"/>
    <col min="8" max="8" width="7.140625" style="48" customWidth="1"/>
    <col min="9" max="9" width="9.5703125" style="48" customWidth="1"/>
    <col min="10" max="10" width="6.42578125" style="48" customWidth="1"/>
    <col min="11" max="11" width="6.7109375" style="48" customWidth="1"/>
    <col min="12" max="12" width="9" style="48" customWidth="1"/>
    <col min="13" max="13" width="13.28515625" style="48" customWidth="1"/>
    <col min="14" max="14" width="8.85546875" style="48" customWidth="1"/>
    <col min="15" max="15" width="12.5703125" style="48" customWidth="1"/>
    <col min="16" max="16" width="7.5703125" style="48" customWidth="1"/>
    <col min="17" max="17" width="12.28515625" style="48" customWidth="1"/>
    <col min="18" max="18" width="8.28515625" style="48" customWidth="1"/>
    <col min="19" max="19" width="10.7109375" style="48" customWidth="1"/>
    <col min="20" max="20" width="4.85546875" style="48" bestFit="1" customWidth="1"/>
    <col min="21" max="21" width="9" style="48" bestFit="1" customWidth="1"/>
    <col min="22" max="22" width="4.85546875" style="48" bestFit="1" customWidth="1"/>
    <col min="23" max="23" width="9" style="48" bestFit="1" customWidth="1"/>
    <col min="24" max="24" width="4.85546875" style="48" bestFit="1" customWidth="1"/>
    <col min="25" max="25" width="5" style="48" bestFit="1" customWidth="1"/>
    <col min="26" max="26" width="4.85546875" style="48" bestFit="1" customWidth="1"/>
    <col min="27" max="27" width="9" style="48" bestFit="1" customWidth="1"/>
    <col min="28" max="28" width="4.85546875" style="48" bestFit="1" customWidth="1"/>
    <col min="29" max="29" width="5" style="48" bestFit="1" customWidth="1"/>
    <col min="30" max="30" width="4.42578125" style="48" customWidth="1"/>
    <col min="31" max="31" width="14.140625" style="48" customWidth="1"/>
    <col min="32" max="39" width="9.140625" style="48" customWidth="1"/>
    <col min="40" max="40" width="6" style="48" customWidth="1"/>
    <col min="41" max="41" width="10.85546875" style="48" bestFit="1" customWidth="1"/>
    <col min="42" max="42" width="6" style="48" customWidth="1"/>
    <col min="43" max="43" width="10.7109375" style="48" customWidth="1"/>
    <col min="44" max="44" width="6" style="48" customWidth="1"/>
    <col min="45" max="45" width="15.85546875" style="48" bestFit="1" customWidth="1"/>
    <col min="46" max="46" width="10.28515625" style="48" bestFit="1" customWidth="1"/>
    <col min="47" max="47" width="10.42578125" style="48" bestFit="1" customWidth="1"/>
    <col min="48" max="48" width="13.28515625" style="48" customWidth="1"/>
    <col min="49" max="49" width="19" style="48" customWidth="1"/>
    <col min="50" max="50" width="16.85546875" style="48" bestFit="1" customWidth="1"/>
    <col min="51" max="51" width="16.85546875" style="209" customWidth="1"/>
    <col min="52" max="52" width="18.5703125" style="48" customWidth="1"/>
    <col min="53" max="53" width="10.140625" style="48" customWidth="1"/>
    <col min="54" max="54" width="14.7109375" style="48" customWidth="1"/>
    <col min="55" max="55" width="14.28515625" style="48" customWidth="1"/>
    <col min="56" max="56" width="8" style="48" customWidth="1"/>
    <col min="57" max="57" width="14.7109375" style="48" customWidth="1"/>
    <col min="58" max="58" width="15.85546875" style="48" customWidth="1"/>
    <col min="59" max="59" width="12.85546875" style="48" customWidth="1"/>
    <col min="60" max="60" width="15" style="48" customWidth="1"/>
    <col min="61" max="61" width="8.42578125" style="48" bestFit="1" customWidth="1"/>
    <col min="62" max="62" width="12.5703125" style="48" bestFit="1" customWidth="1"/>
    <col min="63" max="63" width="13.7109375" style="48" bestFit="1" customWidth="1"/>
    <col min="64" max="64" width="14.5703125" style="48" bestFit="1" customWidth="1"/>
    <col min="65" max="16384" width="9.140625" style="48"/>
  </cols>
  <sheetData>
    <row r="1" spans="1:62" ht="39.75" customHeight="1" x14ac:dyDescent="0.2">
      <c r="B1" s="154" t="s">
        <v>199</v>
      </c>
      <c r="D1" s="239" t="s">
        <v>201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</row>
    <row r="3" spans="1:62" s="49" customFormat="1" ht="77.25" customHeight="1" x14ac:dyDescent="0.2">
      <c r="A3" s="244" t="s">
        <v>0</v>
      </c>
      <c r="B3" s="244"/>
      <c r="C3" s="245" t="s">
        <v>38</v>
      </c>
      <c r="D3" s="242" t="s">
        <v>2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 t="s">
        <v>152</v>
      </c>
      <c r="Y3" s="242"/>
      <c r="Z3" s="242"/>
      <c r="AA3" s="242"/>
      <c r="AB3" s="242"/>
      <c r="AC3" s="242"/>
      <c r="AD3" s="242"/>
      <c r="AE3" s="242"/>
      <c r="AF3" s="242" t="s">
        <v>191</v>
      </c>
      <c r="AG3" s="242"/>
      <c r="AH3" s="242"/>
      <c r="AI3" s="242"/>
      <c r="AJ3" s="242"/>
      <c r="AK3" s="242"/>
      <c r="AL3" s="242"/>
      <c r="AM3" s="242"/>
      <c r="AN3" s="242" t="s">
        <v>3</v>
      </c>
      <c r="AO3" s="242"/>
      <c r="AP3" s="242"/>
      <c r="AQ3" s="242"/>
      <c r="AR3" s="243" t="s">
        <v>202</v>
      </c>
      <c r="AS3" s="243"/>
      <c r="AT3" s="240" t="s">
        <v>141</v>
      </c>
      <c r="AU3" s="240"/>
      <c r="AV3" s="241" t="s">
        <v>206</v>
      </c>
      <c r="AW3" s="241"/>
      <c r="AX3" s="241"/>
      <c r="AY3" s="251" t="s">
        <v>205</v>
      </c>
      <c r="AZ3" s="240" t="s">
        <v>164</v>
      </c>
      <c r="BA3" s="250"/>
      <c r="BB3" s="250"/>
      <c r="BC3" s="240" t="s">
        <v>153</v>
      </c>
      <c r="BD3" s="250"/>
      <c r="BE3" s="250"/>
      <c r="BF3" s="254" t="s">
        <v>147</v>
      </c>
      <c r="BG3" s="255"/>
      <c r="BH3" s="255"/>
      <c r="BI3" s="242" t="s">
        <v>151</v>
      </c>
      <c r="BJ3" s="242"/>
    </row>
    <row r="4" spans="1:62" s="49" customFormat="1" ht="29.25" customHeight="1" x14ac:dyDescent="0.2">
      <c r="A4" s="244"/>
      <c r="B4" s="244"/>
      <c r="C4" s="245"/>
      <c r="D4" s="242" t="s">
        <v>4</v>
      </c>
      <c r="E4" s="242"/>
      <c r="F4" s="242"/>
      <c r="G4" s="242"/>
      <c r="H4" s="242" t="s">
        <v>5</v>
      </c>
      <c r="I4" s="242"/>
      <c r="J4" s="242"/>
      <c r="K4" s="242"/>
      <c r="L4" s="242" t="s">
        <v>6</v>
      </c>
      <c r="M4" s="242"/>
      <c r="N4" s="242"/>
      <c r="O4" s="242"/>
      <c r="P4" s="242" t="s">
        <v>7</v>
      </c>
      <c r="Q4" s="242"/>
      <c r="R4" s="242"/>
      <c r="S4" s="242"/>
      <c r="T4" s="242" t="s">
        <v>8</v>
      </c>
      <c r="U4" s="242"/>
      <c r="V4" s="242"/>
      <c r="W4" s="242"/>
      <c r="X4" s="242" t="s">
        <v>6</v>
      </c>
      <c r="Y4" s="242"/>
      <c r="Z4" s="242"/>
      <c r="AA4" s="242"/>
      <c r="AB4" s="242" t="s">
        <v>7</v>
      </c>
      <c r="AC4" s="242"/>
      <c r="AD4" s="242"/>
      <c r="AE4" s="242"/>
      <c r="AF4" s="242" t="s">
        <v>5</v>
      </c>
      <c r="AG4" s="242"/>
      <c r="AH4" s="242"/>
      <c r="AI4" s="242"/>
      <c r="AJ4" s="242" t="s">
        <v>6</v>
      </c>
      <c r="AK4" s="242"/>
      <c r="AL4" s="242"/>
      <c r="AM4" s="242"/>
      <c r="AN4" s="242"/>
      <c r="AO4" s="242"/>
      <c r="AP4" s="242"/>
      <c r="AQ4" s="242"/>
      <c r="AR4" s="243"/>
      <c r="AS4" s="243"/>
      <c r="AT4" s="240"/>
      <c r="AU4" s="240"/>
      <c r="AV4" s="241"/>
      <c r="AW4" s="241"/>
      <c r="AX4" s="241"/>
      <c r="AY4" s="252"/>
      <c r="AZ4" s="250"/>
      <c r="BA4" s="250"/>
      <c r="BB4" s="250"/>
      <c r="BC4" s="250"/>
      <c r="BD4" s="250"/>
      <c r="BE4" s="250"/>
      <c r="BF4" s="255"/>
      <c r="BG4" s="255"/>
      <c r="BH4" s="255"/>
      <c r="BI4" s="242" t="s">
        <v>188</v>
      </c>
      <c r="BJ4" s="244" t="s">
        <v>189</v>
      </c>
    </row>
    <row r="5" spans="1:62" s="49" customFormat="1" ht="11.25" customHeight="1" x14ac:dyDescent="0.2">
      <c r="A5" s="244"/>
      <c r="B5" s="244"/>
      <c r="C5" s="245"/>
      <c r="D5" s="242" t="s">
        <v>9</v>
      </c>
      <c r="E5" s="242"/>
      <c r="F5" s="242"/>
      <c r="G5" s="242"/>
      <c r="H5" s="242" t="s">
        <v>44</v>
      </c>
      <c r="I5" s="242"/>
      <c r="J5" s="242"/>
      <c r="K5" s="242"/>
      <c r="L5" s="242" t="s">
        <v>43</v>
      </c>
      <c r="M5" s="242"/>
      <c r="N5" s="242"/>
      <c r="O5" s="242"/>
      <c r="P5" s="242" t="s">
        <v>12</v>
      </c>
      <c r="Q5" s="242"/>
      <c r="R5" s="242"/>
      <c r="S5" s="242"/>
      <c r="T5" s="242" t="s">
        <v>13</v>
      </c>
      <c r="U5" s="242"/>
      <c r="V5" s="242"/>
      <c r="W5" s="242"/>
      <c r="X5" s="242" t="s">
        <v>11</v>
      </c>
      <c r="Y5" s="242"/>
      <c r="Z5" s="242"/>
      <c r="AA5" s="242"/>
      <c r="AB5" s="242" t="s">
        <v>187</v>
      </c>
      <c r="AC5" s="242"/>
      <c r="AD5" s="242"/>
      <c r="AE5" s="242"/>
      <c r="AF5" s="242" t="s">
        <v>10</v>
      </c>
      <c r="AG5" s="242"/>
      <c r="AH5" s="242"/>
      <c r="AI5" s="242"/>
      <c r="AJ5" s="242" t="s">
        <v>11</v>
      </c>
      <c r="AK5" s="242"/>
      <c r="AL5" s="242"/>
      <c r="AM5" s="242"/>
      <c r="AN5" s="242"/>
      <c r="AO5" s="242"/>
      <c r="AP5" s="242"/>
      <c r="AQ5" s="242"/>
      <c r="AR5" s="243"/>
      <c r="AS5" s="243"/>
      <c r="AT5" s="240"/>
      <c r="AU5" s="240"/>
      <c r="AV5" s="240" t="s">
        <v>144</v>
      </c>
      <c r="AW5" s="240" t="s">
        <v>145</v>
      </c>
      <c r="AX5" s="240" t="s">
        <v>3</v>
      </c>
      <c r="AY5" s="252"/>
      <c r="AZ5" s="240" t="s">
        <v>144</v>
      </c>
      <c r="BA5" s="242" t="s">
        <v>145</v>
      </c>
      <c r="BB5" s="242" t="s">
        <v>3</v>
      </c>
      <c r="BC5" s="240" t="s">
        <v>144</v>
      </c>
      <c r="BD5" s="242" t="s">
        <v>145</v>
      </c>
      <c r="BE5" s="242" t="s">
        <v>3</v>
      </c>
      <c r="BF5" s="242" t="s">
        <v>144</v>
      </c>
      <c r="BG5" s="242" t="s">
        <v>145</v>
      </c>
      <c r="BH5" s="256" t="s">
        <v>3</v>
      </c>
      <c r="BI5" s="242"/>
      <c r="BJ5" s="244"/>
    </row>
    <row r="6" spans="1:62" s="49" customFormat="1" ht="11.25" x14ac:dyDescent="0.2">
      <c r="A6" s="244"/>
      <c r="B6" s="244"/>
      <c r="C6" s="245"/>
      <c r="D6" s="242" t="s">
        <v>14</v>
      </c>
      <c r="E6" s="242"/>
      <c r="F6" s="242" t="s">
        <v>15</v>
      </c>
      <c r="G6" s="242"/>
      <c r="H6" s="242" t="s">
        <v>14</v>
      </c>
      <c r="I6" s="242"/>
      <c r="J6" s="242" t="s">
        <v>15</v>
      </c>
      <c r="K6" s="242"/>
      <c r="L6" s="242" t="s">
        <v>14</v>
      </c>
      <c r="M6" s="242"/>
      <c r="N6" s="242" t="s">
        <v>15</v>
      </c>
      <c r="O6" s="242"/>
      <c r="P6" s="242" t="s">
        <v>14</v>
      </c>
      <c r="Q6" s="242"/>
      <c r="R6" s="242" t="s">
        <v>15</v>
      </c>
      <c r="S6" s="242"/>
      <c r="T6" s="242" t="s">
        <v>14</v>
      </c>
      <c r="U6" s="242"/>
      <c r="V6" s="242" t="s">
        <v>15</v>
      </c>
      <c r="W6" s="242"/>
      <c r="X6" s="242" t="s">
        <v>14</v>
      </c>
      <c r="Y6" s="242"/>
      <c r="Z6" s="242" t="s">
        <v>15</v>
      </c>
      <c r="AA6" s="242"/>
      <c r="AB6" s="242" t="s">
        <v>14</v>
      </c>
      <c r="AC6" s="242"/>
      <c r="AD6" s="242" t="s">
        <v>15</v>
      </c>
      <c r="AE6" s="242"/>
      <c r="AF6" s="242" t="s">
        <v>14</v>
      </c>
      <c r="AG6" s="242"/>
      <c r="AH6" s="242" t="s">
        <v>15</v>
      </c>
      <c r="AI6" s="242"/>
      <c r="AJ6" s="242" t="s">
        <v>14</v>
      </c>
      <c r="AK6" s="242"/>
      <c r="AL6" s="242" t="s">
        <v>15</v>
      </c>
      <c r="AM6" s="242"/>
      <c r="AN6" s="242" t="s">
        <v>14</v>
      </c>
      <c r="AO6" s="242"/>
      <c r="AP6" s="242" t="s">
        <v>15</v>
      </c>
      <c r="AQ6" s="242"/>
      <c r="AR6" s="243"/>
      <c r="AS6" s="243"/>
      <c r="AT6" s="240"/>
      <c r="AU6" s="240"/>
      <c r="AV6" s="240"/>
      <c r="AW6" s="240"/>
      <c r="AX6" s="240"/>
      <c r="AY6" s="252"/>
      <c r="AZ6" s="249"/>
      <c r="BA6" s="249"/>
      <c r="BB6" s="249"/>
      <c r="BC6" s="249"/>
      <c r="BD6" s="249"/>
      <c r="BE6" s="249"/>
      <c r="BF6" s="249"/>
      <c r="BG6" s="249"/>
      <c r="BH6" s="257"/>
      <c r="BI6" s="242"/>
      <c r="BJ6" s="244"/>
    </row>
    <row r="7" spans="1:62" s="49" customFormat="1" ht="15" hidden="1" customHeight="1" x14ac:dyDescent="0.2">
      <c r="A7" s="244"/>
      <c r="B7" s="50"/>
      <c r="C7" s="245"/>
      <c r="D7" s="66">
        <v>19</v>
      </c>
      <c r="E7" s="66">
        <v>23</v>
      </c>
      <c r="F7" s="66">
        <v>19</v>
      </c>
      <c r="G7" s="66">
        <v>23</v>
      </c>
      <c r="H7" s="66">
        <v>19</v>
      </c>
      <c r="I7" s="66">
        <v>23</v>
      </c>
      <c r="J7" s="66">
        <v>19</v>
      </c>
      <c r="K7" s="66">
        <v>23</v>
      </c>
      <c r="L7" s="66">
        <v>19</v>
      </c>
      <c r="M7" s="66">
        <v>23</v>
      </c>
      <c r="N7" s="66">
        <v>15</v>
      </c>
      <c r="O7" s="66">
        <v>20</v>
      </c>
      <c r="P7" s="66">
        <v>15</v>
      </c>
      <c r="Q7" s="66">
        <v>20</v>
      </c>
      <c r="R7" s="66">
        <v>15</v>
      </c>
      <c r="S7" s="66">
        <v>20</v>
      </c>
      <c r="T7" s="66">
        <v>15</v>
      </c>
      <c r="U7" s="66">
        <v>20</v>
      </c>
      <c r="V7" s="66">
        <v>15</v>
      </c>
      <c r="W7" s="66">
        <v>20</v>
      </c>
      <c r="X7" s="66">
        <v>19</v>
      </c>
      <c r="Y7" s="66">
        <v>23</v>
      </c>
      <c r="Z7" s="66">
        <v>19</v>
      </c>
      <c r="AA7" s="66">
        <v>23</v>
      </c>
      <c r="AB7" s="66">
        <v>19</v>
      </c>
      <c r="AC7" s="66">
        <v>23</v>
      </c>
      <c r="AD7" s="66">
        <v>19</v>
      </c>
      <c r="AE7" s="66">
        <v>23</v>
      </c>
      <c r="AF7" s="66">
        <v>19</v>
      </c>
      <c r="AG7" s="66">
        <v>23</v>
      </c>
      <c r="AH7" s="66">
        <v>19</v>
      </c>
      <c r="AI7" s="66">
        <v>23</v>
      </c>
      <c r="AJ7" s="66">
        <v>19</v>
      </c>
      <c r="AK7" s="66">
        <v>23</v>
      </c>
      <c r="AL7" s="66">
        <v>19</v>
      </c>
      <c r="AM7" s="66">
        <v>23</v>
      </c>
      <c r="AN7" s="66">
        <v>15</v>
      </c>
      <c r="AO7" s="66">
        <v>20</v>
      </c>
      <c r="AP7" s="66">
        <v>15</v>
      </c>
      <c r="AQ7" s="66">
        <v>20</v>
      </c>
      <c r="AR7" s="66">
        <v>15</v>
      </c>
      <c r="AS7" s="66">
        <v>20</v>
      </c>
      <c r="AT7" s="67"/>
      <c r="AU7" s="67"/>
      <c r="AV7" s="240"/>
      <c r="AW7" s="240"/>
      <c r="AX7" s="240"/>
      <c r="AY7" s="252"/>
      <c r="AZ7" s="249"/>
      <c r="BA7" s="249"/>
      <c r="BB7" s="249"/>
      <c r="BC7" s="249"/>
      <c r="BD7" s="249"/>
      <c r="BE7" s="249"/>
      <c r="BF7" s="249"/>
      <c r="BG7" s="249"/>
      <c r="BH7" s="257"/>
      <c r="BI7" s="242"/>
      <c r="BJ7" s="244"/>
    </row>
    <row r="8" spans="1:62" s="53" customFormat="1" ht="22.5" x14ac:dyDescent="0.2">
      <c r="A8" s="51"/>
      <c r="B8" s="51"/>
      <c r="C8" s="52"/>
      <c r="D8" s="69" t="s">
        <v>16</v>
      </c>
      <c r="E8" s="69" t="s">
        <v>1</v>
      </c>
      <c r="F8" s="69" t="s">
        <v>16</v>
      </c>
      <c r="G8" s="69" t="s">
        <v>1</v>
      </c>
      <c r="H8" s="69" t="s">
        <v>16</v>
      </c>
      <c r="I8" s="69" t="s">
        <v>1</v>
      </c>
      <c r="J8" s="69" t="s">
        <v>16</v>
      </c>
      <c r="K8" s="69" t="s">
        <v>1</v>
      </c>
      <c r="L8" s="69" t="s">
        <v>16</v>
      </c>
      <c r="M8" s="69" t="s">
        <v>1</v>
      </c>
      <c r="N8" s="69" t="s">
        <v>16</v>
      </c>
      <c r="O8" s="69" t="s">
        <v>1</v>
      </c>
      <c r="P8" s="69" t="s">
        <v>16</v>
      </c>
      <c r="Q8" s="69" t="s">
        <v>1</v>
      </c>
      <c r="R8" s="69" t="s">
        <v>16</v>
      </c>
      <c r="S8" s="69" t="s">
        <v>1</v>
      </c>
      <c r="T8" s="69" t="s">
        <v>16</v>
      </c>
      <c r="U8" s="69" t="s">
        <v>1</v>
      </c>
      <c r="V8" s="69" t="s">
        <v>16</v>
      </c>
      <c r="W8" s="69" t="s">
        <v>1</v>
      </c>
      <c r="X8" s="69" t="s">
        <v>16</v>
      </c>
      <c r="Y8" s="69" t="s">
        <v>1</v>
      </c>
      <c r="Z8" s="69" t="s">
        <v>16</v>
      </c>
      <c r="AA8" s="69" t="s">
        <v>1</v>
      </c>
      <c r="AB8" s="69" t="s">
        <v>16</v>
      </c>
      <c r="AC8" s="69" t="s">
        <v>1</v>
      </c>
      <c r="AD8" s="69" t="s">
        <v>16</v>
      </c>
      <c r="AE8" s="69" t="s">
        <v>1</v>
      </c>
      <c r="AF8" s="120" t="s">
        <v>16</v>
      </c>
      <c r="AG8" s="120" t="s">
        <v>1</v>
      </c>
      <c r="AH8" s="120" t="s">
        <v>16</v>
      </c>
      <c r="AI8" s="120" t="s">
        <v>1</v>
      </c>
      <c r="AJ8" s="120" t="s">
        <v>16</v>
      </c>
      <c r="AK8" s="120" t="s">
        <v>1</v>
      </c>
      <c r="AL8" s="120" t="s">
        <v>16</v>
      </c>
      <c r="AM8" s="120" t="s">
        <v>1</v>
      </c>
      <c r="AN8" s="69" t="s">
        <v>16</v>
      </c>
      <c r="AO8" s="69" t="s">
        <v>1</v>
      </c>
      <c r="AP8" s="69" t="s">
        <v>16</v>
      </c>
      <c r="AQ8" s="69" t="s">
        <v>1</v>
      </c>
      <c r="AR8" s="69" t="s">
        <v>16</v>
      </c>
      <c r="AS8" s="69" t="s">
        <v>1</v>
      </c>
      <c r="AT8" s="70" t="s">
        <v>142</v>
      </c>
      <c r="AU8" s="68" t="s">
        <v>1</v>
      </c>
      <c r="AV8" s="240"/>
      <c r="AW8" s="240"/>
      <c r="AX8" s="240"/>
      <c r="AY8" s="253"/>
      <c r="AZ8" s="249"/>
      <c r="BA8" s="249"/>
      <c r="BB8" s="249"/>
      <c r="BC8" s="249"/>
      <c r="BD8" s="249"/>
      <c r="BE8" s="249"/>
      <c r="BF8" s="249"/>
      <c r="BG8" s="249"/>
      <c r="BH8" s="257"/>
      <c r="BI8" s="242"/>
      <c r="BJ8" s="244"/>
    </row>
    <row r="9" spans="1:62" s="54" customFormat="1" ht="13.9" customHeight="1" x14ac:dyDescent="0.2">
      <c r="A9" s="71">
        <v>3</v>
      </c>
      <c r="B9" s="71"/>
      <c r="C9" s="72"/>
      <c r="D9" s="73"/>
      <c r="E9" s="235">
        <v>53119</v>
      </c>
      <c r="F9" s="73"/>
      <c r="G9" s="73"/>
      <c r="H9" s="73"/>
      <c r="I9" s="235">
        <v>92630</v>
      </c>
      <c r="J9" s="73"/>
      <c r="K9" s="73"/>
      <c r="L9" s="73"/>
      <c r="M9" s="235">
        <v>108434</v>
      </c>
      <c r="N9" s="73"/>
      <c r="O9" s="235">
        <v>96192</v>
      </c>
      <c r="P9" s="73"/>
      <c r="Q9" s="235">
        <v>124238</v>
      </c>
      <c r="R9" s="73"/>
      <c r="S9" s="235">
        <v>109247</v>
      </c>
      <c r="T9" s="73"/>
      <c r="U9" s="235">
        <v>151947</v>
      </c>
      <c r="V9" s="73"/>
      <c r="W9" s="235">
        <v>132137</v>
      </c>
      <c r="X9" s="73"/>
      <c r="Y9" s="73"/>
      <c r="Z9" s="73"/>
      <c r="AA9" s="235">
        <v>369105</v>
      </c>
      <c r="AB9" s="73"/>
      <c r="AC9" s="73"/>
      <c r="AD9" s="73"/>
      <c r="AE9" s="235">
        <v>407435</v>
      </c>
      <c r="AF9" s="73"/>
      <c r="AG9" s="73"/>
      <c r="AH9" s="73"/>
      <c r="AI9" s="73"/>
      <c r="AJ9" s="73"/>
      <c r="AK9" s="73"/>
      <c r="AL9" s="73"/>
      <c r="AM9" s="235">
        <v>510321</v>
      </c>
      <c r="AN9" s="72"/>
      <c r="AO9" s="72"/>
      <c r="AP9" s="72"/>
      <c r="AQ9" s="72"/>
      <c r="AR9" s="72"/>
      <c r="AS9" s="72"/>
      <c r="AT9" s="72"/>
      <c r="AU9" s="74"/>
      <c r="AV9" s="72">
        <v>1</v>
      </c>
      <c r="AW9" s="72"/>
      <c r="AX9" s="72"/>
      <c r="AY9" s="210"/>
      <c r="AZ9" s="72"/>
      <c r="BA9" s="72"/>
      <c r="BB9" s="72"/>
      <c r="BC9" s="77"/>
      <c r="BD9" s="77"/>
      <c r="BE9" s="77">
        <v>0</v>
      </c>
      <c r="BF9" s="72"/>
      <c r="BG9" s="72"/>
      <c r="BH9" s="72"/>
      <c r="BI9" s="72"/>
      <c r="BJ9" s="125"/>
    </row>
    <row r="10" spans="1:62" s="49" customFormat="1" ht="22.5" outlineLevel="2" x14ac:dyDescent="0.2">
      <c r="A10" s="50">
        <v>1</v>
      </c>
      <c r="B10" s="50" t="s">
        <v>125</v>
      </c>
      <c r="C10" s="151" t="s">
        <v>30</v>
      </c>
      <c r="D10" s="153"/>
      <c r="E10" s="153">
        <f t="shared" ref="E10:E26" si="0">D10*E$9</f>
        <v>0</v>
      </c>
      <c r="F10" s="153"/>
      <c r="G10" s="153">
        <f t="shared" ref="G10:G26" si="1">F10*G$9</f>
        <v>0</v>
      </c>
      <c r="H10" s="153"/>
      <c r="I10" s="153">
        <f t="shared" ref="I10:I26" si="2">H10*I$9</f>
        <v>0</v>
      </c>
      <c r="J10" s="153"/>
      <c r="K10" s="153">
        <f t="shared" ref="K10:K26" si="3">J10*K$9</f>
        <v>0</v>
      </c>
      <c r="L10" s="153">
        <v>159</v>
      </c>
      <c r="M10" s="153">
        <f t="shared" ref="M10:M26" si="4">L10*M$9</f>
        <v>17241006</v>
      </c>
      <c r="N10" s="153">
        <v>136</v>
      </c>
      <c r="O10" s="153">
        <f t="shared" ref="O10:O26" si="5">N10*O$9</f>
        <v>13082112</v>
      </c>
      <c r="P10" s="153"/>
      <c r="Q10" s="153">
        <f t="shared" ref="Q10:Q26" si="6">P10*Q$9</f>
        <v>0</v>
      </c>
      <c r="R10" s="153"/>
      <c r="S10" s="153">
        <f t="shared" ref="S10:S26" si="7">R10*S$9</f>
        <v>0</v>
      </c>
      <c r="T10" s="153"/>
      <c r="U10" s="153">
        <f t="shared" ref="U10:U47" si="8">T10*U$9</f>
        <v>0</v>
      </c>
      <c r="V10" s="153"/>
      <c r="W10" s="153">
        <f t="shared" ref="W10:W47" si="9">V10*W$9</f>
        <v>0</v>
      </c>
      <c r="X10" s="153"/>
      <c r="Y10" s="153">
        <f t="shared" ref="Y10:Y26" si="10">X10*Y$9</f>
        <v>0</v>
      </c>
      <c r="Z10" s="153"/>
      <c r="AA10" s="153">
        <f t="shared" ref="AA10:AA27" si="11">Z10*AA$9</f>
        <v>0</v>
      </c>
      <c r="AB10" s="153"/>
      <c r="AC10" s="153">
        <f t="shared" ref="AC10:AC26" si="12">AB10*AC$9</f>
        <v>0</v>
      </c>
      <c r="AD10" s="153"/>
      <c r="AE10" s="153">
        <f t="shared" ref="AE10:AE26" si="13">AD10*AE$9</f>
        <v>0</v>
      </c>
      <c r="AF10" s="153"/>
      <c r="AG10" s="153">
        <f t="shared" ref="AG10:AG18" si="14">AF10*AG$9</f>
        <v>0</v>
      </c>
      <c r="AH10" s="153"/>
      <c r="AI10" s="153">
        <f t="shared" ref="AI10:AI18" si="15">AH10*AI$9</f>
        <v>0</v>
      </c>
      <c r="AJ10" s="153"/>
      <c r="AK10" s="153">
        <f t="shared" ref="AK10:AK18" si="16">AJ10*AK$9</f>
        <v>0</v>
      </c>
      <c r="AL10" s="153"/>
      <c r="AM10" s="153">
        <f t="shared" ref="AM10:AM20" si="17">AL10*AM$9</f>
        <v>0</v>
      </c>
      <c r="AN10" s="142">
        <f t="shared" ref="AN10:AN25" si="18">D10+H10+L10+P10+T10+X10+AB10+AF10+AJ10</f>
        <v>159</v>
      </c>
      <c r="AO10" s="142">
        <f t="shared" ref="AO10:AQ10" si="19">E10+I10+M10+Q10+U10+Y10+AC10+AG10+AK10</f>
        <v>17241006</v>
      </c>
      <c r="AP10" s="142">
        <f t="shared" si="19"/>
        <v>136</v>
      </c>
      <c r="AQ10" s="142">
        <f t="shared" si="19"/>
        <v>13082112</v>
      </c>
      <c r="AR10" s="142">
        <f t="shared" ref="AR10" si="20">AN10+AP10</f>
        <v>295</v>
      </c>
      <c r="AS10" s="142">
        <f t="shared" ref="AS10" si="21">ROUND(AO10+AQ10,-2)</f>
        <v>30323100</v>
      </c>
      <c r="AT10" s="141"/>
      <c r="AU10" s="140"/>
      <c r="AV10" s="140"/>
      <c r="AW10" s="140"/>
      <c r="AX10" s="140"/>
      <c r="AY10" s="211"/>
      <c r="AZ10" s="141"/>
      <c r="BA10" s="142"/>
      <c r="BB10" s="139"/>
      <c r="BC10" s="141"/>
      <c r="BD10" s="141"/>
      <c r="BE10" s="141">
        <f t="shared" ref="BE10:BE48" si="22">BC10+BD10</f>
        <v>0</v>
      </c>
      <c r="BF10" s="139"/>
      <c r="BG10" s="139"/>
      <c r="BH10" s="139"/>
      <c r="BI10" s="139"/>
      <c r="BJ10" s="137"/>
    </row>
    <row r="11" spans="1:62" s="49" customFormat="1" ht="22.5" outlineLevel="2" x14ac:dyDescent="0.2">
      <c r="A11" s="50">
        <v>2</v>
      </c>
      <c r="B11" s="50" t="s">
        <v>125</v>
      </c>
      <c r="C11" s="151" t="s">
        <v>28</v>
      </c>
      <c r="D11" s="153"/>
      <c r="E11" s="153">
        <f t="shared" si="0"/>
        <v>0</v>
      </c>
      <c r="F11" s="153"/>
      <c r="G11" s="153">
        <f t="shared" si="1"/>
        <v>0</v>
      </c>
      <c r="H11" s="153"/>
      <c r="I11" s="153">
        <f t="shared" si="2"/>
        <v>0</v>
      </c>
      <c r="J11" s="153"/>
      <c r="K11" s="153">
        <f t="shared" si="3"/>
        <v>0</v>
      </c>
      <c r="L11" s="153"/>
      <c r="M11" s="153">
        <f t="shared" si="4"/>
        <v>0</v>
      </c>
      <c r="N11" s="153"/>
      <c r="O11" s="153">
        <f t="shared" si="5"/>
        <v>0</v>
      </c>
      <c r="P11" s="153">
        <v>22</v>
      </c>
      <c r="Q11" s="153">
        <f t="shared" si="6"/>
        <v>2733236</v>
      </c>
      <c r="R11" s="153">
        <v>108</v>
      </c>
      <c r="S11" s="153">
        <f t="shared" si="7"/>
        <v>11798676</v>
      </c>
      <c r="T11" s="153"/>
      <c r="U11" s="153">
        <f t="shared" si="8"/>
        <v>0</v>
      </c>
      <c r="V11" s="153"/>
      <c r="W11" s="153">
        <f t="shared" si="9"/>
        <v>0</v>
      </c>
      <c r="X11" s="153"/>
      <c r="Y11" s="153">
        <f t="shared" si="10"/>
        <v>0</v>
      </c>
      <c r="Z11" s="153"/>
      <c r="AA11" s="153">
        <f t="shared" si="11"/>
        <v>0</v>
      </c>
      <c r="AB11" s="153"/>
      <c r="AC11" s="153">
        <f t="shared" si="12"/>
        <v>0</v>
      </c>
      <c r="AD11" s="153">
        <v>0</v>
      </c>
      <c r="AE11" s="153">
        <f t="shared" si="13"/>
        <v>0</v>
      </c>
      <c r="AF11" s="153"/>
      <c r="AG11" s="153">
        <f t="shared" si="14"/>
        <v>0</v>
      </c>
      <c r="AH11" s="153"/>
      <c r="AI11" s="153">
        <f t="shared" si="15"/>
        <v>0</v>
      </c>
      <c r="AJ11" s="153"/>
      <c r="AK11" s="153">
        <f t="shared" si="16"/>
        <v>0</v>
      </c>
      <c r="AL11" s="153">
        <v>0</v>
      </c>
      <c r="AM11" s="153">
        <f t="shared" si="17"/>
        <v>0</v>
      </c>
      <c r="AN11" s="142">
        <f t="shared" si="18"/>
        <v>22</v>
      </c>
      <c r="AO11" s="142">
        <f t="shared" ref="AO11:AO25" si="23">E11+I11+M11+Q11+U11+Y11+AC11+AG11+AK11</f>
        <v>2733236</v>
      </c>
      <c r="AP11" s="142">
        <f t="shared" ref="AP11:AP26" si="24">F11+J11+N11+R11+V11+Z11+AD11+AH11+AL11</f>
        <v>108</v>
      </c>
      <c r="AQ11" s="142">
        <f t="shared" ref="AQ11:AQ25" si="25">G11+K11+O11+S11+W11+AA11+AE11+AI11+AM11</f>
        <v>11798676</v>
      </c>
      <c r="AR11" s="142">
        <f t="shared" ref="AR11:AR26" si="26">AN11+AP11</f>
        <v>130</v>
      </c>
      <c r="AS11" s="142">
        <f t="shared" ref="AS11:AS26" si="27">ROUND(AO11+AQ11,-2)</f>
        <v>14531900</v>
      </c>
      <c r="AT11" s="141"/>
      <c r="AU11" s="140"/>
      <c r="AV11" s="140"/>
      <c r="AW11" s="140"/>
      <c r="AX11" s="140"/>
      <c r="AY11" s="211"/>
      <c r="AZ11" s="141"/>
      <c r="BA11" s="139"/>
      <c r="BB11" s="139"/>
      <c r="BC11" s="141"/>
      <c r="BD11" s="141"/>
      <c r="BE11" s="141">
        <f t="shared" si="22"/>
        <v>0</v>
      </c>
      <c r="BF11" s="139"/>
      <c r="BG11" s="139"/>
      <c r="BH11" s="139"/>
      <c r="BI11" s="139"/>
      <c r="BJ11" s="137"/>
    </row>
    <row r="12" spans="1:62" s="49" customFormat="1" ht="17.25" customHeight="1" outlineLevel="2" x14ac:dyDescent="0.2">
      <c r="A12" s="50">
        <v>3</v>
      </c>
      <c r="B12" s="50" t="s">
        <v>125</v>
      </c>
      <c r="C12" s="55" t="s">
        <v>31</v>
      </c>
      <c r="D12" s="153"/>
      <c r="E12" s="153">
        <f t="shared" si="0"/>
        <v>0</v>
      </c>
      <c r="F12" s="153"/>
      <c r="G12" s="153">
        <f t="shared" si="1"/>
        <v>0</v>
      </c>
      <c r="H12" s="153"/>
      <c r="I12" s="153">
        <f t="shared" si="2"/>
        <v>0</v>
      </c>
      <c r="J12" s="153"/>
      <c r="K12" s="153">
        <f t="shared" si="3"/>
        <v>0</v>
      </c>
      <c r="L12" s="75">
        <v>0</v>
      </c>
      <c r="M12" s="153">
        <f t="shared" si="4"/>
        <v>0</v>
      </c>
      <c r="N12" s="153">
        <v>0</v>
      </c>
      <c r="O12" s="153">
        <f t="shared" si="5"/>
        <v>0</v>
      </c>
      <c r="P12" s="153">
        <v>380</v>
      </c>
      <c r="Q12" s="153">
        <f t="shared" si="6"/>
        <v>47210440</v>
      </c>
      <c r="R12" s="75">
        <v>454</v>
      </c>
      <c r="S12" s="153">
        <f t="shared" si="7"/>
        <v>49598138</v>
      </c>
      <c r="T12" s="153"/>
      <c r="U12" s="153">
        <f t="shared" si="8"/>
        <v>0</v>
      </c>
      <c r="V12" s="153"/>
      <c r="W12" s="153">
        <f t="shared" si="9"/>
        <v>0</v>
      </c>
      <c r="X12" s="153"/>
      <c r="Y12" s="153">
        <f t="shared" si="10"/>
        <v>0</v>
      </c>
      <c r="Z12" s="153"/>
      <c r="AA12" s="153">
        <f t="shared" si="11"/>
        <v>0</v>
      </c>
      <c r="AB12" s="153"/>
      <c r="AC12" s="153">
        <f t="shared" si="12"/>
        <v>0</v>
      </c>
      <c r="AD12" s="153"/>
      <c r="AE12" s="153">
        <f t="shared" si="13"/>
        <v>0</v>
      </c>
      <c r="AF12" s="153"/>
      <c r="AG12" s="153">
        <f t="shared" si="14"/>
        <v>0</v>
      </c>
      <c r="AH12" s="153"/>
      <c r="AI12" s="153">
        <f t="shared" si="15"/>
        <v>0</v>
      </c>
      <c r="AJ12" s="153"/>
      <c r="AK12" s="153">
        <f t="shared" si="16"/>
        <v>0</v>
      </c>
      <c r="AL12" s="153"/>
      <c r="AM12" s="153">
        <f t="shared" si="17"/>
        <v>0</v>
      </c>
      <c r="AN12" s="142">
        <f t="shared" si="18"/>
        <v>380</v>
      </c>
      <c r="AO12" s="142">
        <f t="shared" si="23"/>
        <v>47210440</v>
      </c>
      <c r="AP12" s="142">
        <f t="shared" si="24"/>
        <v>454</v>
      </c>
      <c r="AQ12" s="142">
        <f t="shared" si="25"/>
        <v>49598138</v>
      </c>
      <c r="AR12" s="142">
        <f t="shared" si="26"/>
        <v>834</v>
      </c>
      <c r="AS12" s="142">
        <f t="shared" si="27"/>
        <v>96808600</v>
      </c>
      <c r="AT12" s="141"/>
      <c r="AU12" s="140"/>
      <c r="AV12" s="140"/>
      <c r="AW12" s="140"/>
      <c r="AX12" s="140"/>
      <c r="AY12" s="211"/>
      <c r="AZ12" s="141"/>
      <c r="BA12" s="139"/>
      <c r="BB12" s="139"/>
      <c r="BC12" s="141"/>
      <c r="BD12" s="141"/>
      <c r="BE12" s="141">
        <f t="shared" si="22"/>
        <v>0</v>
      </c>
      <c r="BF12" s="139"/>
      <c r="BG12" s="139"/>
      <c r="BH12" s="139"/>
      <c r="BI12" s="139"/>
      <c r="BJ12" s="137"/>
    </row>
    <row r="13" spans="1:62" s="49" customFormat="1" ht="16.5" customHeight="1" outlineLevel="2" x14ac:dyDescent="0.2">
      <c r="A13" s="50">
        <v>4</v>
      </c>
      <c r="B13" s="50" t="s">
        <v>125</v>
      </c>
      <c r="C13" s="55" t="s">
        <v>39</v>
      </c>
      <c r="D13" s="153"/>
      <c r="E13" s="153">
        <f t="shared" si="0"/>
        <v>0</v>
      </c>
      <c r="F13" s="153"/>
      <c r="G13" s="153">
        <f t="shared" si="1"/>
        <v>0</v>
      </c>
      <c r="H13" s="153"/>
      <c r="I13" s="153">
        <f t="shared" si="2"/>
        <v>0</v>
      </c>
      <c r="J13" s="153"/>
      <c r="K13" s="153">
        <f t="shared" si="3"/>
        <v>0</v>
      </c>
      <c r="L13" s="75">
        <v>0</v>
      </c>
      <c r="M13" s="153">
        <f t="shared" si="4"/>
        <v>0</v>
      </c>
      <c r="N13" s="153">
        <v>0</v>
      </c>
      <c r="O13" s="153">
        <f t="shared" si="5"/>
        <v>0</v>
      </c>
      <c r="P13" s="153">
        <v>410</v>
      </c>
      <c r="Q13" s="153">
        <f t="shared" si="6"/>
        <v>50937580</v>
      </c>
      <c r="R13" s="75">
        <v>425</v>
      </c>
      <c r="S13" s="153">
        <f t="shared" si="7"/>
        <v>46429975</v>
      </c>
      <c r="T13" s="153"/>
      <c r="U13" s="153">
        <f t="shared" si="8"/>
        <v>0</v>
      </c>
      <c r="V13" s="153"/>
      <c r="W13" s="153">
        <f t="shared" si="9"/>
        <v>0</v>
      </c>
      <c r="X13" s="153"/>
      <c r="Y13" s="153">
        <f t="shared" si="10"/>
        <v>0</v>
      </c>
      <c r="Z13" s="153"/>
      <c r="AA13" s="153">
        <f t="shared" si="11"/>
        <v>0</v>
      </c>
      <c r="AB13" s="153"/>
      <c r="AC13" s="153">
        <f t="shared" si="12"/>
        <v>0</v>
      </c>
      <c r="AD13" s="153"/>
      <c r="AE13" s="153">
        <f t="shared" si="13"/>
        <v>0</v>
      </c>
      <c r="AF13" s="153"/>
      <c r="AG13" s="153">
        <f t="shared" si="14"/>
        <v>0</v>
      </c>
      <c r="AH13" s="153"/>
      <c r="AI13" s="153">
        <f t="shared" si="15"/>
        <v>0</v>
      </c>
      <c r="AJ13" s="153"/>
      <c r="AK13" s="153">
        <f t="shared" si="16"/>
        <v>0</v>
      </c>
      <c r="AL13" s="153"/>
      <c r="AM13" s="153">
        <f t="shared" si="17"/>
        <v>0</v>
      </c>
      <c r="AN13" s="142">
        <f t="shared" si="18"/>
        <v>410</v>
      </c>
      <c r="AO13" s="142">
        <f t="shared" si="23"/>
        <v>50937580</v>
      </c>
      <c r="AP13" s="142">
        <f t="shared" si="24"/>
        <v>425</v>
      </c>
      <c r="AQ13" s="142">
        <f t="shared" si="25"/>
        <v>46429975</v>
      </c>
      <c r="AR13" s="142">
        <f t="shared" si="26"/>
        <v>835</v>
      </c>
      <c r="AS13" s="142">
        <f t="shared" si="27"/>
        <v>97367600</v>
      </c>
      <c r="AT13" s="141"/>
      <c r="AU13" s="140"/>
      <c r="AV13" s="140"/>
      <c r="AW13" s="140"/>
      <c r="AX13" s="140"/>
      <c r="AY13" s="211"/>
      <c r="AZ13" s="141"/>
      <c r="BA13" s="139"/>
      <c r="BB13" s="139"/>
      <c r="BC13" s="141"/>
      <c r="BD13" s="141"/>
      <c r="BE13" s="141">
        <f t="shared" si="22"/>
        <v>0</v>
      </c>
      <c r="BF13" s="139"/>
      <c r="BG13" s="139"/>
      <c r="BH13" s="139"/>
      <c r="BI13" s="139"/>
      <c r="BJ13" s="137"/>
    </row>
    <row r="14" spans="1:62" s="49" customFormat="1" ht="11.25" outlineLevel="2" x14ac:dyDescent="0.2">
      <c r="A14" s="50">
        <v>5</v>
      </c>
      <c r="B14" s="50" t="s">
        <v>125</v>
      </c>
      <c r="C14" s="151" t="s">
        <v>192</v>
      </c>
      <c r="D14" s="153"/>
      <c r="E14" s="153">
        <f t="shared" si="0"/>
        <v>0</v>
      </c>
      <c r="F14" s="153"/>
      <c r="G14" s="153">
        <f t="shared" si="1"/>
        <v>0</v>
      </c>
      <c r="H14" s="153"/>
      <c r="I14" s="153">
        <f t="shared" si="2"/>
        <v>0</v>
      </c>
      <c r="J14" s="153"/>
      <c r="K14" s="153">
        <f t="shared" si="3"/>
        <v>0</v>
      </c>
      <c r="L14" s="153">
        <v>163</v>
      </c>
      <c r="M14" s="153">
        <f t="shared" si="4"/>
        <v>17674742</v>
      </c>
      <c r="N14" s="153">
        <v>178</v>
      </c>
      <c r="O14" s="153">
        <f t="shared" si="5"/>
        <v>17122176</v>
      </c>
      <c r="P14" s="153"/>
      <c r="Q14" s="153">
        <f t="shared" si="6"/>
        <v>0</v>
      </c>
      <c r="R14" s="153"/>
      <c r="S14" s="153">
        <f t="shared" si="7"/>
        <v>0</v>
      </c>
      <c r="T14" s="153"/>
      <c r="U14" s="153">
        <f t="shared" si="8"/>
        <v>0</v>
      </c>
      <c r="V14" s="153"/>
      <c r="W14" s="153">
        <f t="shared" si="9"/>
        <v>0</v>
      </c>
      <c r="X14" s="153"/>
      <c r="Y14" s="153">
        <f t="shared" si="10"/>
        <v>0</v>
      </c>
      <c r="Z14" s="153"/>
      <c r="AA14" s="153">
        <f t="shared" si="11"/>
        <v>0</v>
      </c>
      <c r="AB14" s="153"/>
      <c r="AC14" s="153">
        <f t="shared" si="12"/>
        <v>0</v>
      </c>
      <c r="AD14" s="153"/>
      <c r="AE14" s="153">
        <f t="shared" si="13"/>
        <v>0</v>
      </c>
      <c r="AF14" s="153"/>
      <c r="AG14" s="153">
        <f t="shared" si="14"/>
        <v>0</v>
      </c>
      <c r="AH14" s="153"/>
      <c r="AI14" s="153">
        <f t="shared" si="15"/>
        <v>0</v>
      </c>
      <c r="AJ14" s="153"/>
      <c r="AK14" s="153">
        <f t="shared" si="16"/>
        <v>0</v>
      </c>
      <c r="AL14" s="153"/>
      <c r="AM14" s="153">
        <f t="shared" si="17"/>
        <v>0</v>
      </c>
      <c r="AN14" s="142">
        <f t="shared" si="18"/>
        <v>163</v>
      </c>
      <c r="AO14" s="142">
        <f t="shared" si="23"/>
        <v>17674742</v>
      </c>
      <c r="AP14" s="142">
        <f t="shared" si="24"/>
        <v>178</v>
      </c>
      <c r="AQ14" s="142">
        <f t="shared" si="25"/>
        <v>17122176</v>
      </c>
      <c r="AR14" s="142">
        <f t="shared" si="26"/>
        <v>341</v>
      </c>
      <c r="AS14" s="142">
        <f t="shared" si="27"/>
        <v>34796900</v>
      </c>
      <c r="AT14" s="141"/>
      <c r="AU14" s="140"/>
      <c r="AV14" s="140"/>
      <c r="AW14" s="140"/>
      <c r="AX14" s="140"/>
      <c r="AY14" s="211"/>
      <c r="AZ14" s="141"/>
      <c r="BA14" s="139"/>
      <c r="BB14" s="139"/>
      <c r="BC14" s="141"/>
      <c r="BD14" s="141"/>
      <c r="BE14" s="141">
        <f t="shared" si="22"/>
        <v>0</v>
      </c>
      <c r="BF14" s="139"/>
      <c r="BG14" s="139"/>
      <c r="BH14" s="139"/>
      <c r="BI14" s="139"/>
      <c r="BJ14" s="137"/>
    </row>
    <row r="15" spans="1:62" s="49" customFormat="1" ht="11.25" outlineLevel="2" x14ac:dyDescent="0.2">
      <c r="A15" s="50">
        <v>6</v>
      </c>
      <c r="B15" s="50" t="s">
        <v>125</v>
      </c>
      <c r="C15" s="151" t="s">
        <v>122</v>
      </c>
      <c r="D15" s="153"/>
      <c r="E15" s="153">
        <f t="shared" si="0"/>
        <v>0</v>
      </c>
      <c r="F15" s="153"/>
      <c r="G15" s="153">
        <f t="shared" si="1"/>
        <v>0</v>
      </c>
      <c r="H15" s="153"/>
      <c r="I15" s="153">
        <f t="shared" si="2"/>
        <v>0</v>
      </c>
      <c r="J15" s="153"/>
      <c r="K15" s="153">
        <f t="shared" si="3"/>
        <v>0</v>
      </c>
      <c r="L15" s="75">
        <v>163</v>
      </c>
      <c r="M15" s="153">
        <f t="shared" si="4"/>
        <v>17674742</v>
      </c>
      <c r="N15" s="153">
        <v>360</v>
      </c>
      <c r="O15" s="153">
        <f t="shared" si="5"/>
        <v>34629120</v>
      </c>
      <c r="P15" s="153"/>
      <c r="Q15" s="153">
        <f t="shared" si="6"/>
        <v>0</v>
      </c>
      <c r="R15" s="75"/>
      <c r="S15" s="153">
        <f t="shared" si="7"/>
        <v>0</v>
      </c>
      <c r="T15" s="153"/>
      <c r="U15" s="153">
        <f t="shared" si="8"/>
        <v>0</v>
      </c>
      <c r="V15" s="153"/>
      <c r="W15" s="153">
        <f t="shared" si="9"/>
        <v>0</v>
      </c>
      <c r="X15" s="153"/>
      <c r="Y15" s="153">
        <f t="shared" si="10"/>
        <v>0</v>
      </c>
      <c r="Z15" s="153"/>
      <c r="AA15" s="153">
        <f t="shared" si="11"/>
        <v>0</v>
      </c>
      <c r="AB15" s="153"/>
      <c r="AC15" s="153">
        <f t="shared" si="12"/>
        <v>0</v>
      </c>
      <c r="AD15" s="153"/>
      <c r="AE15" s="153">
        <f t="shared" si="13"/>
        <v>0</v>
      </c>
      <c r="AF15" s="153"/>
      <c r="AG15" s="153">
        <f t="shared" si="14"/>
        <v>0</v>
      </c>
      <c r="AH15" s="153"/>
      <c r="AI15" s="153">
        <f t="shared" si="15"/>
        <v>0</v>
      </c>
      <c r="AJ15" s="153"/>
      <c r="AK15" s="153">
        <f t="shared" si="16"/>
        <v>0</v>
      </c>
      <c r="AL15" s="153"/>
      <c r="AM15" s="153">
        <f t="shared" si="17"/>
        <v>0</v>
      </c>
      <c r="AN15" s="142">
        <f t="shared" si="18"/>
        <v>163</v>
      </c>
      <c r="AO15" s="142">
        <f t="shared" si="23"/>
        <v>17674742</v>
      </c>
      <c r="AP15" s="142">
        <f t="shared" si="24"/>
        <v>360</v>
      </c>
      <c r="AQ15" s="142">
        <f t="shared" si="25"/>
        <v>34629120</v>
      </c>
      <c r="AR15" s="142">
        <f t="shared" si="26"/>
        <v>523</v>
      </c>
      <c r="AS15" s="142">
        <f t="shared" si="27"/>
        <v>52303900</v>
      </c>
      <c r="AT15" s="141"/>
      <c r="AU15" s="140"/>
      <c r="AV15" s="140"/>
      <c r="AW15" s="140"/>
      <c r="AX15" s="140"/>
      <c r="AY15" s="211"/>
      <c r="AZ15" s="141"/>
      <c r="BA15" s="139"/>
      <c r="BB15" s="139"/>
      <c r="BC15" s="141"/>
      <c r="BD15" s="141"/>
      <c r="BE15" s="141">
        <f t="shared" si="22"/>
        <v>0</v>
      </c>
      <c r="BF15" s="139"/>
      <c r="BG15" s="139"/>
      <c r="BH15" s="139"/>
      <c r="BI15" s="139"/>
      <c r="BJ15" s="137"/>
    </row>
    <row r="16" spans="1:62" s="49" customFormat="1" ht="11.25" outlineLevel="2" x14ac:dyDescent="0.2">
      <c r="A16" s="50">
        <v>7</v>
      </c>
      <c r="B16" s="50" t="s">
        <v>125</v>
      </c>
      <c r="C16" s="151" t="s">
        <v>19</v>
      </c>
      <c r="D16" s="153"/>
      <c r="E16" s="153">
        <f t="shared" si="0"/>
        <v>0</v>
      </c>
      <c r="F16" s="153"/>
      <c r="G16" s="153">
        <f t="shared" si="1"/>
        <v>0</v>
      </c>
      <c r="H16" s="153"/>
      <c r="I16" s="153">
        <f t="shared" si="2"/>
        <v>0</v>
      </c>
      <c r="J16" s="153"/>
      <c r="K16" s="153">
        <f t="shared" si="3"/>
        <v>0</v>
      </c>
      <c r="L16" s="153"/>
      <c r="M16" s="153">
        <f t="shared" si="4"/>
        <v>0</v>
      </c>
      <c r="N16" s="153">
        <v>118</v>
      </c>
      <c r="O16" s="153">
        <f t="shared" si="5"/>
        <v>11350656</v>
      </c>
      <c r="P16" s="153"/>
      <c r="Q16" s="153">
        <f t="shared" si="6"/>
        <v>0</v>
      </c>
      <c r="R16" s="153"/>
      <c r="S16" s="153">
        <f t="shared" si="7"/>
        <v>0</v>
      </c>
      <c r="T16" s="153"/>
      <c r="U16" s="153">
        <f t="shared" si="8"/>
        <v>0</v>
      </c>
      <c r="V16" s="153"/>
      <c r="W16" s="153">
        <f t="shared" si="9"/>
        <v>0</v>
      </c>
      <c r="X16" s="153"/>
      <c r="Y16" s="153">
        <f t="shared" si="10"/>
        <v>0</v>
      </c>
      <c r="Z16" s="153"/>
      <c r="AA16" s="153">
        <f t="shared" si="11"/>
        <v>0</v>
      </c>
      <c r="AB16" s="153"/>
      <c r="AC16" s="153">
        <f t="shared" si="12"/>
        <v>0</v>
      </c>
      <c r="AD16" s="153"/>
      <c r="AE16" s="153">
        <f t="shared" si="13"/>
        <v>0</v>
      </c>
      <c r="AF16" s="153"/>
      <c r="AG16" s="153">
        <f t="shared" si="14"/>
        <v>0</v>
      </c>
      <c r="AH16" s="153"/>
      <c r="AI16" s="153">
        <f t="shared" si="15"/>
        <v>0</v>
      </c>
      <c r="AJ16" s="153"/>
      <c r="AK16" s="153">
        <f t="shared" si="16"/>
        <v>0</v>
      </c>
      <c r="AL16" s="153"/>
      <c r="AM16" s="153">
        <f t="shared" si="17"/>
        <v>0</v>
      </c>
      <c r="AN16" s="142">
        <f t="shared" si="18"/>
        <v>0</v>
      </c>
      <c r="AO16" s="142">
        <f t="shared" si="23"/>
        <v>0</v>
      </c>
      <c r="AP16" s="142">
        <f t="shared" si="24"/>
        <v>118</v>
      </c>
      <c r="AQ16" s="142">
        <f t="shared" si="25"/>
        <v>11350656</v>
      </c>
      <c r="AR16" s="142">
        <f t="shared" si="26"/>
        <v>118</v>
      </c>
      <c r="AS16" s="142">
        <f t="shared" si="27"/>
        <v>11350700</v>
      </c>
      <c r="AT16" s="141"/>
      <c r="AU16" s="140"/>
      <c r="AV16" s="140"/>
      <c r="AW16" s="140"/>
      <c r="AX16" s="140"/>
      <c r="AY16" s="211"/>
      <c r="AZ16" s="141"/>
      <c r="BA16" s="139"/>
      <c r="BB16" s="139"/>
      <c r="BC16" s="141"/>
      <c r="BD16" s="141"/>
      <c r="BE16" s="141">
        <f t="shared" si="22"/>
        <v>0</v>
      </c>
      <c r="BF16" s="139"/>
      <c r="BG16" s="139"/>
      <c r="BH16" s="139"/>
      <c r="BI16" s="139"/>
      <c r="BJ16" s="137"/>
    </row>
    <row r="17" spans="1:64" s="49" customFormat="1" ht="11.25" outlineLevel="2" x14ac:dyDescent="0.2">
      <c r="A17" s="50">
        <v>8</v>
      </c>
      <c r="B17" s="50" t="s">
        <v>125</v>
      </c>
      <c r="C17" s="151" t="s">
        <v>119</v>
      </c>
      <c r="D17" s="153"/>
      <c r="E17" s="153">
        <f t="shared" si="0"/>
        <v>0</v>
      </c>
      <c r="F17" s="153"/>
      <c r="G17" s="153">
        <f t="shared" si="1"/>
        <v>0</v>
      </c>
      <c r="H17" s="153"/>
      <c r="I17" s="153">
        <f t="shared" si="2"/>
        <v>0</v>
      </c>
      <c r="J17" s="153"/>
      <c r="K17" s="153">
        <f t="shared" si="3"/>
        <v>0</v>
      </c>
      <c r="L17" s="153">
        <v>42</v>
      </c>
      <c r="M17" s="153">
        <f t="shared" si="4"/>
        <v>4554228</v>
      </c>
      <c r="N17" s="153">
        <v>200</v>
      </c>
      <c r="O17" s="153">
        <f t="shared" si="5"/>
        <v>19238400</v>
      </c>
      <c r="P17" s="153"/>
      <c r="Q17" s="153">
        <f t="shared" si="6"/>
        <v>0</v>
      </c>
      <c r="R17" s="153"/>
      <c r="S17" s="153">
        <f t="shared" si="7"/>
        <v>0</v>
      </c>
      <c r="T17" s="153"/>
      <c r="U17" s="153">
        <f t="shared" si="8"/>
        <v>0</v>
      </c>
      <c r="V17" s="153"/>
      <c r="W17" s="153">
        <f t="shared" si="9"/>
        <v>0</v>
      </c>
      <c r="X17" s="153"/>
      <c r="Y17" s="153">
        <f t="shared" si="10"/>
        <v>0</v>
      </c>
      <c r="Z17" s="153"/>
      <c r="AA17" s="153">
        <f t="shared" si="11"/>
        <v>0</v>
      </c>
      <c r="AB17" s="153"/>
      <c r="AC17" s="153">
        <f t="shared" si="12"/>
        <v>0</v>
      </c>
      <c r="AD17" s="153"/>
      <c r="AE17" s="153">
        <f t="shared" si="13"/>
        <v>0</v>
      </c>
      <c r="AF17" s="153"/>
      <c r="AG17" s="153">
        <f t="shared" si="14"/>
        <v>0</v>
      </c>
      <c r="AH17" s="153"/>
      <c r="AI17" s="153">
        <f t="shared" si="15"/>
        <v>0</v>
      </c>
      <c r="AJ17" s="153"/>
      <c r="AK17" s="153">
        <f t="shared" si="16"/>
        <v>0</v>
      </c>
      <c r="AL17" s="153"/>
      <c r="AM17" s="153">
        <f t="shared" si="17"/>
        <v>0</v>
      </c>
      <c r="AN17" s="142">
        <f t="shared" si="18"/>
        <v>42</v>
      </c>
      <c r="AO17" s="142">
        <f t="shared" si="23"/>
        <v>4554228</v>
      </c>
      <c r="AP17" s="142">
        <f t="shared" si="24"/>
        <v>200</v>
      </c>
      <c r="AQ17" s="142">
        <f t="shared" si="25"/>
        <v>19238400</v>
      </c>
      <c r="AR17" s="142">
        <f t="shared" si="26"/>
        <v>242</v>
      </c>
      <c r="AS17" s="142">
        <f t="shared" si="27"/>
        <v>23792600</v>
      </c>
      <c r="AT17" s="141"/>
      <c r="AU17" s="140"/>
      <c r="AV17" s="140"/>
      <c r="AW17" s="140"/>
      <c r="AX17" s="140"/>
      <c r="AY17" s="211"/>
      <c r="AZ17" s="141"/>
      <c r="BA17" s="139"/>
      <c r="BB17" s="139"/>
      <c r="BC17" s="141"/>
      <c r="BD17" s="141"/>
      <c r="BE17" s="141">
        <f t="shared" si="22"/>
        <v>0</v>
      </c>
      <c r="BF17" s="139"/>
      <c r="BG17" s="139"/>
      <c r="BH17" s="139"/>
      <c r="BI17" s="139"/>
      <c r="BJ17" s="137"/>
    </row>
    <row r="18" spans="1:64" s="49" customFormat="1" ht="11.25" outlineLevel="2" x14ac:dyDescent="0.2">
      <c r="A18" s="50">
        <v>9</v>
      </c>
      <c r="B18" s="50" t="s">
        <v>125</v>
      </c>
      <c r="C18" s="151" t="s">
        <v>42</v>
      </c>
      <c r="D18" s="153"/>
      <c r="E18" s="153">
        <f t="shared" si="0"/>
        <v>0</v>
      </c>
      <c r="F18" s="153"/>
      <c r="G18" s="153">
        <f t="shared" si="1"/>
        <v>0</v>
      </c>
      <c r="H18" s="153"/>
      <c r="I18" s="153">
        <f t="shared" si="2"/>
        <v>0</v>
      </c>
      <c r="J18" s="153"/>
      <c r="K18" s="153">
        <f t="shared" si="3"/>
        <v>0</v>
      </c>
      <c r="L18" s="153">
        <v>20</v>
      </c>
      <c r="M18" s="153">
        <f t="shared" si="4"/>
        <v>2168680</v>
      </c>
      <c r="N18" s="153"/>
      <c r="O18" s="153">
        <f t="shared" si="5"/>
        <v>0</v>
      </c>
      <c r="P18" s="153">
        <v>18</v>
      </c>
      <c r="Q18" s="153">
        <f t="shared" si="6"/>
        <v>2236284</v>
      </c>
      <c r="R18" s="153">
        <v>59</v>
      </c>
      <c r="S18" s="153">
        <f t="shared" si="7"/>
        <v>6445573</v>
      </c>
      <c r="T18" s="153"/>
      <c r="U18" s="153">
        <f t="shared" si="8"/>
        <v>0</v>
      </c>
      <c r="V18" s="153"/>
      <c r="W18" s="153">
        <f t="shared" si="9"/>
        <v>0</v>
      </c>
      <c r="X18" s="153"/>
      <c r="Y18" s="153">
        <f t="shared" si="10"/>
        <v>0</v>
      </c>
      <c r="Z18" s="153"/>
      <c r="AA18" s="153">
        <f t="shared" si="11"/>
        <v>0</v>
      </c>
      <c r="AB18" s="153"/>
      <c r="AC18" s="153">
        <f t="shared" si="12"/>
        <v>0</v>
      </c>
      <c r="AD18" s="153"/>
      <c r="AE18" s="153">
        <f t="shared" si="13"/>
        <v>0</v>
      </c>
      <c r="AF18" s="153"/>
      <c r="AG18" s="153">
        <f t="shared" si="14"/>
        <v>0</v>
      </c>
      <c r="AH18" s="153"/>
      <c r="AI18" s="153">
        <f t="shared" si="15"/>
        <v>0</v>
      </c>
      <c r="AJ18" s="153"/>
      <c r="AK18" s="153">
        <f t="shared" si="16"/>
        <v>0</v>
      </c>
      <c r="AL18" s="153"/>
      <c r="AM18" s="153">
        <f t="shared" si="17"/>
        <v>0</v>
      </c>
      <c r="AN18" s="142">
        <f t="shared" si="18"/>
        <v>38</v>
      </c>
      <c r="AO18" s="142">
        <f t="shared" si="23"/>
        <v>4404964</v>
      </c>
      <c r="AP18" s="142">
        <f t="shared" si="24"/>
        <v>59</v>
      </c>
      <c r="AQ18" s="142">
        <f t="shared" si="25"/>
        <v>6445573</v>
      </c>
      <c r="AR18" s="142">
        <f t="shared" si="26"/>
        <v>97</v>
      </c>
      <c r="AS18" s="142">
        <f t="shared" si="27"/>
        <v>10850500</v>
      </c>
      <c r="AT18" s="141"/>
      <c r="AU18" s="140"/>
      <c r="AV18" s="140"/>
      <c r="AW18" s="140"/>
      <c r="AX18" s="140"/>
      <c r="AY18" s="211"/>
      <c r="AZ18" s="141"/>
      <c r="BA18" s="139"/>
      <c r="BB18" s="139"/>
      <c r="BC18" s="141"/>
      <c r="BD18" s="141"/>
      <c r="BE18" s="141">
        <f t="shared" si="22"/>
        <v>0</v>
      </c>
      <c r="BF18" s="139"/>
      <c r="BG18" s="139"/>
      <c r="BH18" s="139"/>
      <c r="BI18" s="139"/>
      <c r="BJ18" s="137"/>
    </row>
    <row r="19" spans="1:64" s="49" customFormat="1" ht="11.25" outlineLevel="2" x14ac:dyDescent="0.2">
      <c r="A19" s="50">
        <v>10</v>
      </c>
      <c r="B19" s="50" t="s">
        <v>125</v>
      </c>
      <c r="C19" s="151" t="s">
        <v>193</v>
      </c>
      <c r="D19" s="153"/>
      <c r="E19" s="153"/>
      <c r="F19" s="153"/>
      <c r="G19" s="153"/>
      <c r="H19" s="153"/>
      <c r="I19" s="153"/>
      <c r="J19" s="153"/>
      <c r="K19" s="153"/>
      <c r="L19" s="153">
        <v>310</v>
      </c>
      <c r="M19" s="153">
        <f t="shared" si="4"/>
        <v>33614540</v>
      </c>
      <c r="N19" s="153">
        <v>215</v>
      </c>
      <c r="O19" s="153">
        <f t="shared" si="5"/>
        <v>20681280</v>
      </c>
      <c r="P19" s="153">
        <v>0</v>
      </c>
      <c r="Q19" s="153">
        <v>0</v>
      </c>
      <c r="R19" s="153">
        <v>0</v>
      </c>
      <c r="S19" s="153">
        <v>0</v>
      </c>
      <c r="T19" s="153"/>
      <c r="U19" s="153"/>
      <c r="V19" s="153"/>
      <c r="W19" s="153">
        <f t="shared" si="9"/>
        <v>0</v>
      </c>
      <c r="X19" s="153"/>
      <c r="Y19" s="153">
        <f t="shared" si="10"/>
        <v>0</v>
      </c>
      <c r="Z19" s="153"/>
      <c r="AA19" s="153">
        <f t="shared" si="11"/>
        <v>0</v>
      </c>
      <c r="AB19" s="153"/>
      <c r="AC19" s="153"/>
      <c r="AD19" s="136"/>
      <c r="AE19" s="136">
        <f t="shared" si="13"/>
        <v>0</v>
      </c>
      <c r="AF19" s="153"/>
      <c r="AG19" s="153"/>
      <c r="AH19" s="153"/>
      <c r="AI19" s="153"/>
      <c r="AJ19" s="153"/>
      <c r="AK19" s="153"/>
      <c r="AL19" s="136"/>
      <c r="AM19" s="136">
        <f t="shared" si="17"/>
        <v>0</v>
      </c>
      <c r="AN19" s="142">
        <f t="shared" si="18"/>
        <v>310</v>
      </c>
      <c r="AO19" s="142">
        <f t="shared" si="23"/>
        <v>33614540</v>
      </c>
      <c r="AP19" s="142">
        <f t="shared" si="24"/>
        <v>215</v>
      </c>
      <c r="AQ19" s="142">
        <f t="shared" si="25"/>
        <v>20681280</v>
      </c>
      <c r="AR19" s="142">
        <f t="shared" si="26"/>
        <v>525</v>
      </c>
      <c r="AS19" s="142">
        <f t="shared" si="27"/>
        <v>54295800</v>
      </c>
      <c r="AT19" s="141"/>
      <c r="AU19" s="140"/>
      <c r="AV19" s="140"/>
      <c r="AW19" s="140"/>
      <c r="AX19" s="140"/>
      <c r="AY19" s="211"/>
      <c r="AZ19" s="141"/>
      <c r="BA19" s="139"/>
      <c r="BB19" s="139"/>
      <c r="BC19" s="141"/>
      <c r="BD19" s="141"/>
      <c r="BE19" s="141">
        <f t="shared" si="22"/>
        <v>0</v>
      </c>
      <c r="BF19" s="139"/>
      <c r="BG19" s="139"/>
      <c r="BH19" s="139"/>
      <c r="BI19" s="139"/>
      <c r="BJ19" s="137"/>
    </row>
    <row r="20" spans="1:64" s="49" customFormat="1" ht="11.25" outlineLevel="2" x14ac:dyDescent="0.2">
      <c r="A20" s="50">
        <v>11</v>
      </c>
      <c r="B20" s="50" t="s">
        <v>125</v>
      </c>
      <c r="C20" s="151" t="s">
        <v>121</v>
      </c>
      <c r="D20" s="153"/>
      <c r="E20" s="153">
        <f t="shared" si="0"/>
        <v>0</v>
      </c>
      <c r="F20" s="153"/>
      <c r="G20" s="153">
        <f t="shared" si="1"/>
        <v>0</v>
      </c>
      <c r="H20" s="153"/>
      <c r="I20" s="153">
        <f t="shared" si="2"/>
        <v>0</v>
      </c>
      <c r="J20" s="153"/>
      <c r="K20" s="153">
        <f t="shared" si="3"/>
        <v>0</v>
      </c>
      <c r="L20" s="153"/>
      <c r="M20" s="153">
        <f t="shared" si="4"/>
        <v>0</v>
      </c>
      <c r="N20" s="153"/>
      <c r="O20" s="153">
        <f t="shared" si="5"/>
        <v>0</v>
      </c>
      <c r="P20" s="153">
        <v>77</v>
      </c>
      <c r="Q20" s="153">
        <f t="shared" si="6"/>
        <v>9566326</v>
      </c>
      <c r="R20" s="153">
        <v>75</v>
      </c>
      <c r="S20" s="153">
        <f t="shared" si="7"/>
        <v>8193525</v>
      </c>
      <c r="T20" s="153"/>
      <c r="U20" s="153">
        <f t="shared" si="8"/>
        <v>0</v>
      </c>
      <c r="V20" s="153"/>
      <c r="W20" s="153">
        <f t="shared" si="9"/>
        <v>0</v>
      </c>
      <c r="X20" s="153"/>
      <c r="Y20" s="153">
        <f t="shared" si="10"/>
        <v>0</v>
      </c>
      <c r="Z20" s="153"/>
      <c r="AA20" s="153">
        <f t="shared" si="11"/>
        <v>0</v>
      </c>
      <c r="AB20" s="153"/>
      <c r="AC20" s="153">
        <f t="shared" si="12"/>
        <v>0</v>
      </c>
      <c r="AD20" s="153"/>
      <c r="AE20" s="153">
        <f t="shared" si="13"/>
        <v>0</v>
      </c>
      <c r="AF20" s="153"/>
      <c r="AG20" s="153">
        <f t="shared" ref="AG20" si="28">AF20*AG$9</f>
        <v>0</v>
      </c>
      <c r="AH20" s="153"/>
      <c r="AI20" s="153">
        <f t="shared" ref="AI20" si="29">AH20*AI$9</f>
        <v>0</v>
      </c>
      <c r="AJ20" s="153"/>
      <c r="AK20" s="153">
        <f t="shared" ref="AK20" si="30">AJ20*AK$9</f>
        <v>0</v>
      </c>
      <c r="AL20" s="153"/>
      <c r="AM20" s="153">
        <f t="shared" si="17"/>
        <v>0</v>
      </c>
      <c r="AN20" s="142">
        <f t="shared" si="18"/>
        <v>77</v>
      </c>
      <c r="AO20" s="142">
        <f t="shared" si="23"/>
        <v>9566326</v>
      </c>
      <c r="AP20" s="142">
        <f t="shared" si="24"/>
        <v>75</v>
      </c>
      <c r="AQ20" s="142">
        <f t="shared" si="25"/>
        <v>8193525</v>
      </c>
      <c r="AR20" s="142">
        <f t="shared" si="26"/>
        <v>152</v>
      </c>
      <c r="AS20" s="142">
        <f t="shared" si="27"/>
        <v>17759900</v>
      </c>
      <c r="AT20" s="141"/>
      <c r="AU20" s="140"/>
      <c r="AV20" s="140"/>
      <c r="AW20" s="140"/>
      <c r="AX20" s="140"/>
      <c r="AY20" s="211"/>
      <c r="AZ20" s="141"/>
      <c r="BA20" s="139"/>
      <c r="BB20" s="139"/>
      <c r="BC20" s="141"/>
      <c r="BD20" s="141"/>
      <c r="BE20" s="141">
        <f t="shared" si="22"/>
        <v>0</v>
      </c>
      <c r="BF20" s="139"/>
      <c r="BG20" s="139"/>
      <c r="BH20" s="139"/>
      <c r="BI20" s="139"/>
      <c r="BJ20" s="137"/>
    </row>
    <row r="21" spans="1:64" s="49" customFormat="1" ht="11.25" outlineLevel="2" x14ac:dyDescent="0.2">
      <c r="A21" s="50">
        <v>12</v>
      </c>
      <c r="B21" s="50" t="s">
        <v>125</v>
      </c>
      <c r="C21" s="55" t="s">
        <v>194</v>
      </c>
      <c r="D21" s="153"/>
      <c r="E21" s="153"/>
      <c r="F21" s="153"/>
      <c r="G21" s="153"/>
      <c r="H21" s="153"/>
      <c r="I21" s="153"/>
      <c r="J21" s="153"/>
      <c r="K21" s="153"/>
      <c r="L21" s="153">
        <v>135</v>
      </c>
      <c r="M21" s="153">
        <f t="shared" si="4"/>
        <v>14638590</v>
      </c>
      <c r="N21" s="153">
        <v>78</v>
      </c>
      <c r="O21" s="153">
        <f t="shared" si="5"/>
        <v>7502976</v>
      </c>
      <c r="P21" s="153"/>
      <c r="Q21" s="153"/>
      <c r="R21" s="153"/>
      <c r="S21" s="153"/>
      <c r="T21" s="153"/>
      <c r="U21" s="153"/>
      <c r="V21" s="153"/>
      <c r="W21" s="153">
        <f t="shared" si="9"/>
        <v>0</v>
      </c>
      <c r="X21" s="153"/>
      <c r="Y21" s="153"/>
      <c r="Z21" s="153"/>
      <c r="AA21" s="153">
        <f t="shared" si="11"/>
        <v>0</v>
      </c>
      <c r="AB21" s="153"/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N21" s="142">
        <f t="shared" si="18"/>
        <v>135</v>
      </c>
      <c r="AO21" s="142">
        <f t="shared" si="23"/>
        <v>14638590</v>
      </c>
      <c r="AP21" s="142">
        <f t="shared" si="24"/>
        <v>78</v>
      </c>
      <c r="AQ21" s="142">
        <f t="shared" si="25"/>
        <v>7502976</v>
      </c>
      <c r="AR21" s="142">
        <f t="shared" si="26"/>
        <v>213</v>
      </c>
      <c r="AS21" s="142">
        <f t="shared" si="27"/>
        <v>22141600</v>
      </c>
      <c r="AT21" s="141"/>
      <c r="AU21" s="140"/>
      <c r="AV21" s="140"/>
      <c r="AW21" s="140"/>
      <c r="AX21" s="140"/>
      <c r="AY21" s="211"/>
      <c r="AZ21" s="141"/>
      <c r="BA21" s="139"/>
      <c r="BB21" s="139"/>
      <c r="BC21" s="141"/>
      <c r="BD21" s="141"/>
      <c r="BE21" s="141">
        <f t="shared" si="22"/>
        <v>0</v>
      </c>
      <c r="BF21" s="139"/>
      <c r="BG21" s="139"/>
      <c r="BH21" s="139"/>
      <c r="BI21" s="139"/>
      <c r="BJ21" s="137"/>
    </row>
    <row r="22" spans="1:64" s="49" customFormat="1" ht="11.25" outlineLevel="2" x14ac:dyDescent="0.2">
      <c r="A22" s="50">
        <v>13</v>
      </c>
      <c r="B22" s="50" t="s">
        <v>125</v>
      </c>
      <c r="C22" s="151" t="s">
        <v>195</v>
      </c>
      <c r="D22" s="153"/>
      <c r="E22" s="153"/>
      <c r="F22" s="153"/>
      <c r="G22" s="153"/>
      <c r="H22" s="153"/>
      <c r="I22" s="153"/>
      <c r="J22" s="153"/>
      <c r="K22" s="153"/>
      <c r="L22" s="153">
        <v>25</v>
      </c>
      <c r="M22" s="153">
        <f t="shared" si="4"/>
        <v>2710850</v>
      </c>
      <c r="N22" s="153">
        <v>25</v>
      </c>
      <c r="O22" s="153">
        <f t="shared" si="5"/>
        <v>2404800</v>
      </c>
      <c r="P22" s="153"/>
      <c r="Q22" s="153"/>
      <c r="R22" s="153"/>
      <c r="S22" s="153"/>
      <c r="T22" s="153"/>
      <c r="U22" s="153"/>
      <c r="V22" s="153"/>
      <c r="W22" s="153">
        <f t="shared" si="9"/>
        <v>0</v>
      </c>
      <c r="X22" s="153"/>
      <c r="Y22" s="153"/>
      <c r="Z22" s="153"/>
      <c r="AA22" s="153">
        <f t="shared" si="11"/>
        <v>0</v>
      </c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42">
        <f t="shared" si="18"/>
        <v>25</v>
      </c>
      <c r="AO22" s="142">
        <f t="shared" si="23"/>
        <v>2710850</v>
      </c>
      <c r="AP22" s="142">
        <f t="shared" si="24"/>
        <v>25</v>
      </c>
      <c r="AQ22" s="142">
        <f t="shared" si="25"/>
        <v>2404800</v>
      </c>
      <c r="AR22" s="142">
        <f t="shared" si="26"/>
        <v>50</v>
      </c>
      <c r="AS22" s="142">
        <f t="shared" si="27"/>
        <v>5115700</v>
      </c>
      <c r="AT22" s="141"/>
      <c r="AU22" s="140"/>
      <c r="AV22" s="140"/>
      <c r="AW22" s="140"/>
      <c r="AX22" s="140"/>
      <c r="AY22" s="211"/>
      <c r="AZ22" s="141"/>
      <c r="BA22" s="139"/>
      <c r="BB22" s="139"/>
      <c r="BC22" s="141"/>
      <c r="BD22" s="141"/>
      <c r="BE22" s="141">
        <f t="shared" si="22"/>
        <v>0</v>
      </c>
      <c r="BF22" s="139"/>
      <c r="BG22" s="139"/>
      <c r="BH22" s="139"/>
      <c r="BI22" s="139"/>
      <c r="BJ22" s="137"/>
    </row>
    <row r="23" spans="1:64" s="49" customFormat="1" ht="11.25" outlineLevel="2" x14ac:dyDescent="0.2">
      <c r="A23" s="50">
        <v>14</v>
      </c>
      <c r="B23" s="50" t="s">
        <v>125</v>
      </c>
      <c r="C23" s="151" t="s">
        <v>196</v>
      </c>
      <c r="D23" s="153"/>
      <c r="E23" s="153"/>
      <c r="F23" s="153"/>
      <c r="G23" s="153"/>
      <c r="H23" s="153"/>
      <c r="I23" s="153"/>
      <c r="J23" s="153"/>
      <c r="K23" s="153"/>
      <c r="L23" s="153">
        <v>71</v>
      </c>
      <c r="M23" s="153">
        <f t="shared" si="4"/>
        <v>7698814</v>
      </c>
      <c r="N23" s="153">
        <v>76</v>
      </c>
      <c r="O23" s="153">
        <f t="shared" si="5"/>
        <v>7310592</v>
      </c>
      <c r="P23" s="153"/>
      <c r="Q23" s="153"/>
      <c r="R23" s="153"/>
      <c r="S23" s="153"/>
      <c r="T23" s="153"/>
      <c r="U23" s="153"/>
      <c r="V23" s="153"/>
      <c r="W23" s="153">
        <f t="shared" si="9"/>
        <v>0</v>
      </c>
      <c r="X23" s="153"/>
      <c r="Y23" s="153"/>
      <c r="Z23" s="153">
        <v>12</v>
      </c>
      <c r="AA23" s="153">
        <f t="shared" si="11"/>
        <v>4429260</v>
      </c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42">
        <f t="shared" si="18"/>
        <v>71</v>
      </c>
      <c r="AO23" s="142">
        <f t="shared" si="23"/>
        <v>7698814</v>
      </c>
      <c r="AP23" s="142">
        <f t="shared" si="24"/>
        <v>88</v>
      </c>
      <c r="AQ23" s="142">
        <f t="shared" si="25"/>
        <v>11739852</v>
      </c>
      <c r="AR23" s="142">
        <f t="shared" si="26"/>
        <v>159</v>
      </c>
      <c r="AS23" s="142">
        <f t="shared" si="27"/>
        <v>19438700</v>
      </c>
      <c r="AT23" s="141"/>
      <c r="AU23" s="140"/>
      <c r="AV23" s="140"/>
      <c r="AW23" s="140"/>
      <c r="AX23" s="140"/>
      <c r="AY23" s="211"/>
      <c r="AZ23" s="141"/>
      <c r="BA23" s="139"/>
      <c r="BB23" s="139"/>
      <c r="BC23" s="141"/>
      <c r="BD23" s="141"/>
      <c r="BE23" s="141">
        <f t="shared" si="22"/>
        <v>0</v>
      </c>
      <c r="BF23" s="139"/>
      <c r="BG23" s="139"/>
      <c r="BH23" s="139"/>
      <c r="BI23" s="139"/>
      <c r="BJ23" s="137"/>
    </row>
    <row r="24" spans="1:64" s="49" customFormat="1" ht="11.25" outlineLevel="2" x14ac:dyDescent="0.2">
      <c r="A24" s="130">
        <v>15</v>
      </c>
      <c r="B24" s="130" t="s">
        <v>125</v>
      </c>
      <c r="C24" s="151" t="s">
        <v>197</v>
      </c>
      <c r="D24" s="153"/>
      <c r="E24" s="153"/>
      <c r="F24" s="153"/>
      <c r="G24" s="153"/>
      <c r="H24" s="153"/>
      <c r="I24" s="153"/>
      <c r="J24" s="153"/>
      <c r="K24" s="153"/>
      <c r="L24" s="153">
        <v>107</v>
      </c>
      <c r="M24" s="153">
        <f t="shared" si="4"/>
        <v>11602438</v>
      </c>
      <c r="N24" s="153">
        <v>58</v>
      </c>
      <c r="O24" s="153">
        <f t="shared" si="5"/>
        <v>5579136</v>
      </c>
      <c r="P24" s="153">
        <v>0</v>
      </c>
      <c r="Q24" s="153"/>
      <c r="R24" s="153">
        <v>0</v>
      </c>
      <c r="S24" s="153"/>
      <c r="T24" s="153"/>
      <c r="U24" s="153"/>
      <c r="V24" s="153"/>
      <c r="W24" s="153"/>
      <c r="X24" s="153"/>
      <c r="Y24" s="153"/>
      <c r="Z24" s="153"/>
      <c r="AA24" s="153">
        <f t="shared" si="11"/>
        <v>0</v>
      </c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42">
        <f t="shared" si="18"/>
        <v>107</v>
      </c>
      <c r="AO24" s="142">
        <f t="shared" si="23"/>
        <v>11602438</v>
      </c>
      <c r="AP24" s="142">
        <f t="shared" si="24"/>
        <v>58</v>
      </c>
      <c r="AQ24" s="142">
        <f t="shared" si="25"/>
        <v>5579136</v>
      </c>
      <c r="AR24" s="142">
        <f t="shared" si="26"/>
        <v>165</v>
      </c>
      <c r="AS24" s="142">
        <f t="shared" si="27"/>
        <v>17181600</v>
      </c>
      <c r="AT24" s="141"/>
      <c r="AU24" s="140"/>
      <c r="AV24" s="140"/>
      <c r="AW24" s="140"/>
      <c r="AX24" s="140"/>
      <c r="AY24" s="211"/>
      <c r="AZ24" s="141"/>
      <c r="BA24" s="139"/>
      <c r="BB24" s="139"/>
      <c r="BC24" s="141"/>
      <c r="BD24" s="141"/>
      <c r="BE24" s="141"/>
      <c r="BF24" s="139"/>
      <c r="BG24" s="139"/>
      <c r="BH24" s="139"/>
      <c r="BI24" s="139"/>
      <c r="BJ24" s="137"/>
    </row>
    <row r="25" spans="1:64" s="49" customFormat="1" ht="11.25" outlineLevel="2" x14ac:dyDescent="0.2">
      <c r="A25" s="50">
        <v>16</v>
      </c>
      <c r="B25" s="50" t="s">
        <v>125</v>
      </c>
      <c r="C25" s="151" t="s">
        <v>198</v>
      </c>
      <c r="D25" s="153"/>
      <c r="E25" s="153"/>
      <c r="F25" s="153"/>
      <c r="G25" s="153"/>
      <c r="H25" s="153"/>
      <c r="I25" s="153"/>
      <c r="J25" s="153"/>
      <c r="K25" s="153"/>
      <c r="L25" s="153">
        <v>60</v>
      </c>
      <c r="M25" s="153">
        <f t="shared" si="4"/>
        <v>6506040</v>
      </c>
      <c r="N25" s="153">
        <v>60</v>
      </c>
      <c r="O25" s="153">
        <f t="shared" si="5"/>
        <v>5771520</v>
      </c>
      <c r="P25" s="153">
        <v>0</v>
      </c>
      <c r="Q25" s="153"/>
      <c r="R25" s="153">
        <v>0</v>
      </c>
      <c r="S25" s="153"/>
      <c r="T25" s="153"/>
      <c r="U25" s="153"/>
      <c r="V25" s="153"/>
      <c r="W25" s="153">
        <f t="shared" si="9"/>
        <v>0</v>
      </c>
      <c r="X25" s="153"/>
      <c r="Y25" s="153"/>
      <c r="Z25" s="153"/>
      <c r="AA25" s="153">
        <f t="shared" si="11"/>
        <v>0</v>
      </c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42">
        <f t="shared" si="18"/>
        <v>60</v>
      </c>
      <c r="AO25" s="142">
        <f t="shared" si="23"/>
        <v>6506040</v>
      </c>
      <c r="AP25" s="142">
        <f t="shared" si="24"/>
        <v>60</v>
      </c>
      <c r="AQ25" s="142">
        <f t="shared" si="25"/>
        <v>5771520</v>
      </c>
      <c r="AR25" s="142">
        <f t="shared" si="26"/>
        <v>120</v>
      </c>
      <c r="AS25" s="142">
        <f t="shared" si="27"/>
        <v>12277600</v>
      </c>
      <c r="AT25" s="141"/>
      <c r="AU25" s="140"/>
      <c r="AV25" s="140"/>
      <c r="AW25" s="140"/>
      <c r="AX25" s="140"/>
      <c r="AY25" s="211"/>
      <c r="AZ25" s="141"/>
      <c r="BA25" s="139"/>
      <c r="BB25" s="139"/>
      <c r="BC25" s="141"/>
      <c r="BD25" s="141"/>
      <c r="BE25" s="141">
        <f t="shared" si="22"/>
        <v>0</v>
      </c>
      <c r="BF25" s="139"/>
      <c r="BG25" s="139"/>
      <c r="BH25" s="139"/>
      <c r="BI25" s="139"/>
      <c r="BJ25" s="137"/>
    </row>
    <row r="26" spans="1:64" s="49" customFormat="1" ht="11.25" outlineLevel="2" x14ac:dyDescent="0.2">
      <c r="A26" s="50">
        <v>17</v>
      </c>
      <c r="B26" s="50" t="s">
        <v>125</v>
      </c>
      <c r="C26" s="151" t="s">
        <v>109</v>
      </c>
      <c r="D26" s="153"/>
      <c r="E26" s="153">
        <f t="shared" si="0"/>
        <v>0</v>
      </c>
      <c r="F26" s="153"/>
      <c r="G26" s="153">
        <f t="shared" si="1"/>
        <v>0</v>
      </c>
      <c r="H26" s="153"/>
      <c r="I26" s="153">
        <f t="shared" si="2"/>
        <v>0</v>
      </c>
      <c r="J26" s="153"/>
      <c r="K26" s="153">
        <f t="shared" si="3"/>
        <v>0</v>
      </c>
      <c r="L26" s="153"/>
      <c r="M26" s="153">
        <f t="shared" si="4"/>
        <v>0</v>
      </c>
      <c r="N26" s="153"/>
      <c r="O26" s="153">
        <f t="shared" si="5"/>
        <v>0</v>
      </c>
      <c r="P26" s="153">
        <v>20</v>
      </c>
      <c r="Q26" s="153">
        <f t="shared" si="6"/>
        <v>2484760</v>
      </c>
      <c r="R26" s="153">
        <v>68</v>
      </c>
      <c r="S26" s="153">
        <f t="shared" si="7"/>
        <v>7428796</v>
      </c>
      <c r="T26" s="153"/>
      <c r="U26" s="153">
        <f t="shared" si="8"/>
        <v>0</v>
      </c>
      <c r="V26" s="153"/>
      <c r="W26" s="153">
        <f t="shared" si="9"/>
        <v>0</v>
      </c>
      <c r="X26" s="153"/>
      <c r="Y26" s="153">
        <f t="shared" si="10"/>
        <v>0</v>
      </c>
      <c r="Z26" s="153"/>
      <c r="AA26" s="153">
        <f t="shared" si="11"/>
        <v>0</v>
      </c>
      <c r="AB26" s="153"/>
      <c r="AC26" s="153">
        <f t="shared" si="12"/>
        <v>0</v>
      </c>
      <c r="AD26" s="153"/>
      <c r="AE26" s="153">
        <f t="shared" si="13"/>
        <v>0</v>
      </c>
      <c r="AF26" s="153"/>
      <c r="AG26" s="153">
        <f t="shared" ref="AG26" si="31">AF26*AG$9</f>
        <v>0</v>
      </c>
      <c r="AH26" s="153"/>
      <c r="AI26" s="153">
        <f t="shared" ref="AI26" si="32">AH26*AI$9</f>
        <v>0</v>
      </c>
      <c r="AJ26" s="153"/>
      <c r="AK26" s="153">
        <f t="shared" ref="AK26" si="33">AJ26*AK$9</f>
        <v>0</v>
      </c>
      <c r="AL26" s="153"/>
      <c r="AM26" s="153">
        <f t="shared" ref="AM26" si="34">AL26*AM$9</f>
        <v>0</v>
      </c>
      <c r="AN26" s="142">
        <f>D26+H26+L26+P26+T26+X26+AB26+AF26+AJ26</f>
        <v>20</v>
      </c>
      <c r="AO26" s="142">
        <f>E26+I26+M26+Q26+U26+Y26+AC26+AG26+AK26</f>
        <v>2484760</v>
      </c>
      <c r="AP26" s="142">
        <f t="shared" si="24"/>
        <v>68</v>
      </c>
      <c r="AQ26" s="142">
        <f>G26+K26+O26+S26+W26+AA26+AE26+AI26+AM26</f>
        <v>7428796</v>
      </c>
      <c r="AR26" s="142">
        <f t="shared" si="26"/>
        <v>88</v>
      </c>
      <c r="AS26" s="142">
        <f t="shared" si="27"/>
        <v>9913600</v>
      </c>
      <c r="AT26" s="141"/>
      <c r="AU26" s="140"/>
      <c r="AV26" s="140"/>
      <c r="AW26" s="140"/>
      <c r="AX26" s="140"/>
      <c r="AY26" s="211"/>
      <c r="AZ26" s="141"/>
      <c r="BA26" s="139"/>
      <c r="BB26" s="139"/>
      <c r="BC26" s="141"/>
      <c r="BD26" s="141"/>
      <c r="BE26" s="141">
        <f t="shared" si="22"/>
        <v>0</v>
      </c>
      <c r="BF26" s="139"/>
      <c r="BG26" s="139"/>
      <c r="BH26" s="139"/>
      <c r="BI26" s="139"/>
      <c r="BJ26" s="137"/>
    </row>
    <row r="27" spans="1:64" s="166" customFormat="1" ht="11.25" outlineLevel="1" x14ac:dyDescent="0.2">
      <c r="A27" s="155"/>
      <c r="B27" s="156" t="s">
        <v>131</v>
      </c>
      <c r="C27" s="157"/>
      <c r="D27" s="158">
        <f t="shared" ref="D27:AS28" si="35">SUBTOTAL(9,D10:D26)</f>
        <v>0</v>
      </c>
      <c r="E27" s="158">
        <f t="shared" si="35"/>
        <v>0</v>
      </c>
      <c r="F27" s="158">
        <f t="shared" si="35"/>
        <v>0</v>
      </c>
      <c r="G27" s="158">
        <f t="shared" si="35"/>
        <v>0</v>
      </c>
      <c r="H27" s="158">
        <f t="shared" si="35"/>
        <v>0</v>
      </c>
      <c r="I27" s="158">
        <f t="shared" si="35"/>
        <v>0</v>
      </c>
      <c r="J27" s="158">
        <f t="shared" si="35"/>
        <v>0</v>
      </c>
      <c r="K27" s="158">
        <f t="shared" si="35"/>
        <v>0</v>
      </c>
      <c r="L27" s="158">
        <f t="shared" si="35"/>
        <v>1255</v>
      </c>
      <c r="M27" s="158">
        <f t="shared" si="35"/>
        <v>136084670</v>
      </c>
      <c r="N27" s="158">
        <f t="shared" si="35"/>
        <v>1504</v>
      </c>
      <c r="O27" s="158">
        <f t="shared" si="35"/>
        <v>144672768</v>
      </c>
      <c r="P27" s="158">
        <f t="shared" si="35"/>
        <v>927</v>
      </c>
      <c r="Q27" s="158">
        <f t="shared" si="35"/>
        <v>115168626</v>
      </c>
      <c r="R27" s="158">
        <f t="shared" si="35"/>
        <v>1189</v>
      </c>
      <c r="S27" s="158">
        <f t="shared" si="35"/>
        <v>129894683</v>
      </c>
      <c r="T27" s="158">
        <f t="shared" si="35"/>
        <v>0</v>
      </c>
      <c r="U27" s="158">
        <f t="shared" si="35"/>
        <v>0</v>
      </c>
      <c r="V27" s="158">
        <f t="shared" si="35"/>
        <v>0</v>
      </c>
      <c r="W27" s="158">
        <f t="shared" si="35"/>
        <v>0</v>
      </c>
      <c r="X27" s="158">
        <f t="shared" si="35"/>
        <v>0</v>
      </c>
      <c r="Y27" s="158">
        <f t="shared" si="35"/>
        <v>0</v>
      </c>
      <c r="Z27" s="158"/>
      <c r="AA27" s="158">
        <f t="shared" si="11"/>
        <v>0</v>
      </c>
      <c r="AB27" s="158">
        <f t="shared" si="35"/>
        <v>0</v>
      </c>
      <c r="AC27" s="158">
        <f t="shared" si="35"/>
        <v>0</v>
      </c>
      <c r="AD27" s="158">
        <f t="shared" si="35"/>
        <v>0</v>
      </c>
      <c r="AE27" s="158">
        <f t="shared" si="35"/>
        <v>0</v>
      </c>
      <c r="AF27" s="158">
        <f t="shared" ref="AF27:AM27" si="36">SUBTOTAL(9,AF10:AF26)</f>
        <v>0</v>
      </c>
      <c r="AG27" s="158">
        <f t="shared" si="36"/>
        <v>0</v>
      </c>
      <c r="AH27" s="158">
        <f t="shared" si="36"/>
        <v>0</v>
      </c>
      <c r="AI27" s="158">
        <f t="shared" si="36"/>
        <v>0</v>
      </c>
      <c r="AJ27" s="158">
        <f t="shared" si="36"/>
        <v>0</v>
      </c>
      <c r="AK27" s="158">
        <f t="shared" si="36"/>
        <v>0</v>
      </c>
      <c r="AL27" s="158">
        <f t="shared" si="36"/>
        <v>0</v>
      </c>
      <c r="AM27" s="158">
        <f t="shared" si="36"/>
        <v>0</v>
      </c>
      <c r="AN27" s="158">
        <f t="shared" si="35"/>
        <v>2182</v>
      </c>
      <c r="AO27" s="158">
        <f t="shared" si="35"/>
        <v>251253296</v>
      </c>
      <c r="AP27" s="158">
        <f t="shared" si="35"/>
        <v>2705</v>
      </c>
      <c r="AQ27" s="158">
        <f t="shared" si="35"/>
        <v>278996711</v>
      </c>
      <c r="AR27" s="158">
        <f t="shared" si="35"/>
        <v>4887</v>
      </c>
      <c r="AS27" s="158">
        <f t="shared" si="35"/>
        <v>530250300</v>
      </c>
      <c r="AT27" s="159">
        <f>ROUND(AR27/5000,2)</f>
        <v>0.98</v>
      </c>
      <c r="AU27" s="160">
        <f>ROUND(AT27*$AN$52*$AN$53*$AN$54*1.2,-2)</f>
        <v>1376800</v>
      </c>
      <c r="AV27" s="160">
        <f>ROUND(AS27*$AV$9,-2)</f>
        <v>530250300</v>
      </c>
      <c r="AW27" s="160">
        <f>AU27</f>
        <v>1376800</v>
      </c>
      <c r="AX27" s="160">
        <f>AV27+AW27</f>
        <v>531627100</v>
      </c>
      <c r="AY27" s="212">
        <v>216505900</v>
      </c>
      <c r="AZ27" s="159">
        <f>BB27-BA27</f>
        <v>219508100</v>
      </c>
      <c r="BA27" s="161">
        <v>580900</v>
      </c>
      <c r="BB27" s="159">
        <v>220089000</v>
      </c>
      <c r="BC27" s="159">
        <v>-4500000</v>
      </c>
      <c r="BD27" s="159"/>
      <c r="BE27" s="159">
        <f t="shared" si="22"/>
        <v>-4500000</v>
      </c>
      <c r="BF27" s="162">
        <f>AV27-AZ27-BC27</f>
        <v>315242200</v>
      </c>
      <c r="BG27" s="162">
        <f t="shared" ref="BG27:BH27" si="37">AW27-BA27-BD27</f>
        <v>795900</v>
      </c>
      <c r="BH27" s="162">
        <f t="shared" si="37"/>
        <v>316038100</v>
      </c>
      <c r="BI27" s="163">
        <f>(BB27+BE27)/AX27</f>
        <v>0.40552673104888748</v>
      </c>
      <c r="BJ27" s="164">
        <f>12*BI27</f>
        <v>4.8663207725866497</v>
      </c>
      <c r="BK27" s="165"/>
      <c r="BL27" s="165"/>
    </row>
    <row r="28" spans="1:64" s="49" customFormat="1" ht="11.25" outlineLevel="2" x14ac:dyDescent="0.2">
      <c r="A28" s="50">
        <v>18</v>
      </c>
      <c r="B28" s="56" t="s">
        <v>126</v>
      </c>
      <c r="C28" s="151" t="s">
        <v>123</v>
      </c>
      <c r="D28" s="131"/>
      <c r="E28" s="131"/>
      <c r="F28" s="153"/>
      <c r="G28" s="153"/>
      <c r="H28" s="153"/>
      <c r="I28" s="153"/>
      <c r="J28" s="153"/>
      <c r="K28" s="153"/>
      <c r="L28" s="143"/>
      <c r="M28" s="143">
        <f>L28*M$9</f>
        <v>0</v>
      </c>
      <c r="N28" s="143"/>
      <c r="O28" s="143">
        <f>N28*O$9</f>
        <v>0</v>
      </c>
      <c r="P28" s="143">
        <v>8</v>
      </c>
      <c r="Q28" s="143">
        <f>P28*Q$9</f>
        <v>993904</v>
      </c>
      <c r="R28" s="143">
        <v>27</v>
      </c>
      <c r="S28" s="143">
        <f>R28*S$9</f>
        <v>2949669</v>
      </c>
      <c r="T28" s="153">
        <v>10</v>
      </c>
      <c r="U28" s="153">
        <f t="shared" si="8"/>
        <v>1519470</v>
      </c>
      <c r="V28" s="153">
        <v>7</v>
      </c>
      <c r="W28" s="153">
        <f t="shared" si="9"/>
        <v>924959</v>
      </c>
      <c r="X28" s="153">
        <f t="shared" si="35"/>
        <v>0</v>
      </c>
      <c r="Y28" s="153">
        <f t="shared" si="35"/>
        <v>0</v>
      </c>
      <c r="Z28" s="153">
        <f t="shared" si="35"/>
        <v>12</v>
      </c>
      <c r="AA28" s="153">
        <f t="shared" si="35"/>
        <v>4429260</v>
      </c>
      <c r="AB28" s="153">
        <f t="shared" si="35"/>
        <v>0</v>
      </c>
      <c r="AC28" s="153">
        <f t="shared" si="35"/>
        <v>0</v>
      </c>
      <c r="AD28" s="153">
        <f t="shared" si="35"/>
        <v>0</v>
      </c>
      <c r="AE28" s="153">
        <f t="shared" si="35"/>
        <v>0</v>
      </c>
      <c r="AF28" s="144"/>
      <c r="AG28" s="144"/>
      <c r="AH28" s="144"/>
      <c r="AI28" s="144"/>
      <c r="AJ28" s="144"/>
      <c r="AK28" s="144"/>
      <c r="AL28" s="144"/>
      <c r="AM28" s="144"/>
      <c r="AN28" s="142">
        <f>D28+H28+L28+P28+T28+X28+AB28+AF28+AJ28</f>
        <v>18</v>
      </c>
      <c r="AO28" s="142">
        <f t="shared" ref="AO28:AO31" si="38">E28+I28+M28+Q28+U28+Y28+AC28+AG28+AK28</f>
        <v>2513374</v>
      </c>
      <c r="AP28" s="142">
        <f>F28+J28+N28+R28+V28+Z28+AD28+AH28+AL28</f>
        <v>46</v>
      </c>
      <c r="AQ28" s="142">
        <f t="shared" ref="AQ28:AQ31" si="39">G28+K28+O28+S28+W28+AA28+AE28+AI28+AM28</f>
        <v>8303888</v>
      </c>
      <c r="AR28" s="142">
        <f t="shared" ref="AR28:AR35" si="40">AN28+AP28</f>
        <v>64</v>
      </c>
      <c r="AS28" s="142">
        <f t="shared" ref="AS28:AS35" si="41">ROUND(AO28+AQ28,-2)</f>
        <v>10817300</v>
      </c>
      <c r="AT28" s="141"/>
      <c r="AU28" s="140"/>
      <c r="AV28" s="140"/>
      <c r="AW28" s="140"/>
      <c r="AX28" s="140"/>
      <c r="AY28" s="211"/>
      <c r="AZ28" s="141"/>
      <c r="BA28" s="142"/>
      <c r="BB28" s="139"/>
      <c r="BC28" s="141"/>
      <c r="BD28" s="141"/>
      <c r="BE28" s="141">
        <f t="shared" si="22"/>
        <v>0</v>
      </c>
      <c r="BF28" s="138">
        <f t="shared" ref="BF28:BF48" si="42">AV28-AZ28-BC28</f>
        <v>0</v>
      </c>
      <c r="BG28" s="138">
        <f t="shared" ref="BG28:BG48" si="43">AW28-BA28-BD28</f>
        <v>0</v>
      </c>
      <c r="BH28" s="138">
        <f t="shared" ref="BH28:BH48" si="44">AX28-BB28-BE28</f>
        <v>0</v>
      </c>
      <c r="BI28" s="139"/>
      <c r="BJ28" s="137"/>
      <c r="BL28" s="81"/>
    </row>
    <row r="29" spans="1:64" s="49" customFormat="1" ht="11.25" outlineLevel="2" x14ac:dyDescent="0.2">
      <c r="A29" s="50">
        <v>19</v>
      </c>
      <c r="B29" s="56" t="s">
        <v>126</v>
      </c>
      <c r="C29" s="151" t="s">
        <v>21</v>
      </c>
      <c r="D29" s="131"/>
      <c r="E29" s="131"/>
      <c r="F29" s="153"/>
      <c r="G29" s="153"/>
      <c r="H29" s="153"/>
      <c r="I29" s="153"/>
      <c r="J29" s="153"/>
      <c r="K29" s="153"/>
      <c r="L29" s="143">
        <v>30</v>
      </c>
      <c r="M29" s="143">
        <f>L29*M$9</f>
        <v>3253020</v>
      </c>
      <c r="N29" s="143">
        <v>56</v>
      </c>
      <c r="O29" s="143">
        <f>N29*O$9</f>
        <v>5386752</v>
      </c>
      <c r="P29" s="143"/>
      <c r="Q29" s="143">
        <f>P29*Q$9</f>
        <v>0</v>
      </c>
      <c r="R29" s="143"/>
      <c r="S29" s="143">
        <f>R29*S$9</f>
        <v>0</v>
      </c>
      <c r="T29" s="144"/>
      <c r="U29" s="144">
        <f t="shared" si="8"/>
        <v>0</v>
      </c>
      <c r="V29" s="144"/>
      <c r="W29" s="144">
        <f t="shared" si="9"/>
        <v>0</v>
      </c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2">
        <f>D29+H29+L29+P29+T29+X29+AB29+AF29+AJ29</f>
        <v>30</v>
      </c>
      <c r="AO29" s="142">
        <f t="shared" si="38"/>
        <v>3253020</v>
      </c>
      <c r="AP29" s="142">
        <f>F29+J29+N29+R29+V29+Z29+AD29+AH29+AL29</f>
        <v>56</v>
      </c>
      <c r="AQ29" s="142">
        <f t="shared" si="39"/>
        <v>5386752</v>
      </c>
      <c r="AR29" s="142">
        <f t="shared" si="40"/>
        <v>86</v>
      </c>
      <c r="AS29" s="142">
        <f t="shared" si="41"/>
        <v>8639800</v>
      </c>
      <c r="AT29" s="141"/>
      <c r="AU29" s="140"/>
      <c r="AV29" s="140"/>
      <c r="AW29" s="140"/>
      <c r="AX29" s="140"/>
      <c r="AY29" s="211"/>
      <c r="AZ29" s="141"/>
      <c r="BA29" s="142"/>
      <c r="BB29" s="139"/>
      <c r="BC29" s="141"/>
      <c r="BD29" s="141"/>
      <c r="BE29" s="141">
        <f t="shared" si="22"/>
        <v>0</v>
      </c>
      <c r="BF29" s="138">
        <f t="shared" si="42"/>
        <v>0</v>
      </c>
      <c r="BG29" s="138">
        <f t="shared" si="43"/>
        <v>0</v>
      </c>
      <c r="BH29" s="138">
        <f t="shared" si="44"/>
        <v>0</v>
      </c>
      <c r="BI29" s="139"/>
      <c r="BJ29" s="137"/>
      <c r="BL29" s="81"/>
    </row>
    <row r="30" spans="1:64" s="49" customFormat="1" ht="11.25" outlineLevel="2" x14ac:dyDescent="0.2">
      <c r="A30" s="50">
        <v>20</v>
      </c>
      <c r="B30" s="56" t="s">
        <v>126</v>
      </c>
      <c r="C30" s="151" t="s">
        <v>35</v>
      </c>
      <c r="D30" s="131"/>
      <c r="E30" s="131"/>
      <c r="F30" s="153"/>
      <c r="G30" s="153"/>
      <c r="H30" s="153"/>
      <c r="I30" s="153"/>
      <c r="J30" s="153"/>
      <c r="K30" s="153"/>
      <c r="L30" s="143">
        <v>38</v>
      </c>
      <c r="M30" s="143">
        <f>L30*M$9</f>
        <v>4120492</v>
      </c>
      <c r="N30" s="143">
        <v>0</v>
      </c>
      <c r="O30" s="143">
        <f>N30*O$9</f>
        <v>0</v>
      </c>
      <c r="P30" s="143"/>
      <c r="Q30" s="143">
        <f>P30*Q$9</f>
        <v>0</v>
      </c>
      <c r="R30" s="143"/>
      <c r="S30" s="143">
        <f>R30*S$9</f>
        <v>0</v>
      </c>
      <c r="T30" s="144"/>
      <c r="U30" s="144">
        <f t="shared" si="8"/>
        <v>0</v>
      </c>
      <c r="V30" s="144"/>
      <c r="W30" s="144">
        <f t="shared" si="9"/>
        <v>0</v>
      </c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2">
        <f>D30+H30+L30+P30+T30+X30+AB30+AF30+AJ30</f>
        <v>38</v>
      </c>
      <c r="AO30" s="142">
        <f t="shared" si="38"/>
        <v>4120492</v>
      </c>
      <c r="AP30" s="142">
        <f t="shared" ref="AP30:AP31" si="45">F30+J30+N30+R30+V30+Z30+AD30+AH30+AL30</f>
        <v>0</v>
      </c>
      <c r="AQ30" s="142">
        <f t="shared" si="39"/>
        <v>0</v>
      </c>
      <c r="AR30" s="142">
        <f t="shared" si="40"/>
        <v>38</v>
      </c>
      <c r="AS30" s="142">
        <f t="shared" si="41"/>
        <v>4120500</v>
      </c>
      <c r="AT30" s="141"/>
      <c r="AU30" s="140"/>
      <c r="AV30" s="140"/>
      <c r="AW30" s="140"/>
      <c r="AX30" s="140"/>
      <c r="AY30" s="211"/>
      <c r="AZ30" s="141"/>
      <c r="BA30" s="142"/>
      <c r="BB30" s="139"/>
      <c r="BC30" s="141"/>
      <c r="BD30" s="141"/>
      <c r="BE30" s="141">
        <f t="shared" si="22"/>
        <v>0</v>
      </c>
      <c r="BF30" s="138">
        <f t="shared" si="42"/>
        <v>0</v>
      </c>
      <c r="BG30" s="138">
        <f t="shared" si="43"/>
        <v>0</v>
      </c>
      <c r="BH30" s="138">
        <f t="shared" si="44"/>
        <v>0</v>
      </c>
      <c r="BI30" s="139"/>
      <c r="BJ30" s="137"/>
      <c r="BL30" s="81"/>
    </row>
    <row r="31" spans="1:64" s="49" customFormat="1" ht="11.25" outlineLevel="2" x14ac:dyDescent="0.2">
      <c r="A31" s="50">
        <v>21</v>
      </c>
      <c r="B31" s="56" t="s">
        <v>126</v>
      </c>
      <c r="C31" s="151" t="s">
        <v>37</v>
      </c>
      <c r="D31" s="131"/>
      <c r="E31" s="131"/>
      <c r="F31" s="153"/>
      <c r="G31" s="153"/>
      <c r="H31" s="153"/>
      <c r="I31" s="153"/>
      <c r="J31" s="153"/>
      <c r="K31" s="153"/>
      <c r="L31" s="143">
        <v>27</v>
      </c>
      <c r="M31" s="143">
        <f>L31*M$9</f>
        <v>2927718</v>
      </c>
      <c r="N31" s="143">
        <v>38</v>
      </c>
      <c r="O31" s="143">
        <f>N31*O$9</f>
        <v>3655296</v>
      </c>
      <c r="P31" s="143"/>
      <c r="Q31" s="143">
        <f>P31*Q$9</f>
        <v>0</v>
      </c>
      <c r="R31" s="143"/>
      <c r="S31" s="143">
        <f>R31*S$9</f>
        <v>0</v>
      </c>
      <c r="T31" s="144"/>
      <c r="U31" s="144">
        <f t="shared" si="8"/>
        <v>0</v>
      </c>
      <c r="V31" s="144"/>
      <c r="W31" s="144">
        <f t="shared" si="9"/>
        <v>0</v>
      </c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2">
        <f>D31+H31+L31+P31+T31+X31+AB31+AF31+AJ31</f>
        <v>27</v>
      </c>
      <c r="AO31" s="142">
        <f t="shared" si="38"/>
        <v>2927718</v>
      </c>
      <c r="AP31" s="142">
        <f t="shared" si="45"/>
        <v>38</v>
      </c>
      <c r="AQ31" s="142">
        <f t="shared" si="39"/>
        <v>3655296</v>
      </c>
      <c r="AR31" s="142">
        <f t="shared" si="40"/>
        <v>65</v>
      </c>
      <c r="AS31" s="142">
        <f t="shared" si="41"/>
        <v>6583000</v>
      </c>
      <c r="AT31" s="141"/>
      <c r="AU31" s="140"/>
      <c r="AV31" s="140"/>
      <c r="AW31" s="140"/>
      <c r="AX31" s="140"/>
      <c r="AY31" s="211"/>
      <c r="AZ31" s="141"/>
      <c r="BA31" s="142"/>
      <c r="BB31" s="139"/>
      <c r="BC31" s="141"/>
      <c r="BD31" s="141"/>
      <c r="BE31" s="141">
        <f t="shared" si="22"/>
        <v>0</v>
      </c>
      <c r="BF31" s="138">
        <f t="shared" si="42"/>
        <v>0</v>
      </c>
      <c r="BG31" s="138">
        <f t="shared" si="43"/>
        <v>0</v>
      </c>
      <c r="BH31" s="138">
        <f t="shared" si="44"/>
        <v>0</v>
      </c>
      <c r="BI31" s="139"/>
      <c r="BJ31" s="137"/>
      <c r="BL31" s="81"/>
    </row>
    <row r="32" spans="1:64" s="166" customFormat="1" ht="13.5" customHeight="1" outlineLevel="1" x14ac:dyDescent="0.2">
      <c r="A32" s="155"/>
      <c r="B32" s="167" t="s">
        <v>132</v>
      </c>
      <c r="C32" s="157"/>
      <c r="D32" s="158">
        <f t="shared" ref="D32:AS32" si="46">SUBTOTAL(9,D28:D31)</f>
        <v>0</v>
      </c>
      <c r="E32" s="158">
        <f t="shared" si="46"/>
        <v>0</v>
      </c>
      <c r="F32" s="158">
        <f t="shared" si="46"/>
        <v>0</v>
      </c>
      <c r="G32" s="158">
        <f t="shared" si="46"/>
        <v>0</v>
      </c>
      <c r="H32" s="158">
        <f t="shared" si="46"/>
        <v>0</v>
      </c>
      <c r="I32" s="158">
        <f t="shared" si="46"/>
        <v>0</v>
      </c>
      <c r="J32" s="158">
        <f t="shared" si="46"/>
        <v>0</v>
      </c>
      <c r="K32" s="158">
        <f t="shared" si="46"/>
        <v>0</v>
      </c>
      <c r="L32" s="158">
        <f t="shared" si="46"/>
        <v>95</v>
      </c>
      <c r="M32" s="158">
        <f t="shared" si="46"/>
        <v>10301230</v>
      </c>
      <c r="N32" s="158">
        <f>SUBTOTAL(9,N28:N31)</f>
        <v>94</v>
      </c>
      <c r="O32" s="158">
        <f t="shared" si="46"/>
        <v>9042048</v>
      </c>
      <c r="P32" s="158">
        <f t="shared" si="46"/>
        <v>8</v>
      </c>
      <c r="Q32" s="158">
        <f t="shared" si="46"/>
        <v>993904</v>
      </c>
      <c r="R32" s="158">
        <f t="shared" si="46"/>
        <v>27</v>
      </c>
      <c r="S32" s="158">
        <f t="shared" si="46"/>
        <v>2949669</v>
      </c>
      <c r="T32" s="158">
        <f t="shared" si="46"/>
        <v>10</v>
      </c>
      <c r="U32" s="158">
        <f t="shared" si="46"/>
        <v>1519470</v>
      </c>
      <c r="V32" s="158">
        <f t="shared" si="46"/>
        <v>7</v>
      </c>
      <c r="W32" s="158">
        <f t="shared" si="46"/>
        <v>924959</v>
      </c>
      <c r="X32" s="158">
        <f t="shared" si="46"/>
        <v>0</v>
      </c>
      <c r="Y32" s="158">
        <f t="shared" si="46"/>
        <v>0</v>
      </c>
      <c r="Z32" s="158">
        <f t="shared" si="46"/>
        <v>0</v>
      </c>
      <c r="AA32" s="158">
        <f t="shared" si="46"/>
        <v>0</v>
      </c>
      <c r="AB32" s="158">
        <f t="shared" si="46"/>
        <v>0</v>
      </c>
      <c r="AC32" s="158">
        <f t="shared" si="46"/>
        <v>0</v>
      </c>
      <c r="AD32" s="158">
        <f t="shared" si="46"/>
        <v>0</v>
      </c>
      <c r="AE32" s="158">
        <f t="shared" si="46"/>
        <v>0</v>
      </c>
      <c r="AF32" s="158">
        <f t="shared" ref="AF32:AM32" si="47">SUBTOTAL(9,AF28:AF31)</f>
        <v>0</v>
      </c>
      <c r="AG32" s="158">
        <f t="shared" si="47"/>
        <v>0</v>
      </c>
      <c r="AH32" s="158">
        <f t="shared" si="47"/>
        <v>0</v>
      </c>
      <c r="AI32" s="158">
        <f t="shared" si="47"/>
        <v>0</v>
      </c>
      <c r="AJ32" s="158">
        <f t="shared" si="47"/>
        <v>0</v>
      </c>
      <c r="AK32" s="158">
        <f t="shared" si="47"/>
        <v>0</v>
      </c>
      <c r="AL32" s="158">
        <f t="shared" si="47"/>
        <v>0</v>
      </c>
      <c r="AM32" s="158">
        <f t="shared" si="47"/>
        <v>0</v>
      </c>
      <c r="AN32" s="158">
        <f t="shared" si="46"/>
        <v>113</v>
      </c>
      <c r="AO32" s="158">
        <f t="shared" si="46"/>
        <v>12814604</v>
      </c>
      <c r="AP32" s="158">
        <f t="shared" si="46"/>
        <v>140</v>
      </c>
      <c r="AQ32" s="158">
        <f t="shared" si="46"/>
        <v>17345936</v>
      </c>
      <c r="AR32" s="158">
        <f t="shared" si="46"/>
        <v>253</v>
      </c>
      <c r="AS32" s="158">
        <f t="shared" si="46"/>
        <v>30160600</v>
      </c>
      <c r="AT32" s="159">
        <f>ROUND(AR32/5000,2)</f>
        <v>0.05</v>
      </c>
      <c r="AU32" s="160">
        <f>ROUND(AT32*$AN$52*$AN$53*$AN$54*1.2,-2)</f>
        <v>70200</v>
      </c>
      <c r="AV32" s="160">
        <f>ROUND(AS32*$AV$9,-2)</f>
        <v>30160600</v>
      </c>
      <c r="AW32" s="160">
        <f>AU32</f>
        <v>70200</v>
      </c>
      <c r="AX32" s="160">
        <f>AV32+AW32</f>
        <v>30230800</v>
      </c>
      <c r="AY32" s="212">
        <v>12311300</v>
      </c>
      <c r="AZ32" s="159">
        <f>BB32-BA32</f>
        <v>17023900</v>
      </c>
      <c r="BA32" s="161">
        <v>54000</v>
      </c>
      <c r="BB32" s="159">
        <v>17077900</v>
      </c>
      <c r="BC32" s="159">
        <v>-3800000</v>
      </c>
      <c r="BD32" s="159"/>
      <c r="BE32" s="159">
        <f t="shared" si="22"/>
        <v>-3800000</v>
      </c>
      <c r="BF32" s="162">
        <f t="shared" si="42"/>
        <v>16936700</v>
      </c>
      <c r="BG32" s="162">
        <f t="shared" si="43"/>
        <v>16200</v>
      </c>
      <c r="BH32" s="162">
        <f t="shared" si="44"/>
        <v>16952900</v>
      </c>
      <c r="BI32" s="163">
        <f>(BB32+BE32)/AX32</f>
        <v>0.43921761911692708</v>
      </c>
      <c r="BJ32" s="164">
        <f>12*BI32</f>
        <v>5.2706114294031252</v>
      </c>
      <c r="BK32" s="165"/>
      <c r="BL32" s="165"/>
    </row>
    <row r="33" spans="1:64" s="49" customFormat="1" ht="11.25" outlineLevel="2" x14ac:dyDescent="0.2">
      <c r="A33" s="50">
        <v>22</v>
      </c>
      <c r="B33" s="50" t="s">
        <v>127</v>
      </c>
      <c r="C33" s="55" t="s">
        <v>25</v>
      </c>
      <c r="D33" s="146">
        <v>15</v>
      </c>
      <c r="E33" s="146">
        <f>D33*E$9</f>
        <v>796785</v>
      </c>
      <c r="F33" s="153"/>
      <c r="G33" s="153">
        <f>F33*G$9</f>
        <v>0</v>
      </c>
      <c r="H33" s="153"/>
      <c r="I33" s="153">
        <f>H33*I$9</f>
        <v>0</v>
      </c>
      <c r="J33" s="153"/>
      <c r="K33" s="153">
        <f>J33*K$9</f>
        <v>0</v>
      </c>
      <c r="L33" s="148">
        <v>40</v>
      </c>
      <c r="M33" s="148">
        <f>L33*M$9</f>
        <v>4337360</v>
      </c>
      <c r="N33" s="148"/>
      <c r="O33" s="148">
        <f>N33*O$9</f>
        <v>0</v>
      </c>
      <c r="P33" s="150"/>
      <c r="Q33" s="150">
        <f>P33*Q$9</f>
        <v>0</v>
      </c>
      <c r="R33" s="153"/>
      <c r="S33" s="153">
        <f>R33*S$9</f>
        <v>0</v>
      </c>
      <c r="T33" s="153"/>
      <c r="U33" s="153">
        <f t="shared" si="8"/>
        <v>0</v>
      </c>
      <c r="V33" s="153"/>
      <c r="W33" s="153">
        <f t="shared" si="9"/>
        <v>0</v>
      </c>
      <c r="X33" s="153"/>
      <c r="Y33" s="153">
        <f>X33*Y$9</f>
        <v>0</v>
      </c>
      <c r="Z33" s="153"/>
      <c r="AA33" s="153">
        <f>Z33*AA$9</f>
        <v>0</v>
      </c>
      <c r="AB33" s="153"/>
      <c r="AC33" s="153">
        <f>AB33*AC$9</f>
        <v>0</v>
      </c>
      <c r="AD33" s="153"/>
      <c r="AE33" s="153">
        <f>AD33*AE$9</f>
        <v>0</v>
      </c>
      <c r="AF33" s="153"/>
      <c r="AG33" s="153">
        <f>AF33*AG$9</f>
        <v>0</v>
      </c>
      <c r="AH33" s="153"/>
      <c r="AI33" s="153">
        <f>AH33*AI$9</f>
        <v>0</v>
      </c>
      <c r="AJ33" s="153"/>
      <c r="AK33" s="153">
        <f>AJ33*AK$9</f>
        <v>0</v>
      </c>
      <c r="AL33" s="153"/>
      <c r="AM33" s="153">
        <f>AL33*AM$9</f>
        <v>0</v>
      </c>
      <c r="AN33" s="142">
        <f>D33+H33+L33+P33+T33+X33+AB33+AF33+AJ33</f>
        <v>55</v>
      </c>
      <c r="AO33" s="142">
        <f t="shared" ref="AO33:AO35" si="48">E33+I33+M33+Q33+U33+Y33+AC33+AG33+AK33</f>
        <v>5134145</v>
      </c>
      <c r="AP33" s="142">
        <f t="shared" ref="AP33:AP35" si="49">F33+J33+N33+R33+V33+Z33+AD33+AH33+AL33</f>
        <v>0</v>
      </c>
      <c r="AQ33" s="142">
        <f t="shared" ref="AQ33:AQ35" si="50">G33+K33+O33+S33+W33+AA33+AE33+AI33+AM33</f>
        <v>0</v>
      </c>
      <c r="AR33" s="142">
        <f t="shared" si="40"/>
        <v>55</v>
      </c>
      <c r="AS33" s="142">
        <f t="shared" si="41"/>
        <v>5134100</v>
      </c>
      <c r="AT33" s="141"/>
      <c r="AU33" s="140"/>
      <c r="AV33" s="140"/>
      <c r="AW33" s="140"/>
      <c r="AX33" s="140"/>
      <c r="AY33" s="211"/>
      <c r="AZ33" s="141"/>
      <c r="BA33" s="142"/>
      <c r="BB33" s="139"/>
      <c r="BC33" s="141"/>
      <c r="BD33" s="141"/>
      <c r="BE33" s="141">
        <f t="shared" si="22"/>
        <v>0</v>
      </c>
      <c r="BF33" s="138">
        <f t="shared" si="42"/>
        <v>0</v>
      </c>
      <c r="BG33" s="138">
        <f t="shared" si="43"/>
        <v>0</v>
      </c>
      <c r="BH33" s="138">
        <f t="shared" si="44"/>
        <v>0</v>
      </c>
      <c r="BI33" s="139"/>
      <c r="BJ33" s="137"/>
      <c r="BL33" s="81"/>
    </row>
    <row r="34" spans="1:64" s="49" customFormat="1" ht="22.5" outlineLevel="2" x14ac:dyDescent="0.2">
      <c r="A34" s="50">
        <v>23</v>
      </c>
      <c r="B34" s="50" t="s">
        <v>127</v>
      </c>
      <c r="C34" s="55" t="s">
        <v>34</v>
      </c>
      <c r="D34" s="146"/>
      <c r="E34" s="146">
        <f>D34*E$9</f>
        <v>0</v>
      </c>
      <c r="F34" s="153"/>
      <c r="G34" s="153">
        <f>F34*G$9</f>
        <v>0</v>
      </c>
      <c r="H34" s="153"/>
      <c r="I34" s="153">
        <f>H34*I$9</f>
        <v>0</v>
      </c>
      <c r="J34" s="153"/>
      <c r="K34" s="153">
        <f>J34*K$9</f>
        <v>0</v>
      </c>
      <c r="L34" s="148"/>
      <c r="M34" s="148">
        <f>L34*M$9</f>
        <v>0</v>
      </c>
      <c r="N34" s="148"/>
      <c r="O34" s="148">
        <f>N34*O$9</f>
        <v>0</v>
      </c>
      <c r="P34" s="150">
        <v>30</v>
      </c>
      <c r="Q34" s="150">
        <f>P34*Q$9</f>
        <v>3727140</v>
      </c>
      <c r="R34" s="153">
        <v>48</v>
      </c>
      <c r="S34" s="153">
        <f>R34*S$9</f>
        <v>5243856</v>
      </c>
      <c r="T34" s="153"/>
      <c r="U34" s="153">
        <f t="shared" si="8"/>
        <v>0</v>
      </c>
      <c r="V34" s="153"/>
      <c r="W34" s="153">
        <f t="shared" si="9"/>
        <v>0</v>
      </c>
      <c r="X34" s="153"/>
      <c r="Y34" s="153">
        <f>X34*Y$9</f>
        <v>0</v>
      </c>
      <c r="Z34" s="153"/>
      <c r="AA34" s="153">
        <f>Z34*AA$9</f>
        <v>0</v>
      </c>
      <c r="AB34" s="153"/>
      <c r="AC34" s="153">
        <f>AB34*AC$9</f>
        <v>0</v>
      </c>
      <c r="AD34" s="153"/>
      <c r="AE34" s="153">
        <f>AD34*AE$9</f>
        <v>0</v>
      </c>
      <c r="AF34" s="153"/>
      <c r="AG34" s="153">
        <f>AF34*AG$9</f>
        <v>0</v>
      </c>
      <c r="AH34" s="153"/>
      <c r="AI34" s="153">
        <f>AH34*AI$9</f>
        <v>0</v>
      </c>
      <c r="AJ34" s="153"/>
      <c r="AK34" s="153">
        <f>AJ34*AK$9</f>
        <v>0</v>
      </c>
      <c r="AL34" s="153"/>
      <c r="AM34" s="153">
        <f>AL34*AM$9</f>
        <v>0</v>
      </c>
      <c r="AN34" s="142">
        <f>D34+H34+L34+P34+T34+X34+AB34+AF34+AJ34</f>
        <v>30</v>
      </c>
      <c r="AO34" s="142">
        <f t="shared" si="48"/>
        <v>3727140</v>
      </c>
      <c r="AP34" s="142">
        <f t="shared" si="49"/>
        <v>48</v>
      </c>
      <c r="AQ34" s="142">
        <f t="shared" si="50"/>
        <v>5243856</v>
      </c>
      <c r="AR34" s="142">
        <f t="shared" si="40"/>
        <v>78</v>
      </c>
      <c r="AS34" s="142">
        <f t="shared" si="41"/>
        <v>8971000</v>
      </c>
      <c r="AT34" s="141"/>
      <c r="AU34" s="140"/>
      <c r="AV34" s="140"/>
      <c r="AW34" s="140"/>
      <c r="AX34" s="140"/>
      <c r="AY34" s="211"/>
      <c r="AZ34" s="141"/>
      <c r="BA34" s="142"/>
      <c r="BB34" s="139"/>
      <c r="BC34" s="141"/>
      <c r="BD34" s="141"/>
      <c r="BE34" s="141">
        <f t="shared" si="22"/>
        <v>0</v>
      </c>
      <c r="BF34" s="138">
        <f t="shared" si="42"/>
        <v>0</v>
      </c>
      <c r="BG34" s="138">
        <f t="shared" si="43"/>
        <v>0</v>
      </c>
      <c r="BH34" s="138">
        <f t="shared" si="44"/>
        <v>0</v>
      </c>
      <c r="BI34" s="139"/>
      <c r="BJ34" s="137"/>
      <c r="BL34" s="81"/>
    </row>
    <row r="35" spans="1:64" s="49" customFormat="1" ht="11.25" outlineLevel="2" x14ac:dyDescent="0.2">
      <c r="A35" s="50">
        <v>24</v>
      </c>
      <c r="B35" s="56" t="s">
        <v>127</v>
      </c>
      <c r="C35" s="151" t="s">
        <v>24</v>
      </c>
      <c r="D35" s="146"/>
      <c r="E35" s="146"/>
      <c r="F35" s="153"/>
      <c r="G35" s="153"/>
      <c r="H35" s="153"/>
      <c r="I35" s="153"/>
      <c r="J35" s="153"/>
      <c r="K35" s="153"/>
      <c r="L35" s="147">
        <v>19</v>
      </c>
      <c r="M35" s="147">
        <f>L35*M$9</f>
        <v>2060246</v>
      </c>
      <c r="N35" s="147">
        <v>11</v>
      </c>
      <c r="O35" s="147">
        <f>N35*O$9</f>
        <v>1058112</v>
      </c>
      <c r="P35" s="150"/>
      <c r="Q35" s="149">
        <f>P35*Q$9</f>
        <v>0</v>
      </c>
      <c r="R35" s="153"/>
      <c r="S35" s="152">
        <f>R35*S$9</f>
        <v>0</v>
      </c>
      <c r="T35" s="153"/>
      <c r="U35" s="153">
        <f t="shared" si="8"/>
        <v>0</v>
      </c>
      <c r="V35" s="153"/>
      <c r="W35" s="153">
        <f t="shared" si="9"/>
        <v>0</v>
      </c>
      <c r="X35" s="153"/>
      <c r="Y35" s="153"/>
      <c r="Z35" s="153"/>
      <c r="AA35" s="153"/>
      <c r="AB35" s="153"/>
      <c r="AC35" s="153"/>
      <c r="AD35" s="153"/>
      <c r="AE35" s="153"/>
      <c r="AF35" s="153"/>
      <c r="AG35" s="153"/>
      <c r="AH35" s="153"/>
      <c r="AI35" s="153"/>
      <c r="AJ35" s="153"/>
      <c r="AK35" s="153"/>
      <c r="AL35" s="153"/>
      <c r="AM35" s="153"/>
      <c r="AN35" s="142">
        <f>D35+H35+L35+P35+T35+X35+AB35+AF35+AJ35</f>
        <v>19</v>
      </c>
      <c r="AO35" s="142">
        <f t="shared" si="48"/>
        <v>2060246</v>
      </c>
      <c r="AP35" s="142">
        <f t="shared" si="49"/>
        <v>11</v>
      </c>
      <c r="AQ35" s="142">
        <f t="shared" si="50"/>
        <v>1058112</v>
      </c>
      <c r="AR35" s="142">
        <f t="shared" si="40"/>
        <v>30</v>
      </c>
      <c r="AS35" s="142">
        <f t="shared" si="41"/>
        <v>3118400</v>
      </c>
      <c r="AT35" s="141"/>
      <c r="AU35" s="140"/>
      <c r="AV35" s="140"/>
      <c r="AW35" s="140"/>
      <c r="AX35" s="140"/>
      <c r="AY35" s="211"/>
      <c r="AZ35" s="141"/>
      <c r="BA35" s="142"/>
      <c r="BB35" s="139"/>
      <c r="BC35" s="141"/>
      <c r="BD35" s="141"/>
      <c r="BE35" s="141">
        <f t="shared" si="22"/>
        <v>0</v>
      </c>
      <c r="BF35" s="138">
        <f t="shared" si="42"/>
        <v>0</v>
      </c>
      <c r="BG35" s="138">
        <f t="shared" si="43"/>
        <v>0</v>
      </c>
      <c r="BH35" s="138">
        <f t="shared" si="44"/>
        <v>0</v>
      </c>
      <c r="BI35" s="139"/>
      <c r="BJ35" s="137"/>
      <c r="BL35" s="81"/>
    </row>
    <row r="36" spans="1:64" s="166" customFormat="1" ht="11.25" outlineLevel="1" x14ac:dyDescent="0.2">
      <c r="A36" s="155"/>
      <c r="B36" s="167" t="s">
        <v>133</v>
      </c>
      <c r="C36" s="157"/>
      <c r="D36" s="158">
        <f t="shared" ref="D36" si="51">SUBTOTAL(9,D33:D35)</f>
        <v>15</v>
      </c>
      <c r="E36" s="158">
        <f t="shared" ref="E36" si="52">SUBTOTAL(9,E33:E35)</f>
        <v>796785</v>
      </c>
      <c r="F36" s="158">
        <f t="shared" ref="F36" si="53">SUBTOTAL(9,F33:F35)</f>
        <v>0</v>
      </c>
      <c r="G36" s="158">
        <f t="shared" ref="G36" si="54">SUBTOTAL(9,G33:G35)</f>
        <v>0</v>
      </c>
      <c r="H36" s="158">
        <f t="shared" ref="H36" si="55">SUBTOTAL(9,H33:H35)</f>
        <v>0</v>
      </c>
      <c r="I36" s="158">
        <f t="shared" ref="I36" si="56">SUBTOTAL(9,I33:I35)</f>
        <v>0</v>
      </c>
      <c r="J36" s="158">
        <f t="shared" ref="J36" si="57">SUBTOTAL(9,J33:J35)</f>
        <v>0</v>
      </c>
      <c r="K36" s="158">
        <f t="shared" ref="K36" si="58">SUBTOTAL(9,K33:K35)</f>
        <v>0</v>
      </c>
      <c r="L36" s="158">
        <f t="shared" ref="L36" si="59">SUBTOTAL(9,L33:L35)</f>
        <v>59</v>
      </c>
      <c r="M36" s="158">
        <f t="shared" ref="M36" si="60">SUBTOTAL(9,M33:M35)</f>
        <v>6397606</v>
      </c>
      <c r="N36" s="158">
        <f t="shared" ref="N36" si="61">SUBTOTAL(9,N33:N35)</f>
        <v>11</v>
      </c>
      <c r="O36" s="158">
        <f t="shared" ref="O36" si="62">SUBTOTAL(9,O33:O35)</f>
        <v>1058112</v>
      </c>
      <c r="P36" s="158">
        <f t="shared" ref="P36" si="63">SUBTOTAL(9,P33:P35)</f>
        <v>30</v>
      </c>
      <c r="Q36" s="158">
        <f t="shared" ref="Q36" si="64">SUBTOTAL(9,Q33:Q35)</f>
        <v>3727140</v>
      </c>
      <c r="R36" s="158">
        <f t="shared" ref="R36" si="65">SUBTOTAL(9,R33:R35)</f>
        <v>48</v>
      </c>
      <c r="S36" s="158">
        <f t="shared" ref="S36" si="66">SUBTOTAL(9,S33:S35)</f>
        <v>5243856</v>
      </c>
      <c r="T36" s="158">
        <f t="shared" ref="T36:W36" si="67">SUBTOTAL(9,T33:T35)</f>
        <v>0</v>
      </c>
      <c r="U36" s="158">
        <f t="shared" si="67"/>
        <v>0</v>
      </c>
      <c r="V36" s="158">
        <f t="shared" si="67"/>
        <v>0</v>
      </c>
      <c r="W36" s="158">
        <f t="shared" si="67"/>
        <v>0</v>
      </c>
      <c r="X36" s="158">
        <f t="shared" ref="X36" si="68">SUBTOTAL(9,X33:X35)</f>
        <v>0</v>
      </c>
      <c r="Y36" s="158">
        <f t="shared" ref="Y36" si="69">SUBTOTAL(9,Y33:Y35)</f>
        <v>0</v>
      </c>
      <c r="Z36" s="158">
        <f t="shared" ref="Z36" si="70">SUBTOTAL(9,Z33:Z35)</f>
        <v>0</v>
      </c>
      <c r="AA36" s="158">
        <f t="shared" ref="AA36" si="71">SUBTOTAL(9,AA33:AA35)</f>
        <v>0</v>
      </c>
      <c r="AB36" s="158">
        <f t="shared" ref="AB36" si="72">SUBTOTAL(9,AB33:AB35)</f>
        <v>0</v>
      </c>
      <c r="AC36" s="158">
        <f t="shared" ref="AC36" si="73">SUBTOTAL(9,AC33:AC35)</f>
        <v>0</v>
      </c>
      <c r="AD36" s="158">
        <f t="shared" ref="AD36" si="74">SUBTOTAL(9,AD33:AD35)</f>
        <v>0</v>
      </c>
      <c r="AE36" s="158">
        <f t="shared" ref="AE36:AL36" si="75">SUBTOTAL(9,AE33:AE35)</f>
        <v>0</v>
      </c>
      <c r="AF36" s="158">
        <f t="shared" si="75"/>
        <v>0</v>
      </c>
      <c r="AG36" s="158">
        <f t="shared" si="75"/>
        <v>0</v>
      </c>
      <c r="AH36" s="158">
        <f t="shared" si="75"/>
        <v>0</v>
      </c>
      <c r="AI36" s="158">
        <f t="shared" si="75"/>
        <v>0</v>
      </c>
      <c r="AJ36" s="158">
        <f t="shared" si="75"/>
        <v>0</v>
      </c>
      <c r="AK36" s="158">
        <f t="shared" si="75"/>
        <v>0</v>
      </c>
      <c r="AL36" s="158">
        <f t="shared" si="75"/>
        <v>0</v>
      </c>
      <c r="AM36" s="158">
        <f t="shared" ref="AM36" si="76">SUBTOTAL(9,AM33:AM35)</f>
        <v>0</v>
      </c>
      <c r="AN36" s="158">
        <f t="shared" ref="AN36" si="77">SUBTOTAL(9,AN33:AN35)</f>
        <v>104</v>
      </c>
      <c r="AO36" s="158">
        <f t="shared" ref="AO36" si="78">SUBTOTAL(9,AO33:AO35)</f>
        <v>10921531</v>
      </c>
      <c r="AP36" s="158">
        <f t="shared" ref="AP36" si="79">SUBTOTAL(9,AP33:AP35)</f>
        <v>59</v>
      </c>
      <c r="AQ36" s="158">
        <f t="shared" ref="AQ36" si="80">SUBTOTAL(9,AQ33:AQ35)</f>
        <v>6301968</v>
      </c>
      <c r="AR36" s="158">
        <f t="shared" ref="AR36" si="81">SUBTOTAL(9,AR33:AR35)</f>
        <v>163</v>
      </c>
      <c r="AS36" s="158">
        <f t="shared" ref="AS36" si="82">SUBTOTAL(9,AS33:AS35)</f>
        <v>17223500</v>
      </c>
      <c r="AT36" s="159">
        <f>ROUND(AR36/5000,2)</f>
        <v>0.03</v>
      </c>
      <c r="AU36" s="160">
        <f>ROUND(AT36*$AN$52*$AN$53*$AN$54*1.2,-2)</f>
        <v>42100</v>
      </c>
      <c r="AV36" s="160">
        <f>ROUND(AS36*$AV$9,-2)</f>
        <v>17223500</v>
      </c>
      <c r="AW36" s="160">
        <f>AU36</f>
        <v>42100</v>
      </c>
      <c r="AX36" s="160">
        <f>AV36+AW36</f>
        <v>17265600</v>
      </c>
      <c r="AY36" s="212">
        <v>7031400</v>
      </c>
      <c r="AZ36" s="159">
        <f>BB36-BA36</f>
        <v>21212500</v>
      </c>
      <c r="BA36" s="161">
        <v>54000</v>
      </c>
      <c r="BB36" s="159">
        <v>21266500</v>
      </c>
      <c r="BC36" s="159">
        <v>-10000000</v>
      </c>
      <c r="BD36" s="159"/>
      <c r="BE36" s="159">
        <f t="shared" si="22"/>
        <v>-10000000</v>
      </c>
      <c r="BF36" s="162">
        <f t="shared" si="42"/>
        <v>6011000</v>
      </c>
      <c r="BG36" s="162">
        <f t="shared" si="43"/>
        <v>-11900</v>
      </c>
      <c r="BH36" s="162">
        <f t="shared" si="44"/>
        <v>5999100</v>
      </c>
      <c r="BI36" s="163">
        <f>(BB36+BE36)/AX36</f>
        <v>0.65254031137058655</v>
      </c>
      <c r="BJ36" s="164">
        <f>12*BI36</f>
        <v>7.8304837364470385</v>
      </c>
      <c r="BK36" s="165"/>
      <c r="BL36" s="165"/>
    </row>
    <row r="37" spans="1:64" s="45" customFormat="1" ht="33.75" outlineLevel="2" x14ac:dyDescent="0.2">
      <c r="A37" s="80">
        <v>25</v>
      </c>
      <c r="B37" s="50" t="s">
        <v>130</v>
      </c>
      <c r="C37" s="44" t="s">
        <v>148</v>
      </c>
      <c r="D37" s="136"/>
      <c r="E37" s="136">
        <f>D37*E$9</f>
        <v>0</v>
      </c>
      <c r="F37" s="136"/>
      <c r="G37" s="136">
        <f>F37*G$9</f>
        <v>0</v>
      </c>
      <c r="H37" s="136"/>
      <c r="I37" s="136">
        <f>H37*I$9</f>
        <v>0</v>
      </c>
      <c r="J37" s="136"/>
      <c r="K37" s="136">
        <f>J37*K$9</f>
        <v>0</v>
      </c>
      <c r="L37" s="153">
        <v>17</v>
      </c>
      <c r="M37" s="136">
        <f>L37*M$9</f>
        <v>1843378</v>
      </c>
      <c r="N37" s="153">
        <v>58</v>
      </c>
      <c r="O37" s="136">
        <f>N37*O$9</f>
        <v>5579136</v>
      </c>
      <c r="P37" s="153"/>
      <c r="Q37" s="153">
        <f t="shared" ref="Q37:Q42" si="83">P37*Q$9</f>
        <v>0</v>
      </c>
      <c r="R37" s="136"/>
      <c r="S37" s="153">
        <f t="shared" ref="S37:S41" si="84">R37*S$9</f>
        <v>0</v>
      </c>
      <c r="T37" s="136"/>
      <c r="U37" s="153">
        <f t="shared" si="8"/>
        <v>0</v>
      </c>
      <c r="V37" s="136"/>
      <c r="W37" s="153">
        <f t="shared" si="9"/>
        <v>0</v>
      </c>
      <c r="X37" s="136"/>
      <c r="Y37" s="136">
        <f>X37*Y$9</f>
        <v>0</v>
      </c>
      <c r="Z37" s="136"/>
      <c r="AA37" s="136">
        <f>Z37*AA$9</f>
        <v>0</v>
      </c>
      <c r="AB37" s="136"/>
      <c r="AC37" s="136">
        <f>AB37*AC$9</f>
        <v>0</v>
      </c>
      <c r="AD37" s="136"/>
      <c r="AE37" s="136">
        <f>AD37*AE$9</f>
        <v>0</v>
      </c>
      <c r="AF37" s="136"/>
      <c r="AG37" s="136">
        <f>AF37*AG$9</f>
        <v>0</v>
      </c>
      <c r="AH37" s="136"/>
      <c r="AI37" s="136">
        <f>AH37*AI$9</f>
        <v>0</v>
      </c>
      <c r="AJ37" s="136"/>
      <c r="AK37" s="136">
        <f>AJ37*AK$9</f>
        <v>0</v>
      </c>
      <c r="AL37" s="136"/>
      <c r="AM37" s="136">
        <f>AL37*AM$9</f>
        <v>0</v>
      </c>
      <c r="AN37" s="142">
        <f t="shared" ref="AN37:AN42" si="85">D37+H37+L37+P37+T37+X37+AB37+AF37+AJ37</f>
        <v>17</v>
      </c>
      <c r="AO37" s="142">
        <f t="shared" ref="AO37:AO42" si="86">E37+I37+M37+Q37+U37+Y37+AC37+AG37+AK37</f>
        <v>1843378</v>
      </c>
      <c r="AP37" s="142">
        <f t="shared" ref="AP37:AP42" si="87">F37+J37+N37+R37+V37+Z37+AD37+AH37+AL37</f>
        <v>58</v>
      </c>
      <c r="AQ37" s="142">
        <f t="shared" ref="AQ37:AQ42" si="88">G37+K37+O37+S37+W37+AA37+AE37+AI37+AM37</f>
        <v>5579136</v>
      </c>
      <c r="AR37" s="142">
        <f t="shared" ref="AR37:AR42" si="89">AN37+AP37</f>
        <v>75</v>
      </c>
      <c r="AS37" s="142">
        <f t="shared" ref="AS37:AS42" si="90">ROUND(AO37+AQ37,-2)</f>
        <v>7422500</v>
      </c>
      <c r="AT37" s="145"/>
      <c r="AU37" s="135"/>
      <c r="AV37" s="135"/>
      <c r="AW37" s="135"/>
      <c r="AX37" s="135"/>
      <c r="AY37" s="213"/>
      <c r="AZ37" s="145"/>
      <c r="BA37" s="134"/>
      <c r="BB37" s="133"/>
      <c r="BC37" s="145"/>
      <c r="BD37" s="145"/>
      <c r="BE37" s="141">
        <f t="shared" si="22"/>
        <v>0</v>
      </c>
      <c r="BF37" s="138">
        <f t="shared" si="42"/>
        <v>0</v>
      </c>
      <c r="BG37" s="138">
        <f t="shared" si="43"/>
        <v>0</v>
      </c>
      <c r="BH37" s="138">
        <f t="shared" si="44"/>
        <v>0</v>
      </c>
      <c r="BI37" s="133"/>
      <c r="BJ37" s="132"/>
      <c r="BL37" s="81"/>
    </row>
    <row r="38" spans="1:64" s="49" customFormat="1" ht="22.5" outlineLevel="1" x14ac:dyDescent="0.2">
      <c r="A38" s="50">
        <v>26</v>
      </c>
      <c r="B38" s="50" t="s">
        <v>130</v>
      </c>
      <c r="C38" s="56" t="s">
        <v>149</v>
      </c>
      <c r="D38" s="153"/>
      <c r="E38" s="153"/>
      <c r="F38" s="153"/>
      <c r="G38" s="153"/>
      <c r="H38" s="153"/>
      <c r="I38" s="153"/>
      <c r="J38" s="153"/>
      <c r="K38" s="153"/>
      <c r="L38" s="153">
        <v>110</v>
      </c>
      <c r="M38" s="136">
        <f t="shared" ref="M38:M41" si="91">L38*M$9</f>
        <v>11927740</v>
      </c>
      <c r="N38" s="153">
        <v>55</v>
      </c>
      <c r="O38" s="136">
        <f t="shared" ref="O38:O41" si="92">N38*O$9</f>
        <v>5290560</v>
      </c>
      <c r="P38" s="153"/>
      <c r="Q38" s="153">
        <f t="shared" si="83"/>
        <v>0</v>
      </c>
      <c r="R38" s="152"/>
      <c r="S38" s="153">
        <f t="shared" si="84"/>
        <v>0</v>
      </c>
      <c r="T38" s="153"/>
      <c r="U38" s="153">
        <f t="shared" si="8"/>
        <v>0</v>
      </c>
      <c r="V38" s="153"/>
      <c r="W38" s="153">
        <f t="shared" si="9"/>
        <v>0</v>
      </c>
      <c r="X38" s="153"/>
      <c r="Y38" s="153"/>
      <c r="Z38" s="153"/>
      <c r="AA38" s="153"/>
      <c r="AB38" s="153"/>
      <c r="AC38" s="153"/>
      <c r="AD38" s="153"/>
      <c r="AE38" s="153">
        <f t="shared" ref="AE38:AE41" si="93">AD38*AE$9</f>
        <v>0</v>
      </c>
      <c r="AF38" s="153"/>
      <c r="AG38" s="153"/>
      <c r="AH38" s="153"/>
      <c r="AI38" s="153"/>
      <c r="AJ38" s="153"/>
      <c r="AK38" s="153"/>
      <c r="AL38" s="153"/>
      <c r="AM38" s="153"/>
      <c r="AN38" s="142">
        <f t="shared" si="85"/>
        <v>110</v>
      </c>
      <c r="AO38" s="142">
        <f t="shared" si="86"/>
        <v>11927740</v>
      </c>
      <c r="AP38" s="142">
        <f t="shared" si="87"/>
        <v>55</v>
      </c>
      <c r="AQ38" s="142">
        <f t="shared" si="88"/>
        <v>5290560</v>
      </c>
      <c r="AR38" s="142">
        <f t="shared" si="89"/>
        <v>165</v>
      </c>
      <c r="AS38" s="142">
        <f t="shared" si="90"/>
        <v>17218300</v>
      </c>
      <c r="AT38" s="141"/>
      <c r="AU38" s="140"/>
      <c r="AV38" s="140"/>
      <c r="AW38" s="140"/>
      <c r="AX38" s="140"/>
      <c r="AY38" s="211"/>
      <c r="AZ38" s="141"/>
      <c r="BA38" s="142"/>
      <c r="BB38" s="139"/>
      <c r="BC38" s="141"/>
      <c r="BD38" s="141"/>
      <c r="BE38" s="141">
        <f t="shared" si="22"/>
        <v>0</v>
      </c>
      <c r="BF38" s="138">
        <f t="shared" si="42"/>
        <v>0</v>
      </c>
      <c r="BG38" s="138">
        <f t="shared" si="43"/>
        <v>0</v>
      </c>
      <c r="BH38" s="138">
        <f t="shared" si="44"/>
        <v>0</v>
      </c>
      <c r="BI38" s="139"/>
      <c r="BJ38" s="137"/>
      <c r="BL38" s="81"/>
    </row>
    <row r="39" spans="1:64" s="49" customFormat="1" ht="22.5" outlineLevel="1" x14ac:dyDescent="0.2">
      <c r="A39" s="50">
        <v>27</v>
      </c>
      <c r="B39" s="50" t="s">
        <v>130</v>
      </c>
      <c r="C39" s="55" t="s">
        <v>150</v>
      </c>
      <c r="D39" s="153"/>
      <c r="E39" s="153"/>
      <c r="F39" s="153"/>
      <c r="G39" s="153"/>
      <c r="H39" s="153"/>
      <c r="I39" s="153"/>
      <c r="J39" s="153"/>
      <c r="K39" s="153"/>
      <c r="L39" s="153">
        <v>77</v>
      </c>
      <c r="M39" s="136">
        <f t="shared" si="91"/>
        <v>8349418</v>
      </c>
      <c r="N39" s="153">
        <v>33</v>
      </c>
      <c r="O39" s="136">
        <f t="shared" si="92"/>
        <v>3174336</v>
      </c>
      <c r="P39" s="153"/>
      <c r="Q39" s="153">
        <f t="shared" si="83"/>
        <v>0</v>
      </c>
      <c r="R39" s="152"/>
      <c r="S39" s="153">
        <f t="shared" si="84"/>
        <v>0</v>
      </c>
      <c r="T39" s="153"/>
      <c r="U39" s="153">
        <f t="shared" si="8"/>
        <v>0</v>
      </c>
      <c r="V39" s="153"/>
      <c r="W39" s="153">
        <f t="shared" si="9"/>
        <v>0</v>
      </c>
      <c r="X39" s="153"/>
      <c r="Y39" s="153"/>
      <c r="Z39" s="153"/>
      <c r="AA39" s="153"/>
      <c r="AB39" s="153"/>
      <c r="AC39" s="153"/>
      <c r="AD39" s="153"/>
      <c r="AE39" s="153">
        <f t="shared" si="93"/>
        <v>0</v>
      </c>
      <c r="AF39" s="153"/>
      <c r="AG39" s="153"/>
      <c r="AH39" s="153"/>
      <c r="AI39" s="153"/>
      <c r="AJ39" s="153"/>
      <c r="AK39" s="153"/>
      <c r="AL39" s="153"/>
      <c r="AM39" s="153"/>
      <c r="AN39" s="142">
        <f t="shared" si="85"/>
        <v>77</v>
      </c>
      <c r="AO39" s="142">
        <f t="shared" si="86"/>
        <v>8349418</v>
      </c>
      <c r="AP39" s="142">
        <f t="shared" si="87"/>
        <v>33</v>
      </c>
      <c r="AQ39" s="142">
        <f t="shared" si="88"/>
        <v>3174336</v>
      </c>
      <c r="AR39" s="142">
        <f t="shared" si="89"/>
        <v>110</v>
      </c>
      <c r="AS39" s="142">
        <f t="shared" si="90"/>
        <v>11523800</v>
      </c>
      <c r="AT39" s="141"/>
      <c r="AU39" s="140"/>
      <c r="AV39" s="140"/>
      <c r="AW39" s="140"/>
      <c r="AX39" s="140"/>
      <c r="AY39" s="211"/>
      <c r="AZ39" s="141"/>
      <c r="BA39" s="142"/>
      <c r="BB39" s="139"/>
      <c r="BC39" s="141"/>
      <c r="BD39" s="141"/>
      <c r="BE39" s="141">
        <f t="shared" si="22"/>
        <v>0</v>
      </c>
      <c r="BF39" s="138">
        <f t="shared" si="42"/>
        <v>0</v>
      </c>
      <c r="BG39" s="138">
        <f t="shared" si="43"/>
        <v>0</v>
      </c>
      <c r="BH39" s="138">
        <f t="shared" si="44"/>
        <v>0</v>
      </c>
      <c r="BI39" s="139"/>
      <c r="BJ39" s="137"/>
      <c r="BL39" s="81"/>
    </row>
    <row r="40" spans="1:64" s="49" customFormat="1" ht="22.5" outlineLevel="1" x14ac:dyDescent="0.2">
      <c r="A40" s="50">
        <v>28</v>
      </c>
      <c r="B40" s="50" t="s">
        <v>130</v>
      </c>
      <c r="C40" s="55" t="s">
        <v>32</v>
      </c>
      <c r="D40" s="153"/>
      <c r="E40" s="153"/>
      <c r="F40" s="153"/>
      <c r="G40" s="153"/>
      <c r="H40" s="153"/>
      <c r="I40" s="153"/>
      <c r="J40" s="153"/>
      <c r="K40" s="153"/>
      <c r="L40" s="153"/>
      <c r="M40" s="136">
        <f t="shared" si="91"/>
        <v>0</v>
      </c>
      <c r="N40" s="153"/>
      <c r="O40" s="136">
        <f t="shared" si="92"/>
        <v>0</v>
      </c>
      <c r="P40" s="153">
        <v>33</v>
      </c>
      <c r="Q40" s="153">
        <f t="shared" si="83"/>
        <v>4099854</v>
      </c>
      <c r="R40" s="153">
        <v>29</v>
      </c>
      <c r="S40" s="153">
        <f t="shared" si="84"/>
        <v>3168163</v>
      </c>
      <c r="T40" s="153"/>
      <c r="U40" s="153">
        <f t="shared" si="8"/>
        <v>0</v>
      </c>
      <c r="V40" s="153"/>
      <c r="W40" s="153">
        <f t="shared" si="9"/>
        <v>0</v>
      </c>
      <c r="X40" s="153"/>
      <c r="Y40" s="153"/>
      <c r="Z40" s="153"/>
      <c r="AA40" s="153"/>
      <c r="AB40" s="153"/>
      <c r="AC40" s="153"/>
      <c r="AD40" s="153">
        <v>13</v>
      </c>
      <c r="AE40" s="153">
        <f t="shared" si="93"/>
        <v>5296655</v>
      </c>
      <c r="AF40" s="153"/>
      <c r="AG40" s="153"/>
      <c r="AH40" s="153"/>
      <c r="AI40" s="153"/>
      <c r="AJ40" s="153"/>
      <c r="AK40" s="153"/>
      <c r="AL40" s="153">
        <v>13</v>
      </c>
      <c r="AM40" s="153">
        <f>+AL40*AM9</f>
        <v>6634173</v>
      </c>
      <c r="AN40" s="142">
        <f t="shared" si="85"/>
        <v>33</v>
      </c>
      <c r="AO40" s="142">
        <f t="shared" si="86"/>
        <v>4099854</v>
      </c>
      <c r="AP40" s="142">
        <f t="shared" si="87"/>
        <v>55</v>
      </c>
      <c r="AQ40" s="142">
        <f t="shared" si="88"/>
        <v>15098991</v>
      </c>
      <c r="AR40" s="142">
        <f t="shared" si="89"/>
        <v>88</v>
      </c>
      <c r="AS40" s="142">
        <f t="shared" si="90"/>
        <v>19198800</v>
      </c>
      <c r="AT40" s="141"/>
      <c r="AU40" s="140"/>
      <c r="AV40" s="140"/>
      <c r="AW40" s="140"/>
      <c r="AX40" s="140"/>
      <c r="AY40" s="211"/>
      <c r="AZ40" s="141"/>
      <c r="BA40" s="142"/>
      <c r="BB40" s="139"/>
      <c r="BC40" s="141"/>
      <c r="BD40" s="141"/>
      <c r="BE40" s="141">
        <f t="shared" si="22"/>
        <v>0</v>
      </c>
      <c r="BF40" s="138">
        <f t="shared" si="42"/>
        <v>0</v>
      </c>
      <c r="BG40" s="138">
        <f t="shared" si="43"/>
        <v>0</v>
      </c>
      <c r="BH40" s="138">
        <f t="shared" si="44"/>
        <v>0</v>
      </c>
      <c r="BI40" s="139"/>
      <c r="BJ40" s="137"/>
      <c r="BL40" s="81"/>
    </row>
    <row r="41" spans="1:64" s="49" customFormat="1" ht="11.25" outlineLevel="1" x14ac:dyDescent="0.2">
      <c r="A41" s="124">
        <v>29</v>
      </c>
      <c r="B41" s="130" t="s">
        <v>130</v>
      </c>
      <c r="C41" s="151" t="s">
        <v>146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36">
        <f t="shared" si="91"/>
        <v>0</v>
      </c>
      <c r="N41" s="153"/>
      <c r="O41" s="136">
        <f t="shared" si="92"/>
        <v>0</v>
      </c>
      <c r="P41" s="153">
        <v>11</v>
      </c>
      <c r="Q41" s="153">
        <f t="shared" si="83"/>
        <v>1366618</v>
      </c>
      <c r="R41" s="153">
        <v>71</v>
      </c>
      <c r="S41" s="153">
        <f t="shared" si="84"/>
        <v>7756537</v>
      </c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>
        <f t="shared" si="93"/>
        <v>0</v>
      </c>
      <c r="AF41" s="153"/>
      <c r="AG41" s="153"/>
      <c r="AH41" s="153"/>
      <c r="AI41" s="153"/>
      <c r="AJ41" s="153"/>
      <c r="AK41" s="153"/>
      <c r="AL41" s="153"/>
      <c r="AM41" s="153"/>
      <c r="AN41" s="142">
        <f t="shared" si="85"/>
        <v>11</v>
      </c>
      <c r="AO41" s="142">
        <f t="shared" ref="AO41" si="94">E41+I41+M41+Q41+U41+Y41+AC41+AG41+AK41</f>
        <v>1366618</v>
      </c>
      <c r="AP41" s="142">
        <f t="shared" ref="AP41" si="95">F41+J41+N41+R41+V41+Z41+AD41+AH41+AL41</f>
        <v>71</v>
      </c>
      <c r="AQ41" s="142">
        <f t="shared" ref="AQ41" si="96">G41+K41+O41+S41+W41+AA41+AE41+AI41+AM41</f>
        <v>7756537</v>
      </c>
      <c r="AR41" s="142">
        <f t="shared" ref="AR41" si="97">AN41+AP41</f>
        <v>82</v>
      </c>
      <c r="AS41" s="142">
        <f t="shared" ref="AS41" si="98">ROUND(AO41+AQ41,-2)</f>
        <v>9123200</v>
      </c>
      <c r="AT41" s="141"/>
      <c r="AU41" s="140"/>
      <c r="AV41" s="140"/>
      <c r="AW41" s="140"/>
      <c r="AX41" s="140"/>
      <c r="AY41" s="211"/>
      <c r="AZ41" s="141"/>
      <c r="BA41" s="142"/>
      <c r="BB41" s="139"/>
      <c r="BC41" s="141"/>
      <c r="BD41" s="141"/>
      <c r="BE41" s="141">
        <f t="shared" ref="BE41" si="99">BC41+BD41</f>
        <v>0</v>
      </c>
      <c r="BF41" s="138">
        <f t="shared" ref="BF41" si="100">AV41-AZ41-BC41</f>
        <v>0</v>
      </c>
      <c r="BG41" s="138">
        <f t="shared" ref="BG41" si="101">AW41-BA41-BD41</f>
        <v>0</v>
      </c>
      <c r="BH41" s="138">
        <f t="shared" ref="BH41" si="102">AX41-BB41-BE41</f>
        <v>0</v>
      </c>
      <c r="BI41" s="139"/>
      <c r="BJ41" s="137"/>
      <c r="BL41" s="81"/>
    </row>
    <row r="42" spans="1:64" s="49" customFormat="1" ht="11.25" outlineLevel="2" x14ac:dyDescent="0.2">
      <c r="A42" s="50">
        <v>30</v>
      </c>
      <c r="B42" s="50" t="s">
        <v>130</v>
      </c>
      <c r="C42" s="151" t="s">
        <v>190</v>
      </c>
      <c r="D42" s="153"/>
      <c r="E42" s="153">
        <f>D42*E$9</f>
        <v>0</v>
      </c>
      <c r="F42" s="153"/>
      <c r="G42" s="153">
        <f>F42*G$9</f>
        <v>0</v>
      </c>
      <c r="H42" s="153"/>
      <c r="I42" s="153">
        <f>H42*I$9</f>
        <v>0</v>
      </c>
      <c r="J42" s="153"/>
      <c r="K42" s="153">
        <f>J42*K$9</f>
        <v>0</v>
      </c>
      <c r="L42" s="153">
        <v>50</v>
      </c>
      <c r="M42" s="153">
        <f>L42*M$9</f>
        <v>5421700</v>
      </c>
      <c r="N42" s="153">
        <v>30</v>
      </c>
      <c r="O42" s="153">
        <f>N42*O$9</f>
        <v>2885760</v>
      </c>
      <c r="P42" s="153"/>
      <c r="Q42" s="153">
        <f t="shared" si="83"/>
        <v>0</v>
      </c>
      <c r="R42" s="153"/>
      <c r="S42" s="153">
        <f>R42*S$9</f>
        <v>0</v>
      </c>
      <c r="T42" s="153"/>
      <c r="U42" s="153">
        <f t="shared" si="8"/>
        <v>0</v>
      </c>
      <c r="V42" s="153"/>
      <c r="W42" s="153">
        <f t="shared" si="9"/>
        <v>0</v>
      </c>
      <c r="X42" s="153"/>
      <c r="Y42" s="153">
        <f>X42*Y$9</f>
        <v>0</v>
      </c>
      <c r="Z42" s="153"/>
      <c r="AA42" s="153">
        <f>Z42*AA$9</f>
        <v>0</v>
      </c>
      <c r="AB42" s="153"/>
      <c r="AC42" s="153">
        <f>AB42*AC$9</f>
        <v>0</v>
      </c>
      <c r="AD42" s="153">
        <v>0</v>
      </c>
      <c r="AE42" s="153">
        <f>AD42*AE$9</f>
        <v>0</v>
      </c>
      <c r="AF42" s="153"/>
      <c r="AG42" s="153">
        <f>AF42*AG$9</f>
        <v>0</v>
      </c>
      <c r="AH42" s="153"/>
      <c r="AI42" s="153">
        <f>AH42*AI$9</f>
        <v>0</v>
      </c>
      <c r="AJ42" s="153"/>
      <c r="AK42" s="153">
        <f>AJ42*AK$9</f>
        <v>0</v>
      </c>
      <c r="AL42" s="153"/>
      <c r="AM42" s="153">
        <f>AL42*AM$9</f>
        <v>0</v>
      </c>
      <c r="AN42" s="142">
        <f t="shared" si="85"/>
        <v>50</v>
      </c>
      <c r="AO42" s="142">
        <f t="shared" si="86"/>
        <v>5421700</v>
      </c>
      <c r="AP42" s="142">
        <f t="shared" si="87"/>
        <v>30</v>
      </c>
      <c r="AQ42" s="142">
        <f t="shared" si="88"/>
        <v>2885760</v>
      </c>
      <c r="AR42" s="142">
        <f t="shared" si="89"/>
        <v>80</v>
      </c>
      <c r="AS42" s="142">
        <f t="shared" si="90"/>
        <v>8307500</v>
      </c>
      <c r="AT42" s="141"/>
      <c r="AU42" s="140"/>
      <c r="AV42" s="140"/>
      <c r="AW42" s="140"/>
      <c r="AX42" s="140"/>
      <c r="AY42" s="211"/>
      <c r="AZ42" s="141"/>
      <c r="BA42" s="142"/>
      <c r="BB42" s="139"/>
      <c r="BC42" s="141"/>
      <c r="BD42" s="141"/>
      <c r="BE42" s="141">
        <f t="shared" si="22"/>
        <v>0</v>
      </c>
      <c r="BF42" s="138">
        <f t="shared" si="42"/>
        <v>0</v>
      </c>
      <c r="BG42" s="138">
        <f t="shared" si="43"/>
        <v>0</v>
      </c>
      <c r="BH42" s="138">
        <f t="shared" si="44"/>
        <v>0</v>
      </c>
      <c r="BI42" s="139"/>
      <c r="BJ42" s="137"/>
      <c r="BL42" s="81"/>
    </row>
    <row r="43" spans="1:64" s="166" customFormat="1" ht="11.25" outlineLevel="1" x14ac:dyDescent="0.2">
      <c r="A43" s="155"/>
      <c r="B43" s="168" t="s">
        <v>136</v>
      </c>
      <c r="C43" s="157"/>
      <c r="D43" s="169">
        <f t="shared" ref="D43" si="103">SUBTOTAL(9,D37:D42)</f>
        <v>0</v>
      </c>
      <c r="E43" s="169">
        <f t="shared" ref="E43" si="104">SUBTOTAL(9,E37:E42)</f>
        <v>0</v>
      </c>
      <c r="F43" s="169">
        <f t="shared" ref="F43" si="105">SUBTOTAL(9,F37:F42)</f>
        <v>0</v>
      </c>
      <c r="G43" s="169">
        <f t="shared" ref="G43" si="106">SUBTOTAL(9,G37:G42)</f>
        <v>0</v>
      </c>
      <c r="H43" s="169">
        <f t="shared" ref="H43" si="107">SUBTOTAL(9,H37:H42)</f>
        <v>0</v>
      </c>
      <c r="I43" s="169">
        <f t="shared" ref="I43" si="108">SUBTOTAL(9,I37:I42)</f>
        <v>0</v>
      </c>
      <c r="J43" s="169">
        <f t="shared" ref="J43" si="109">SUBTOTAL(9,J37:J42)</f>
        <v>0</v>
      </c>
      <c r="K43" s="169">
        <f t="shared" ref="K43" si="110">SUBTOTAL(9,K37:K42)</f>
        <v>0</v>
      </c>
      <c r="L43" s="169">
        <f t="shared" ref="L43" si="111">SUBTOTAL(9,L37:L42)</f>
        <v>254</v>
      </c>
      <c r="M43" s="169">
        <f t="shared" ref="M43" si="112">SUBTOTAL(9,M37:M42)</f>
        <v>27542236</v>
      </c>
      <c r="N43" s="169">
        <f t="shared" ref="N43" si="113">SUBTOTAL(9,N37:N42)</f>
        <v>176</v>
      </c>
      <c r="O43" s="169">
        <f t="shared" ref="O43" si="114">SUBTOTAL(9,O37:O42)</f>
        <v>16929792</v>
      </c>
      <c r="P43" s="169">
        <f t="shared" ref="P43" si="115">SUBTOTAL(9,P37:P42)</f>
        <v>44</v>
      </c>
      <c r="Q43" s="169">
        <f t="shared" ref="Q43" si="116">SUBTOTAL(9,Q37:Q42)</f>
        <v>5466472</v>
      </c>
      <c r="R43" s="169">
        <f t="shared" ref="R43" si="117">SUBTOTAL(9,R37:R42)</f>
        <v>100</v>
      </c>
      <c r="S43" s="169">
        <f t="shared" ref="S43" si="118">SUBTOTAL(9,S37:S42)</f>
        <v>10924700</v>
      </c>
      <c r="T43" s="169">
        <f t="shared" ref="T43:W43" si="119">SUBTOTAL(9,T37:T42)</f>
        <v>0</v>
      </c>
      <c r="U43" s="169">
        <f t="shared" si="119"/>
        <v>0</v>
      </c>
      <c r="V43" s="169">
        <f t="shared" si="119"/>
        <v>0</v>
      </c>
      <c r="W43" s="169">
        <f t="shared" si="119"/>
        <v>0</v>
      </c>
      <c r="X43" s="169">
        <f t="shared" ref="X43" si="120">SUBTOTAL(9,X37:X42)</f>
        <v>0</v>
      </c>
      <c r="Y43" s="169">
        <f t="shared" ref="Y43" si="121">SUBTOTAL(9,Y37:Y42)</f>
        <v>0</v>
      </c>
      <c r="Z43" s="169">
        <f t="shared" ref="Z43" si="122">SUBTOTAL(9,Z37:Z42)</f>
        <v>0</v>
      </c>
      <c r="AA43" s="169">
        <f t="shared" ref="AA43" si="123">SUBTOTAL(9,AA37:AA42)</f>
        <v>0</v>
      </c>
      <c r="AB43" s="169">
        <f t="shared" ref="AB43" si="124">SUBTOTAL(9,AB37:AB42)</f>
        <v>0</v>
      </c>
      <c r="AC43" s="169">
        <f t="shared" ref="AC43:AE43" si="125">SUBTOTAL(9,AC37:AC42)</f>
        <v>0</v>
      </c>
      <c r="AD43" s="169">
        <f t="shared" si="125"/>
        <v>13</v>
      </c>
      <c r="AE43" s="169">
        <f t="shared" si="125"/>
        <v>5296655</v>
      </c>
      <c r="AF43" s="169">
        <f t="shared" ref="AF43:AL43" si="126">SUBTOTAL(9,AF37:AF42)</f>
        <v>0</v>
      </c>
      <c r="AG43" s="169">
        <f t="shared" si="126"/>
        <v>0</v>
      </c>
      <c r="AH43" s="169">
        <f t="shared" si="126"/>
        <v>0</v>
      </c>
      <c r="AI43" s="169">
        <f t="shared" si="126"/>
        <v>0</v>
      </c>
      <c r="AJ43" s="169">
        <f t="shared" si="126"/>
        <v>0</v>
      </c>
      <c r="AK43" s="169">
        <f t="shared" si="126"/>
        <v>0</v>
      </c>
      <c r="AL43" s="169">
        <f t="shared" si="126"/>
        <v>13</v>
      </c>
      <c r="AM43" s="169">
        <f t="shared" ref="AM43" si="127">SUBTOTAL(9,AM37:AM42)</f>
        <v>6634173</v>
      </c>
      <c r="AN43" s="169">
        <f t="shared" ref="AN43" si="128">SUBTOTAL(9,AN37:AN42)</f>
        <v>298</v>
      </c>
      <c r="AO43" s="169">
        <f t="shared" ref="AO43" si="129">SUBTOTAL(9,AO37:AO42)</f>
        <v>33008708</v>
      </c>
      <c r="AP43" s="169">
        <f t="shared" ref="AP43" si="130">SUBTOTAL(9,AP37:AP42)</f>
        <v>302</v>
      </c>
      <c r="AQ43" s="169">
        <f t="shared" ref="AQ43" si="131">SUBTOTAL(9,AQ37:AQ42)</f>
        <v>39785320</v>
      </c>
      <c r="AR43" s="169">
        <f t="shared" ref="AR43" si="132">SUBTOTAL(9,AR37:AR42)</f>
        <v>600</v>
      </c>
      <c r="AS43" s="169">
        <f t="shared" ref="AS43" si="133">SUBTOTAL(9,AS37:AS42)</f>
        <v>72794100</v>
      </c>
      <c r="AT43" s="159">
        <f>ROUND(AR43/5000,2)</f>
        <v>0.12</v>
      </c>
      <c r="AU43" s="160">
        <f>ROUND(AT43*$AN$52*$AN$53*$AN$54*1.2,-2)</f>
        <v>168600</v>
      </c>
      <c r="AV43" s="160">
        <f>ROUND(AS43*$AV$9,-2)</f>
        <v>72794100</v>
      </c>
      <c r="AW43" s="160">
        <f>AU43</f>
        <v>168600</v>
      </c>
      <c r="AX43" s="160">
        <f>AV43+AW43</f>
        <v>72962700</v>
      </c>
      <c r="AY43" s="212">
        <v>29916600</v>
      </c>
      <c r="AZ43" s="159">
        <f>BB43-BA43</f>
        <v>7547700</v>
      </c>
      <c r="BA43" s="161">
        <v>13500</v>
      </c>
      <c r="BB43" s="159">
        <v>7561200</v>
      </c>
      <c r="BC43" s="159">
        <v>15300000</v>
      </c>
      <c r="BD43" s="159"/>
      <c r="BE43" s="159">
        <f t="shared" si="22"/>
        <v>15300000</v>
      </c>
      <c r="BF43" s="162">
        <f t="shared" si="42"/>
        <v>49946400</v>
      </c>
      <c r="BG43" s="162">
        <f t="shared" si="43"/>
        <v>155100</v>
      </c>
      <c r="BH43" s="162">
        <f t="shared" si="44"/>
        <v>50101500</v>
      </c>
      <c r="BI43" s="163">
        <f>(BB43+BE43)/AX43</f>
        <v>0.31332722062094742</v>
      </c>
      <c r="BJ43" s="164">
        <f>12*BI43</f>
        <v>3.7599266474513691</v>
      </c>
      <c r="BK43" s="165"/>
      <c r="BL43" s="165"/>
    </row>
    <row r="44" spans="1:64" s="49" customFormat="1" ht="33.75" outlineLevel="2" x14ac:dyDescent="0.2">
      <c r="A44" s="50">
        <v>31</v>
      </c>
      <c r="B44" s="50" t="s">
        <v>128</v>
      </c>
      <c r="C44" s="55" t="s">
        <v>29</v>
      </c>
      <c r="D44" s="153"/>
      <c r="E44" s="153">
        <f>D44*E$9</f>
        <v>0</v>
      </c>
      <c r="F44" s="153"/>
      <c r="G44" s="153">
        <f>F44*G$9</f>
        <v>0</v>
      </c>
      <c r="H44" s="153"/>
      <c r="I44" s="153">
        <f>H44*I$9</f>
        <v>0</v>
      </c>
      <c r="J44" s="153"/>
      <c r="K44" s="153">
        <f>J44*K$9</f>
        <v>0</v>
      </c>
      <c r="L44" s="153"/>
      <c r="M44" s="153">
        <f>L44*M$9</f>
        <v>0</v>
      </c>
      <c r="N44" s="153">
        <v>25</v>
      </c>
      <c r="O44" s="153">
        <f>N44*O$9</f>
        <v>2404800</v>
      </c>
      <c r="P44" s="153"/>
      <c r="Q44" s="153">
        <f>P44*Q$9</f>
        <v>0</v>
      </c>
      <c r="R44" s="153"/>
      <c r="S44" s="153">
        <f>R44*S$9</f>
        <v>0</v>
      </c>
      <c r="T44" s="153"/>
      <c r="U44" s="153">
        <f t="shared" si="8"/>
        <v>0</v>
      </c>
      <c r="V44" s="153"/>
      <c r="W44" s="153">
        <f t="shared" si="9"/>
        <v>0</v>
      </c>
      <c r="X44" s="153"/>
      <c r="Y44" s="153">
        <f>X44*Y$9</f>
        <v>0</v>
      </c>
      <c r="Z44" s="153"/>
      <c r="AA44" s="153">
        <f>Z44*AA$9</f>
        <v>0</v>
      </c>
      <c r="AB44" s="153"/>
      <c r="AC44" s="153">
        <f>AB44*AC$9</f>
        <v>0</v>
      </c>
      <c r="AD44" s="153"/>
      <c r="AE44" s="153">
        <f>AD44*AE$9</f>
        <v>0</v>
      </c>
      <c r="AF44" s="153"/>
      <c r="AG44" s="153">
        <f>AF44*AG$9</f>
        <v>0</v>
      </c>
      <c r="AH44" s="153"/>
      <c r="AI44" s="153">
        <f>AH44*AI$9</f>
        <v>0</v>
      </c>
      <c r="AJ44" s="153"/>
      <c r="AK44" s="153">
        <f>AJ44*AK$9</f>
        <v>0</v>
      </c>
      <c r="AL44" s="153"/>
      <c r="AM44" s="153">
        <f>AL44*AM$9</f>
        <v>0</v>
      </c>
      <c r="AN44" s="142">
        <f>D44+H44+L44+P44+T44+X44+AB44+AF44+AJ44</f>
        <v>0</v>
      </c>
      <c r="AO44" s="142">
        <f t="shared" ref="AO44" si="134">E44+I44+M44+Q44+U44+Y44+AC44+AG44+AK44</f>
        <v>0</v>
      </c>
      <c r="AP44" s="142">
        <f t="shared" ref="AP44" si="135">F44+J44+N44+R44+V44+Z44+AD44+AH44+AL44</f>
        <v>25</v>
      </c>
      <c r="AQ44" s="142">
        <f t="shared" ref="AQ44" si="136">G44+K44+O44+S44+W44+AA44+AE44+AI44+AM44</f>
        <v>2404800</v>
      </c>
      <c r="AR44" s="142">
        <f t="shared" ref="AR44" si="137">AN44+AP44</f>
        <v>25</v>
      </c>
      <c r="AS44" s="142">
        <f t="shared" ref="AS44" si="138">ROUND(AO44+AQ44,-2)</f>
        <v>2404800</v>
      </c>
      <c r="AT44" s="141"/>
      <c r="AU44" s="140"/>
      <c r="AV44" s="140"/>
      <c r="AW44" s="140"/>
      <c r="AX44" s="140"/>
      <c r="AY44" s="211"/>
      <c r="AZ44" s="141"/>
      <c r="BA44" s="142"/>
      <c r="BB44" s="139"/>
      <c r="BC44" s="141"/>
      <c r="BD44" s="141"/>
      <c r="BE44" s="141">
        <f t="shared" si="22"/>
        <v>0</v>
      </c>
      <c r="BF44" s="138">
        <f t="shared" si="42"/>
        <v>0</v>
      </c>
      <c r="BG44" s="138">
        <f t="shared" si="43"/>
        <v>0</v>
      </c>
      <c r="BH44" s="138">
        <f t="shared" si="44"/>
        <v>0</v>
      </c>
      <c r="BI44" s="139"/>
      <c r="BJ44" s="137"/>
      <c r="BL44" s="81"/>
    </row>
    <row r="45" spans="1:64" s="166" customFormat="1" ht="11.25" outlineLevel="1" x14ac:dyDescent="0.2">
      <c r="A45" s="155"/>
      <c r="B45" s="168" t="s">
        <v>134</v>
      </c>
      <c r="C45" s="157"/>
      <c r="D45" s="158">
        <f t="shared" ref="D45:AS45" si="139">SUBTOTAL(9,D44:D44)</f>
        <v>0</v>
      </c>
      <c r="E45" s="158">
        <f t="shared" si="139"/>
        <v>0</v>
      </c>
      <c r="F45" s="158">
        <f t="shared" si="139"/>
        <v>0</v>
      </c>
      <c r="G45" s="158">
        <f t="shared" si="139"/>
        <v>0</v>
      </c>
      <c r="H45" s="158">
        <f t="shared" si="139"/>
        <v>0</v>
      </c>
      <c r="I45" s="158">
        <f t="shared" si="139"/>
        <v>0</v>
      </c>
      <c r="J45" s="158">
        <f t="shared" si="139"/>
        <v>0</v>
      </c>
      <c r="K45" s="158">
        <f t="shared" si="139"/>
        <v>0</v>
      </c>
      <c r="L45" s="158">
        <f t="shared" si="139"/>
        <v>0</v>
      </c>
      <c r="M45" s="158">
        <f t="shared" si="139"/>
        <v>0</v>
      </c>
      <c r="N45" s="158">
        <f t="shared" si="139"/>
        <v>25</v>
      </c>
      <c r="O45" s="158">
        <f t="shared" si="139"/>
        <v>2404800</v>
      </c>
      <c r="P45" s="158">
        <f t="shared" si="139"/>
        <v>0</v>
      </c>
      <c r="Q45" s="158">
        <f t="shared" si="139"/>
        <v>0</v>
      </c>
      <c r="R45" s="158">
        <f t="shared" si="139"/>
        <v>0</v>
      </c>
      <c r="S45" s="158">
        <f t="shared" si="139"/>
        <v>0</v>
      </c>
      <c r="T45" s="158">
        <f t="shared" si="139"/>
        <v>0</v>
      </c>
      <c r="U45" s="158">
        <f t="shared" si="139"/>
        <v>0</v>
      </c>
      <c r="V45" s="158">
        <f t="shared" si="139"/>
        <v>0</v>
      </c>
      <c r="W45" s="158">
        <f t="shared" si="139"/>
        <v>0</v>
      </c>
      <c r="X45" s="158">
        <f t="shared" si="139"/>
        <v>0</v>
      </c>
      <c r="Y45" s="158">
        <f t="shared" si="139"/>
        <v>0</v>
      </c>
      <c r="Z45" s="158">
        <f t="shared" si="139"/>
        <v>0</v>
      </c>
      <c r="AA45" s="158">
        <f t="shared" si="139"/>
        <v>0</v>
      </c>
      <c r="AB45" s="158">
        <f t="shared" si="139"/>
        <v>0</v>
      </c>
      <c r="AC45" s="158">
        <f t="shared" si="139"/>
        <v>0</v>
      </c>
      <c r="AD45" s="158">
        <f t="shared" si="139"/>
        <v>0</v>
      </c>
      <c r="AE45" s="158">
        <f t="shared" si="139"/>
        <v>0</v>
      </c>
      <c r="AF45" s="158">
        <f t="shared" ref="AF45:AM45" si="140">SUBTOTAL(9,AF44:AF44)</f>
        <v>0</v>
      </c>
      <c r="AG45" s="158">
        <f t="shared" si="140"/>
        <v>0</v>
      </c>
      <c r="AH45" s="158">
        <f t="shared" si="140"/>
        <v>0</v>
      </c>
      <c r="AI45" s="158">
        <f t="shared" si="140"/>
        <v>0</v>
      </c>
      <c r="AJ45" s="158">
        <f t="shared" si="140"/>
        <v>0</v>
      </c>
      <c r="AK45" s="158">
        <f t="shared" si="140"/>
        <v>0</v>
      </c>
      <c r="AL45" s="158">
        <f t="shared" si="140"/>
        <v>0</v>
      </c>
      <c r="AM45" s="158">
        <f t="shared" si="140"/>
        <v>0</v>
      </c>
      <c r="AN45" s="158">
        <f t="shared" si="139"/>
        <v>0</v>
      </c>
      <c r="AO45" s="158">
        <f t="shared" si="139"/>
        <v>0</v>
      </c>
      <c r="AP45" s="158">
        <f t="shared" si="139"/>
        <v>25</v>
      </c>
      <c r="AQ45" s="158">
        <f t="shared" si="139"/>
        <v>2404800</v>
      </c>
      <c r="AR45" s="158">
        <f t="shared" si="139"/>
        <v>25</v>
      </c>
      <c r="AS45" s="158">
        <f t="shared" si="139"/>
        <v>2404800</v>
      </c>
      <c r="AT45" s="159">
        <f>ROUND(AR45/5000,2)</f>
        <v>0.01</v>
      </c>
      <c r="AU45" s="160">
        <f>ROUND(AT45*$AN$52*$AN$53*$AN$54*1.2,-2)</f>
        <v>14000</v>
      </c>
      <c r="AV45" s="160">
        <f>ROUND(AS45*$AV$9,-2)</f>
        <v>2404800</v>
      </c>
      <c r="AW45" s="160">
        <f>AU45</f>
        <v>14000</v>
      </c>
      <c r="AX45" s="160">
        <f>AV45+AW45</f>
        <v>2418800</v>
      </c>
      <c r="AY45" s="212">
        <v>985300</v>
      </c>
      <c r="AZ45" s="159">
        <f>BB45-BA45</f>
        <v>2260200</v>
      </c>
      <c r="BA45" s="161">
        <v>13500</v>
      </c>
      <c r="BB45" s="159">
        <v>2273700</v>
      </c>
      <c r="BC45" s="159"/>
      <c r="BD45" s="159"/>
      <c r="BE45" s="159">
        <f t="shared" si="22"/>
        <v>0</v>
      </c>
      <c r="BF45" s="162">
        <f t="shared" si="42"/>
        <v>144600</v>
      </c>
      <c r="BG45" s="162">
        <f t="shared" si="43"/>
        <v>500</v>
      </c>
      <c r="BH45" s="162">
        <f t="shared" si="44"/>
        <v>145100</v>
      </c>
      <c r="BI45" s="163">
        <f>(BB45+BE45)/AX45</f>
        <v>0.94001157598809326</v>
      </c>
      <c r="BJ45" s="164">
        <f>12*BI45</f>
        <v>11.280138911857119</v>
      </c>
      <c r="BK45" s="165"/>
      <c r="BL45" s="165"/>
    </row>
    <row r="46" spans="1:64" s="49" customFormat="1" ht="22.5" outlineLevel="1" x14ac:dyDescent="0.2">
      <c r="A46" s="50">
        <v>32</v>
      </c>
      <c r="B46" s="50" t="s">
        <v>129</v>
      </c>
      <c r="C46" s="55" t="s">
        <v>149</v>
      </c>
      <c r="D46" s="153"/>
      <c r="E46" s="153"/>
      <c r="F46" s="153"/>
      <c r="G46" s="153"/>
      <c r="H46" s="153"/>
      <c r="I46" s="153"/>
      <c r="J46" s="153"/>
      <c r="K46" s="153"/>
      <c r="L46" s="153">
        <v>20</v>
      </c>
      <c r="M46" s="153">
        <f>L46*M$9</f>
        <v>2168680</v>
      </c>
      <c r="N46" s="153"/>
      <c r="O46" s="153"/>
      <c r="P46" s="153"/>
      <c r="Q46" s="153"/>
      <c r="R46" s="153"/>
      <c r="S46" s="153"/>
      <c r="T46" s="153"/>
      <c r="U46" s="153">
        <f t="shared" si="8"/>
        <v>0</v>
      </c>
      <c r="V46" s="153"/>
      <c r="W46" s="153">
        <f t="shared" si="9"/>
        <v>0</v>
      </c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42">
        <f>D46+H46+L46+P46+T46+X46+AB46+AF46+AJ46</f>
        <v>20</v>
      </c>
      <c r="AO46" s="142">
        <f t="shared" ref="AO46:AO47" si="141">E46+I46+M46+Q46+U46+Y46+AC46+AG46+AK46</f>
        <v>2168680</v>
      </c>
      <c r="AP46" s="142">
        <f t="shared" ref="AP46:AP47" si="142">F46+J46+N46+R46+V46+Z46+AD46+AH46+AL46</f>
        <v>0</v>
      </c>
      <c r="AQ46" s="142">
        <f t="shared" ref="AQ46:AQ47" si="143">G46+K46+O46+S46+W46+AA46+AE46+AI46+AM46</f>
        <v>0</v>
      </c>
      <c r="AR46" s="142">
        <f t="shared" ref="AR46:AR47" si="144">AN46+AP46</f>
        <v>20</v>
      </c>
      <c r="AS46" s="142">
        <f t="shared" ref="AS46:AS47" si="145">ROUND(AO46+AQ46,-2)</f>
        <v>2168700</v>
      </c>
      <c r="AT46" s="141"/>
      <c r="AU46" s="140"/>
      <c r="AV46" s="140"/>
      <c r="AW46" s="140"/>
      <c r="AX46" s="140"/>
      <c r="AY46" s="211"/>
      <c r="AZ46" s="141"/>
      <c r="BA46" s="142"/>
      <c r="BB46" s="139"/>
      <c r="BC46" s="141"/>
      <c r="BD46" s="141"/>
      <c r="BE46" s="141">
        <f t="shared" si="22"/>
        <v>0</v>
      </c>
      <c r="BF46" s="138">
        <f t="shared" si="42"/>
        <v>0</v>
      </c>
      <c r="BG46" s="138">
        <f t="shared" si="43"/>
        <v>0</v>
      </c>
      <c r="BH46" s="138">
        <f t="shared" si="44"/>
        <v>0</v>
      </c>
      <c r="BI46" s="139"/>
      <c r="BJ46" s="137"/>
      <c r="BL46" s="81"/>
    </row>
    <row r="47" spans="1:64" s="49" customFormat="1" ht="11.25" outlineLevel="2" x14ac:dyDescent="0.2">
      <c r="A47" s="50">
        <v>33</v>
      </c>
      <c r="B47" s="50" t="s">
        <v>129</v>
      </c>
      <c r="C47" s="55" t="s">
        <v>40</v>
      </c>
      <c r="D47" s="153"/>
      <c r="E47" s="153">
        <f>D47*E$9</f>
        <v>0</v>
      </c>
      <c r="F47" s="153"/>
      <c r="G47" s="153">
        <f>F47*G$9</f>
        <v>0</v>
      </c>
      <c r="H47" s="153"/>
      <c r="I47" s="153">
        <f>H47*I$9</f>
        <v>0</v>
      </c>
      <c r="J47" s="153"/>
      <c r="K47" s="153">
        <f>J47*K$9</f>
        <v>0</v>
      </c>
      <c r="L47" s="152">
        <v>32</v>
      </c>
      <c r="M47" s="153">
        <f>L47*M$9</f>
        <v>3469888</v>
      </c>
      <c r="N47" s="152">
        <v>32</v>
      </c>
      <c r="O47" s="153">
        <f>N47*O$9</f>
        <v>3078144</v>
      </c>
      <c r="P47" s="153"/>
      <c r="Q47" s="153">
        <f>P47*Q$9</f>
        <v>0</v>
      </c>
      <c r="R47" s="153"/>
      <c r="S47" s="153">
        <f>R47*S$9</f>
        <v>0</v>
      </c>
      <c r="T47" s="153"/>
      <c r="U47" s="153">
        <f t="shared" si="8"/>
        <v>0</v>
      </c>
      <c r="V47" s="153"/>
      <c r="W47" s="153">
        <f t="shared" si="9"/>
        <v>0</v>
      </c>
      <c r="X47" s="153"/>
      <c r="Y47" s="153">
        <f>X47*Y$9</f>
        <v>0</v>
      </c>
      <c r="Z47" s="153"/>
      <c r="AA47" s="153">
        <f>Z47*AA$9</f>
        <v>0</v>
      </c>
      <c r="AB47" s="153"/>
      <c r="AC47" s="153">
        <f>AB47*AC$9</f>
        <v>0</v>
      </c>
      <c r="AD47" s="153"/>
      <c r="AE47" s="153">
        <f>AD47*AE$9</f>
        <v>0</v>
      </c>
      <c r="AF47" s="153"/>
      <c r="AG47" s="153">
        <f>AF47*AG$9</f>
        <v>0</v>
      </c>
      <c r="AH47" s="153"/>
      <c r="AI47" s="153">
        <f>AH47*AI$9</f>
        <v>0</v>
      </c>
      <c r="AJ47" s="153"/>
      <c r="AK47" s="153">
        <f>AJ47*AK$9</f>
        <v>0</v>
      </c>
      <c r="AL47" s="153"/>
      <c r="AM47" s="153">
        <f>AL47*AM$9</f>
        <v>0</v>
      </c>
      <c r="AN47" s="142">
        <f>D47+H47+L47+P47+T47+X47+AB47+AF47+AJ47</f>
        <v>32</v>
      </c>
      <c r="AO47" s="142">
        <f t="shared" si="141"/>
        <v>3469888</v>
      </c>
      <c r="AP47" s="142">
        <f t="shared" si="142"/>
        <v>32</v>
      </c>
      <c r="AQ47" s="142">
        <f t="shared" si="143"/>
        <v>3078144</v>
      </c>
      <c r="AR47" s="142">
        <f t="shared" si="144"/>
        <v>64</v>
      </c>
      <c r="AS47" s="142">
        <f t="shared" si="145"/>
        <v>6548000</v>
      </c>
      <c r="AT47" s="141"/>
      <c r="AU47" s="140"/>
      <c r="AV47" s="140"/>
      <c r="AW47" s="140"/>
      <c r="AX47" s="140"/>
      <c r="AY47" s="211"/>
      <c r="AZ47" s="141"/>
      <c r="BA47" s="142"/>
      <c r="BB47" s="139"/>
      <c r="BC47" s="141"/>
      <c r="BD47" s="141"/>
      <c r="BE47" s="141">
        <f t="shared" si="22"/>
        <v>0</v>
      </c>
      <c r="BF47" s="138">
        <f t="shared" si="42"/>
        <v>0</v>
      </c>
      <c r="BG47" s="138">
        <f t="shared" si="43"/>
        <v>0</v>
      </c>
      <c r="BH47" s="138">
        <f t="shared" si="44"/>
        <v>0</v>
      </c>
      <c r="BI47" s="139"/>
      <c r="BJ47" s="137"/>
      <c r="BL47" s="81"/>
    </row>
    <row r="48" spans="1:64" s="166" customFormat="1" ht="22.5" outlineLevel="1" x14ac:dyDescent="0.2">
      <c r="A48" s="155"/>
      <c r="B48" s="167" t="s">
        <v>137</v>
      </c>
      <c r="C48" s="157"/>
      <c r="D48" s="158">
        <f>SUBTOTAL(9,D46:D47)</f>
        <v>0</v>
      </c>
      <c r="E48" s="158">
        <f t="shared" ref="E48:AS48" si="146">SUBTOTAL(9,E46:E47)</f>
        <v>0</v>
      </c>
      <c r="F48" s="158">
        <f t="shared" si="146"/>
        <v>0</v>
      </c>
      <c r="G48" s="158">
        <f t="shared" si="146"/>
        <v>0</v>
      </c>
      <c r="H48" s="158">
        <f t="shared" si="146"/>
        <v>0</v>
      </c>
      <c r="I48" s="158">
        <f t="shared" si="146"/>
        <v>0</v>
      </c>
      <c r="J48" s="158">
        <f t="shared" si="146"/>
        <v>0</v>
      </c>
      <c r="K48" s="158">
        <f t="shared" si="146"/>
        <v>0</v>
      </c>
      <c r="L48" s="158">
        <f t="shared" si="146"/>
        <v>52</v>
      </c>
      <c r="M48" s="158">
        <f t="shared" si="146"/>
        <v>5638568</v>
      </c>
      <c r="N48" s="158">
        <f t="shared" si="146"/>
        <v>32</v>
      </c>
      <c r="O48" s="158">
        <f t="shared" si="146"/>
        <v>3078144</v>
      </c>
      <c r="P48" s="158">
        <f t="shared" si="146"/>
        <v>0</v>
      </c>
      <c r="Q48" s="158">
        <f t="shared" si="146"/>
        <v>0</v>
      </c>
      <c r="R48" s="158">
        <f t="shared" si="146"/>
        <v>0</v>
      </c>
      <c r="S48" s="158">
        <f t="shared" si="146"/>
        <v>0</v>
      </c>
      <c r="T48" s="158">
        <f t="shared" si="146"/>
        <v>0</v>
      </c>
      <c r="U48" s="158">
        <f t="shared" ref="U48:W48" si="147">SUBTOTAL(9,U46:U47)</f>
        <v>0</v>
      </c>
      <c r="V48" s="158">
        <f t="shared" si="147"/>
        <v>0</v>
      </c>
      <c r="W48" s="158">
        <f t="shared" si="147"/>
        <v>0</v>
      </c>
      <c r="X48" s="158">
        <f t="shared" si="146"/>
        <v>0</v>
      </c>
      <c r="Y48" s="158">
        <f t="shared" si="146"/>
        <v>0</v>
      </c>
      <c r="Z48" s="158">
        <f t="shared" si="146"/>
        <v>0</v>
      </c>
      <c r="AA48" s="158">
        <f t="shared" si="146"/>
        <v>0</v>
      </c>
      <c r="AB48" s="158">
        <f t="shared" si="146"/>
        <v>0</v>
      </c>
      <c r="AC48" s="158">
        <f t="shared" si="146"/>
        <v>0</v>
      </c>
      <c r="AD48" s="158">
        <f t="shared" si="146"/>
        <v>0</v>
      </c>
      <c r="AE48" s="158">
        <f t="shared" si="146"/>
        <v>0</v>
      </c>
      <c r="AF48" s="158">
        <f t="shared" ref="AF48:AM48" si="148">SUBTOTAL(9,AF46:AF47)</f>
        <v>0</v>
      </c>
      <c r="AG48" s="158">
        <f t="shared" si="148"/>
        <v>0</v>
      </c>
      <c r="AH48" s="158">
        <f t="shared" si="148"/>
        <v>0</v>
      </c>
      <c r="AI48" s="158">
        <f t="shared" si="148"/>
        <v>0</v>
      </c>
      <c r="AJ48" s="158">
        <f t="shared" si="148"/>
        <v>0</v>
      </c>
      <c r="AK48" s="158">
        <f t="shared" si="148"/>
        <v>0</v>
      </c>
      <c r="AL48" s="158">
        <f t="shared" si="148"/>
        <v>0</v>
      </c>
      <c r="AM48" s="158">
        <f t="shared" si="148"/>
        <v>0</v>
      </c>
      <c r="AN48" s="158">
        <f t="shared" si="146"/>
        <v>52</v>
      </c>
      <c r="AO48" s="158">
        <f t="shared" si="146"/>
        <v>5638568</v>
      </c>
      <c r="AP48" s="158">
        <f t="shared" si="146"/>
        <v>32</v>
      </c>
      <c r="AQ48" s="158">
        <f t="shared" si="146"/>
        <v>3078144</v>
      </c>
      <c r="AR48" s="158">
        <f t="shared" si="146"/>
        <v>84</v>
      </c>
      <c r="AS48" s="158">
        <f t="shared" si="146"/>
        <v>8716700</v>
      </c>
      <c r="AT48" s="159">
        <f>ROUND(AR48/5000,2)</f>
        <v>0.02</v>
      </c>
      <c r="AU48" s="160">
        <f>ROUND(AT48*$AN$52*$AN$53*$AN$54*1.2,-2)</f>
        <v>28100</v>
      </c>
      <c r="AV48" s="160">
        <f>ROUND(AS48*$AV$9,-2)</f>
        <v>8716700</v>
      </c>
      <c r="AW48" s="160">
        <f>AU48</f>
        <v>28100</v>
      </c>
      <c r="AX48" s="160">
        <f>AV48+AW48</f>
        <v>8744800</v>
      </c>
      <c r="AY48" s="212">
        <v>3561500</v>
      </c>
      <c r="AZ48" s="159">
        <f>BB48-BA48</f>
        <v>2038300</v>
      </c>
      <c r="BA48" s="161">
        <v>5400</v>
      </c>
      <c r="BB48" s="159">
        <v>2043700</v>
      </c>
      <c r="BC48" s="159">
        <v>3000000</v>
      </c>
      <c r="BD48" s="159"/>
      <c r="BE48" s="159">
        <f t="shared" si="22"/>
        <v>3000000</v>
      </c>
      <c r="BF48" s="162">
        <f t="shared" si="42"/>
        <v>3678400</v>
      </c>
      <c r="BG48" s="162">
        <f t="shared" si="43"/>
        <v>22700</v>
      </c>
      <c r="BH48" s="162">
        <f t="shared" si="44"/>
        <v>3701100</v>
      </c>
      <c r="BI48" s="163">
        <f>(BB48+BE48)/AX48</f>
        <v>0.57676562071173731</v>
      </c>
      <c r="BJ48" s="164">
        <f>12*BI48</f>
        <v>6.9211874485408478</v>
      </c>
      <c r="BK48" s="165"/>
      <c r="BL48" s="165"/>
    </row>
    <row r="49" spans="1:64" s="49" customFormat="1" ht="9.75" customHeight="1" x14ac:dyDescent="0.2">
      <c r="A49" s="50"/>
      <c r="B49" s="57" t="s">
        <v>135</v>
      </c>
      <c r="C49" s="55"/>
      <c r="D49" s="75">
        <f t="shared" ref="D49" si="149">SUBTOTAL(9,D10:D47)</f>
        <v>15</v>
      </c>
      <c r="E49" s="75">
        <f t="shared" ref="E49:AS49" si="150">SUBTOTAL(9,E10:E47)</f>
        <v>796785</v>
      </c>
      <c r="F49" s="75">
        <f t="shared" si="150"/>
        <v>0</v>
      </c>
      <c r="G49" s="75">
        <f t="shared" si="150"/>
        <v>0</v>
      </c>
      <c r="H49" s="75">
        <f t="shared" si="150"/>
        <v>0</v>
      </c>
      <c r="I49" s="75">
        <f t="shared" si="150"/>
        <v>0</v>
      </c>
      <c r="J49" s="75">
        <f t="shared" si="150"/>
        <v>0</v>
      </c>
      <c r="K49" s="75">
        <f t="shared" si="150"/>
        <v>0</v>
      </c>
      <c r="L49" s="75">
        <f t="shared" si="150"/>
        <v>1715</v>
      </c>
      <c r="M49" s="75">
        <f t="shared" si="150"/>
        <v>185964310</v>
      </c>
      <c r="N49" s="75">
        <f t="shared" si="150"/>
        <v>1842</v>
      </c>
      <c r="O49" s="75">
        <f t="shared" si="150"/>
        <v>177185664</v>
      </c>
      <c r="P49" s="75">
        <f>SUBTOTAL(9,P10:P48)</f>
        <v>1009</v>
      </c>
      <c r="Q49" s="75">
        <f t="shared" si="150"/>
        <v>125356142</v>
      </c>
      <c r="R49" s="75">
        <f>SUBTOTAL(9,R10:R48)</f>
        <v>1364</v>
      </c>
      <c r="S49" s="75">
        <f t="shared" si="150"/>
        <v>149012908</v>
      </c>
      <c r="T49" s="75">
        <f t="shared" si="150"/>
        <v>10</v>
      </c>
      <c r="U49" s="75">
        <f t="shared" ref="U49:W49" si="151">SUBTOTAL(9,U10:U47)</f>
        <v>1519470</v>
      </c>
      <c r="V49" s="75">
        <f t="shared" si="151"/>
        <v>7</v>
      </c>
      <c r="W49" s="75">
        <f t="shared" si="151"/>
        <v>924959</v>
      </c>
      <c r="X49" s="75">
        <f t="shared" si="150"/>
        <v>0</v>
      </c>
      <c r="Y49" s="75">
        <f t="shared" si="150"/>
        <v>0</v>
      </c>
      <c r="Z49" s="75">
        <f t="shared" si="150"/>
        <v>12</v>
      </c>
      <c r="AA49" s="75">
        <f t="shared" si="150"/>
        <v>4429260</v>
      </c>
      <c r="AB49" s="75">
        <f t="shared" si="150"/>
        <v>0</v>
      </c>
      <c r="AC49" s="75">
        <f t="shared" si="150"/>
        <v>0</v>
      </c>
      <c r="AD49" s="75">
        <f t="shared" si="150"/>
        <v>13</v>
      </c>
      <c r="AE49" s="75">
        <f t="shared" ref="AE49:AM49" si="152">SUBTOTAL(9,AE10:AE47)</f>
        <v>5296655</v>
      </c>
      <c r="AF49" s="75">
        <f t="shared" si="152"/>
        <v>0</v>
      </c>
      <c r="AG49" s="75">
        <f t="shared" si="152"/>
        <v>0</v>
      </c>
      <c r="AH49" s="75">
        <f t="shared" si="152"/>
        <v>0</v>
      </c>
      <c r="AI49" s="75">
        <f t="shared" si="152"/>
        <v>0</v>
      </c>
      <c r="AJ49" s="75">
        <f t="shared" si="152"/>
        <v>0</v>
      </c>
      <c r="AK49" s="75">
        <f t="shared" si="152"/>
        <v>0</v>
      </c>
      <c r="AL49" s="75">
        <f t="shared" si="152"/>
        <v>13</v>
      </c>
      <c r="AM49" s="75">
        <f t="shared" si="152"/>
        <v>6634173</v>
      </c>
      <c r="AN49" s="75">
        <f t="shared" si="150"/>
        <v>2749</v>
      </c>
      <c r="AO49" s="75">
        <f t="shared" si="150"/>
        <v>313636707</v>
      </c>
      <c r="AP49" s="75">
        <f t="shared" si="150"/>
        <v>3263</v>
      </c>
      <c r="AQ49" s="75">
        <f t="shared" si="150"/>
        <v>347912879</v>
      </c>
      <c r="AR49" s="75">
        <f t="shared" si="150"/>
        <v>6012</v>
      </c>
      <c r="AS49" s="153">
        <f t="shared" si="150"/>
        <v>661550000</v>
      </c>
      <c r="AT49" s="77">
        <f t="shared" ref="AT49:AY49" si="153">SUM(AT10:AT48)</f>
        <v>1.2100000000000002</v>
      </c>
      <c r="AU49" s="74">
        <f t="shared" si="153"/>
        <v>1699800</v>
      </c>
      <c r="AV49" s="74">
        <f t="shared" si="153"/>
        <v>661550000</v>
      </c>
      <c r="AW49" s="74">
        <f t="shared" si="153"/>
        <v>1699800</v>
      </c>
      <c r="AX49" s="208">
        <f t="shared" si="153"/>
        <v>663249800</v>
      </c>
      <c r="AY49" s="214">
        <f t="shared" si="153"/>
        <v>270312000</v>
      </c>
      <c r="AZ49" s="77">
        <f>AZ27+AZ32+AZ36+AZ43+AZ45+AZ48</f>
        <v>269590700</v>
      </c>
      <c r="BA49" s="76">
        <f>SUM(BA10:BA48)</f>
        <v>721300</v>
      </c>
      <c r="BB49" s="72">
        <f>SUM(BB10:BB48)</f>
        <v>270312000</v>
      </c>
      <c r="BC49" s="77">
        <f t="shared" ref="BC49:BE49" si="154">SUM(BC10:BC48)</f>
        <v>0</v>
      </c>
      <c r="BD49" s="77">
        <f t="shared" si="154"/>
        <v>0</v>
      </c>
      <c r="BE49" s="77">
        <f t="shared" si="154"/>
        <v>0</v>
      </c>
      <c r="BF49" s="78">
        <f>SUM(BF27:BF48)</f>
        <v>391959300</v>
      </c>
      <c r="BG49" s="78">
        <f>SUM(BG27:BG48)</f>
        <v>978500</v>
      </c>
      <c r="BH49" s="78">
        <f>SUM(BH27:BH48)</f>
        <v>392937800</v>
      </c>
      <c r="BI49" s="79">
        <f>(BB49+BE49)/AX49</f>
        <v>0.40755685112909196</v>
      </c>
      <c r="BJ49" s="126">
        <f>12*BI49</f>
        <v>4.8906822135491037</v>
      </c>
      <c r="BK49" s="81"/>
      <c r="BL49" s="78"/>
    </row>
    <row r="50" spans="1:64" s="49" customFormat="1" ht="1.5" hidden="1" customHeight="1" x14ac:dyDescent="0.2">
      <c r="A50" s="58"/>
      <c r="B50" s="58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1"/>
      <c r="AO50" s="61"/>
      <c r="AP50" s="61"/>
      <c r="AQ50" s="61"/>
      <c r="AR50" s="61"/>
      <c r="AS50" s="61"/>
      <c r="AX50" s="234">
        <v>628029000</v>
      </c>
      <c r="AY50" s="215">
        <v>270312000</v>
      </c>
    </row>
    <row r="51" spans="1:64" hidden="1" x14ac:dyDescent="0.2"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R51" s="225">
        <f>+AR23+AR28+AR29+AR30+AR31+AR35+AR41</f>
        <v>524</v>
      </c>
      <c r="AS51" s="225">
        <f>+AS23+AS28+AS29+AS30+AS31+AS35+AS41</f>
        <v>61840900</v>
      </c>
      <c r="AT51" s="62">
        <f t="shared" ref="AT51:AX51" si="155">+AT23+AT28+AT29+AT30+AT31+AT35+AT41</f>
        <v>0</v>
      </c>
      <c r="AU51" s="62">
        <f t="shared" si="155"/>
        <v>0</v>
      </c>
      <c r="AV51" s="62">
        <f t="shared" si="155"/>
        <v>0</v>
      </c>
      <c r="AW51" s="62">
        <f t="shared" si="155"/>
        <v>0</v>
      </c>
      <c r="AX51" s="62">
        <f t="shared" si="155"/>
        <v>0</v>
      </c>
      <c r="AY51" s="62">
        <f>+AS52</f>
        <v>25268441</v>
      </c>
      <c r="BB51" s="65"/>
      <c r="BC51" s="65"/>
      <c r="BD51" s="65"/>
      <c r="BE51" s="65"/>
    </row>
    <row r="52" spans="1:64" hidden="1" x14ac:dyDescent="0.2">
      <c r="E52" s="62"/>
      <c r="X52" s="284" t="s">
        <v>138</v>
      </c>
      <c r="Y52" s="285"/>
      <c r="Z52" s="285"/>
      <c r="AA52" s="285"/>
      <c r="AB52" s="285"/>
      <c r="AC52" s="285"/>
      <c r="AD52" s="285"/>
      <c r="AE52" s="286"/>
      <c r="AF52" s="121"/>
      <c r="AG52" s="121"/>
      <c r="AH52" s="121"/>
      <c r="AI52" s="121"/>
      <c r="AJ52" s="121"/>
      <c r="AK52" s="121"/>
      <c r="AL52" s="121"/>
      <c r="AM52" s="121"/>
      <c r="AN52" s="287">
        <v>16152.5</v>
      </c>
      <c r="AO52" s="288"/>
      <c r="AR52" s="226" t="s">
        <v>71</v>
      </c>
      <c r="AS52" s="227">
        <f>ROUND(AS51/AS49*AY50,0)</f>
        <v>25268441</v>
      </c>
      <c r="AU52" s="62"/>
      <c r="AV52" s="63"/>
      <c r="AX52" s="62">
        <f>+AR49-AR51</f>
        <v>5488</v>
      </c>
      <c r="AY52" s="228">
        <f>+AY50-AY51</f>
        <v>245043559</v>
      </c>
      <c r="AZ52" s="63">
        <f>+AX49-AS51</f>
        <v>601408900</v>
      </c>
    </row>
    <row r="53" spans="1:64" hidden="1" x14ac:dyDescent="0.2">
      <c r="C53" s="64"/>
      <c r="M53" s="62"/>
      <c r="X53" s="284" t="s">
        <v>139</v>
      </c>
      <c r="Y53" s="285"/>
      <c r="Z53" s="285"/>
      <c r="AA53" s="285"/>
      <c r="AB53" s="285"/>
      <c r="AC53" s="285"/>
      <c r="AD53" s="285"/>
      <c r="AE53" s="286"/>
      <c r="AF53" s="121"/>
      <c r="AG53" s="121"/>
      <c r="AH53" s="121"/>
      <c r="AI53" s="121"/>
      <c r="AJ53" s="121"/>
      <c r="AK53" s="121"/>
      <c r="AL53" s="121"/>
      <c r="AM53" s="121"/>
      <c r="AN53" s="282">
        <v>55.67</v>
      </c>
      <c r="AO53" s="283"/>
      <c r="AR53" s="224" t="s">
        <v>208</v>
      </c>
      <c r="AS53" s="62">
        <f>+AS51-AS52</f>
        <v>36572459</v>
      </c>
      <c r="AX53" s="62">
        <f>+AX52+AR51</f>
        <v>6012</v>
      </c>
      <c r="AY53" s="223">
        <f>+AY52+AS52</f>
        <v>270312000</v>
      </c>
      <c r="AZ53" s="62">
        <f>+AZ52-AY52</f>
        <v>356365341</v>
      </c>
    </row>
    <row r="54" spans="1:64" hidden="1" x14ac:dyDescent="0.2">
      <c r="X54" s="284" t="s">
        <v>140</v>
      </c>
      <c r="Y54" s="285"/>
      <c r="Z54" s="285"/>
      <c r="AA54" s="285"/>
      <c r="AB54" s="285"/>
      <c r="AC54" s="285"/>
      <c r="AD54" s="285"/>
      <c r="AE54" s="286"/>
      <c r="AF54" s="121"/>
      <c r="AG54" s="121"/>
      <c r="AH54" s="121"/>
      <c r="AI54" s="121"/>
      <c r="AJ54" s="121"/>
      <c r="AK54" s="121"/>
      <c r="AL54" s="121"/>
      <c r="AM54" s="121"/>
      <c r="AN54" s="282">
        <v>1.302</v>
      </c>
      <c r="AO54" s="283"/>
      <c r="AY54" s="237">
        <f>+AX49-AY49</f>
        <v>392937800</v>
      </c>
      <c r="BA54" s="62"/>
      <c r="BF54" s="63"/>
    </row>
    <row r="55" spans="1:64" hidden="1" x14ac:dyDescent="0.2">
      <c r="C55" s="64"/>
      <c r="AV55" s="226"/>
      <c r="AW55" s="229" t="s">
        <v>71</v>
      </c>
      <c r="AX55" s="229" t="s">
        <v>68</v>
      </c>
      <c r="AY55" s="229" t="s">
        <v>3</v>
      </c>
    </row>
    <row r="56" spans="1:64" hidden="1" x14ac:dyDescent="0.2">
      <c r="C56" s="64"/>
      <c r="E56" s="62"/>
      <c r="AS56" s="63"/>
      <c r="AV56" s="226" t="s">
        <v>209</v>
      </c>
      <c r="AW56" s="225">
        <f>+AR51</f>
        <v>524</v>
      </c>
      <c r="AX56" s="230">
        <v>5488</v>
      </c>
      <c r="AY56" s="228">
        <f>+AW56+AX56</f>
        <v>6012</v>
      </c>
    </row>
    <row r="57" spans="1:64" hidden="1" x14ac:dyDescent="0.2">
      <c r="E57" s="62"/>
      <c r="AO57" s="62"/>
      <c r="AS57" s="62"/>
      <c r="AV57" s="226" t="s">
        <v>210</v>
      </c>
      <c r="AW57" s="225">
        <f>+AS51</f>
        <v>61840900</v>
      </c>
      <c r="AX57" s="231">
        <f>+AZ52</f>
        <v>601408900</v>
      </c>
      <c r="AY57" s="228">
        <f t="shared" ref="AY57:AY58" si="156">+AW57+AX57</f>
        <v>663249800</v>
      </c>
      <c r="AZ57" s="238">
        <f>+AY58/AY57*AY56</f>
        <v>2450.231788988101</v>
      </c>
    </row>
    <row r="58" spans="1:64" hidden="1" x14ac:dyDescent="0.2">
      <c r="E58" s="62"/>
      <c r="AO58" s="62"/>
      <c r="AS58" s="62"/>
      <c r="AV58" s="226" t="s">
        <v>211</v>
      </c>
      <c r="AW58" s="231">
        <f>+AS52</f>
        <v>25268441</v>
      </c>
      <c r="AX58" s="225">
        <f>+AY52</f>
        <v>245043559</v>
      </c>
      <c r="AY58" s="228">
        <f t="shared" si="156"/>
        <v>270312000</v>
      </c>
    </row>
    <row r="59" spans="1:64" hidden="1" x14ac:dyDescent="0.2">
      <c r="AE59" s="62"/>
      <c r="AF59" s="62"/>
      <c r="AG59" s="62"/>
      <c r="AH59" s="62"/>
      <c r="AI59" s="62"/>
      <c r="AJ59" s="62"/>
      <c r="AK59" s="62"/>
      <c r="AL59" s="62"/>
      <c r="AM59" s="62"/>
      <c r="AO59" s="62"/>
      <c r="AS59" s="62"/>
      <c r="AV59" s="226" t="s">
        <v>208</v>
      </c>
      <c r="AW59" s="231">
        <f>+AW57-AW58</f>
        <v>36572459</v>
      </c>
      <c r="AX59" s="231">
        <f>+AX57-AX58</f>
        <v>356365341</v>
      </c>
      <c r="AY59" s="232">
        <f>+AY57-AY58</f>
        <v>392937800</v>
      </c>
    </row>
    <row r="60" spans="1:64" hidden="1" x14ac:dyDescent="0.2">
      <c r="E60" s="62"/>
    </row>
    <row r="61" spans="1:64" hidden="1" x14ac:dyDescent="0.2">
      <c r="AX61" s="63">
        <f>+AX49-AX50</f>
        <v>35220800</v>
      </c>
    </row>
    <row r="62" spans="1:64" hidden="1" x14ac:dyDescent="0.2">
      <c r="AX62" s="48">
        <f>36572.5+356365.3</f>
        <v>392937.8</v>
      </c>
    </row>
    <row r="63" spans="1:64" hidden="1" x14ac:dyDescent="0.2">
      <c r="AX63" s="48">
        <f>+AX49/AR49</f>
        <v>110320.99135063207</v>
      </c>
    </row>
    <row r="64" spans="1:64" hidden="1" x14ac:dyDescent="0.2">
      <c r="AS64" s="48">
        <f>2565-2098</f>
        <v>467</v>
      </c>
      <c r="AX64" s="48">
        <f>+AY49/AX63</f>
        <v>2450.2317889881006</v>
      </c>
    </row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</sheetData>
  <sortState ref="B10:AK32">
    <sortCondition ref="B10:B32"/>
  </sortState>
  <mergeCells count="74">
    <mergeCell ref="BI3:BJ3"/>
    <mergeCell ref="BI4:BI8"/>
    <mergeCell ref="BJ4:BJ8"/>
    <mergeCell ref="AJ5:AM5"/>
    <mergeCell ref="AF6:AG6"/>
    <mergeCell ref="AH6:AI6"/>
    <mergeCell ref="AJ6:AK6"/>
    <mergeCell ref="AL6:AM6"/>
    <mergeCell ref="AY3:AY8"/>
    <mergeCell ref="BF3:BH4"/>
    <mergeCell ref="BH5:BH8"/>
    <mergeCell ref="BF5:BF8"/>
    <mergeCell ref="BG5:BG8"/>
    <mergeCell ref="AZ5:AZ8"/>
    <mergeCell ref="AZ3:BB4"/>
    <mergeCell ref="BA5:BA8"/>
    <mergeCell ref="BB5:BB8"/>
    <mergeCell ref="BC3:BE4"/>
    <mergeCell ref="BC5:BC8"/>
    <mergeCell ref="BD5:BD8"/>
    <mergeCell ref="BE5:BE8"/>
    <mergeCell ref="AN52:AO52"/>
    <mergeCell ref="AN53:AO53"/>
    <mergeCell ref="AN54:AO54"/>
    <mergeCell ref="X52:AE52"/>
    <mergeCell ref="X53:AE53"/>
    <mergeCell ref="X54:AE54"/>
    <mergeCell ref="A3:A7"/>
    <mergeCell ref="C3:C7"/>
    <mergeCell ref="D3:W3"/>
    <mergeCell ref="X3:AE3"/>
    <mergeCell ref="L5:O5"/>
    <mergeCell ref="P5:S5"/>
    <mergeCell ref="T5:W5"/>
    <mergeCell ref="X5:AA5"/>
    <mergeCell ref="L6:M6"/>
    <mergeCell ref="N6:O6"/>
    <mergeCell ref="P6:Q6"/>
    <mergeCell ref="R6:S6"/>
    <mergeCell ref="T6:U6"/>
    <mergeCell ref="J6:K6"/>
    <mergeCell ref="V6:W6"/>
    <mergeCell ref="B3:B6"/>
    <mergeCell ref="H5:K5"/>
    <mergeCell ref="AN3:AQ5"/>
    <mergeCell ref="AB5:AE5"/>
    <mergeCell ref="D6:E6"/>
    <mergeCell ref="F6:G6"/>
    <mergeCell ref="H6:I6"/>
    <mergeCell ref="L4:O4"/>
    <mergeCell ref="P4:S4"/>
    <mergeCell ref="T4:W4"/>
    <mergeCell ref="X4:AA4"/>
    <mergeCell ref="AB4:AE4"/>
    <mergeCell ref="AF3:AM3"/>
    <mergeCell ref="AF4:AI4"/>
    <mergeCell ref="AJ4:AM4"/>
    <mergeCell ref="AF5:AI5"/>
    <mergeCell ref="D1:AV1"/>
    <mergeCell ref="AT3:AU6"/>
    <mergeCell ref="AV3:AX4"/>
    <mergeCell ref="AV5:AV8"/>
    <mergeCell ref="AW5:AW8"/>
    <mergeCell ref="AX5:AX8"/>
    <mergeCell ref="AP6:AQ6"/>
    <mergeCell ref="X6:Y6"/>
    <mergeCell ref="Z6:AA6"/>
    <mergeCell ref="AB6:AC6"/>
    <mergeCell ref="AD6:AE6"/>
    <mergeCell ref="AN6:AO6"/>
    <mergeCell ref="AR3:AS6"/>
    <mergeCell ref="D4:G4"/>
    <mergeCell ref="H4:K4"/>
    <mergeCell ref="D5:G5"/>
  </mergeCells>
  <pageMargins left="0.23622047244094491" right="0.23622047244094491" top="0.74803149606299213" bottom="0.74803149606299213" header="0.31496062992125984" footer="0.31496062992125984"/>
  <pageSetup paperSize="9" scale="75" firstPageNumber="0" orientation="portrait" r:id="rId1"/>
  <headerFooter>
    <oddHeader>&amp;RРасчеты на реализацию программ дошкольного образования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258" t="s">
        <v>45</v>
      </c>
      <c r="B2" s="258" t="s">
        <v>46</v>
      </c>
      <c r="C2" s="259" t="s">
        <v>47</v>
      </c>
      <c r="D2" s="258" t="s">
        <v>48</v>
      </c>
      <c r="E2" s="258" t="s">
        <v>49</v>
      </c>
      <c r="F2" s="258" t="s">
        <v>50</v>
      </c>
      <c r="G2" s="258" t="s">
        <v>51</v>
      </c>
      <c r="H2" s="259" t="s">
        <v>52</v>
      </c>
      <c r="I2" s="259" t="s">
        <v>53</v>
      </c>
      <c r="J2" s="258" t="s">
        <v>54</v>
      </c>
      <c r="K2" s="258" t="s">
        <v>55</v>
      </c>
      <c r="L2" s="258" t="s">
        <v>57</v>
      </c>
      <c r="M2" s="258" t="s">
        <v>56</v>
      </c>
      <c r="N2" s="258" t="s">
        <v>58</v>
      </c>
      <c r="O2" s="259" t="s">
        <v>59</v>
      </c>
      <c r="P2" s="259" t="s">
        <v>60</v>
      </c>
      <c r="Q2" s="258" t="s">
        <v>61</v>
      </c>
      <c r="R2" s="259" t="s">
        <v>62</v>
      </c>
      <c r="S2" s="258" t="s">
        <v>63</v>
      </c>
      <c r="T2" s="258" t="s">
        <v>64</v>
      </c>
      <c r="U2" s="259" t="s">
        <v>65</v>
      </c>
      <c r="V2" s="259" t="s">
        <v>66</v>
      </c>
      <c r="W2" s="2"/>
      <c r="X2" s="2"/>
    </row>
    <row r="3" spans="1:24" ht="55.9" customHeight="1" x14ac:dyDescent="0.2">
      <c r="A3" s="258"/>
      <c r="B3" s="258"/>
      <c r="C3" s="260"/>
      <c r="D3" s="258"/>
      <c r="E3" s="258"/>
      <c r="F3" s="258"/>
      <c r="G3" s="258"/>
      <c r="H3" s="260"/>
      <c r="I3" s="260"/>
      <c r="J3" s="258"/>
      <c r="K3" s="258"/>
      <c r="L3" s="258"/>
      <c r="M3" s="258"/>
      <c r="N3" s="258"/>
      <c r="O3" s="260"/>
      <c r="P3" s="260"/>
      <c r="Q3" s="258"/>
      <c r="R3" s="260"/>
      <c r="S3" s="258"/>
      <c r="T3" s="258"/>
      <c r="U3" s="260"/>
      <c r="V3" s="260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K2:K3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U29"/>
  <sheetViews>
    <sheetView zoomScaleNormal="100" zoomScaleSheetLayoutView="110" workbookViewId="0">
      <pane xSplit="3" ySplit="5" topLeftCell="AL12" activePane="bottomRight" state="frozen"/>
      <selection pane="topRight" activeCell="C1" sqref="C1"/>
      <selection pane="bottomLeft" activeCell="A6" sqref="A6"/>
      <selection pane="bottomRight" activeCell="AM24" sqref="AM24"/>
    </sheetView>
  </sheetViews>
  <sheetFormatPr defaultColWidth="11.28515625" defaultRowHeight="12.75" outlineLevelRow="2" x14ac:dyDescent="0.2"/>
  <cols>
    <col min="1" max="1" width="4.140625" style="114" customWidth="1"/>
    <col min="2" max="2" width="17.85546875" style="114" customWidth="1"/>
    <col min="3" max="3" width="24.5703125" style="114" customWidth="1"/>
    <col min="4" max="5" width="8.85546875" style="114" customWidth="1"/>
    <col min="6" max="6" width="8.28515625" style="114" customWidth="1"/>
    <col min="7" max="7" width="8.85546875" style="114" hidden="1" customWidth="1"/>
    <col min="8" max="8" width="7.85546875" style="114" bestFit="1" customWidth="1"/>
    <col min="9" max="9" width="15.5703125" style="114" customWidth="1"/>
    <col min="10" max="10" width="10.5703125" style="114" bestFit="1" customWidth="1"/>
    <col min="11" max="11" width="9.85546875" style="114" bestFit="1" customWidth="1"/>
    <col min="12" max="12" width="5" style="114" bestFit="1" customWidth="1"/>
    <col min="13" max="13" width="10.85546875" style="114" customWidth="1"/>
    <col min="14" max="14" width="10.5703125" style="114" bestFit="1" customWidth="1"/>
    <col min="15" max="15" width="5" style="114" bestFit="1" customWidth="1"/>
    <col min="16" max="16" width="11.28515625" style="114" customWidth="1"/>
    <col min="17" max="17" width="10.5703125" style="114" customWidth="1"/>
    <col min="18" max="18" width="9.85546875" style="114" bestFit="1" customWidth="1"/>
    <col min="19" max="19" width="7.42578125" style="114" customWidth="1"/>
    <col min="20" max="20" width="12.28515625" style="114" customWidth="1"/>
    <col min="21" max="21" width="9.85546875" style="114" bestFit="1" customWidth="1"/>
    <col min="22" max="22" width="11" style="114" customWidth="1"/>
    <col min="23" max="23" width="6.85546875" style="114" customWidth="1"/>
    <col min="24" max="24" width="13" style="114" customWidth="1"/>
    <col min="25" max="25" width="10.28515625" style="114" customWidth="1"/>
    <col min="26" max="26" width="7.85546875" style="114" customWidth="1"/>
    <col min="27" max="27" width="9.85546875" style="114" bestFit="1" customWidth="1"/>
    <col min="28" max="28" width="7.5703125" style="114" bestFit="1" customWidth="1"/>
    <col min="29" max="29" width="6.28515625" style="114" bestFit="1" customWidth="1"/>
    <col min="30" max="30" width="6.85546875" style="114" customWidth="1"/>
    <col min="31" max="31" width="3.85546875" style="114" hidden="1" customWidth="1"/>
    <col min="32" max="32" width="9.42578125" style="114" customWidth="1"/>
    <col min="33" max="33" width="15.42578125" style="114" customWidth="1"/>
    <col min="34" max="34" width="9" style="114" customWidth="1"/>
    <col min="35" max="35" width="15.5703125" style="114" customWidth="1"/>
    <col min="36" max="36" width="15.140625" style="114" bestFit="1" customWidth="1"/>
    <col min="37" max="37" width="12.42578125" style="114" bestFit="1" customWidth="1"/>
    <col min="38" max="38" width="15.140625" style="114" bestFit="1" customWidth="1"/>
    <col min="39" max="39" width="15.140625" style="222" customWidth="1"/>
    <col min="40" max="40" width="13.7109375" style="114" customWidth="1"/>
    <col min="41" max="41" width="11.140625" style="114" customWidth="1"/>
    <col min="42" max="42" width="15.5703125" style="114" customWidth="1"/>
    <col min="43" max="43" width="14.7109375" style="114" customWidth="1"/>
    <col min="44" max="44" width="11.42578125" style="114" bestFit="1" customWidth="1"/>
    <col min="45" max="45" width="15.140625" style="114" bestFit="1" customWidth="1"/>
    <col min="46" max="16384" width="11.28515625" style="114"/>
  </cols>
  <sheetData>
    <row r="1" spans="1:47" s="92" customFormat="1" ht="66" customHeight="1" x14ac:dyDescent="0.2">
      <c r="D1" s="261" t="s">
        <v>200</v>
      </c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2"/>
      <c r="AC1" s="262"/>
      <c r="AD1" s="262"/>
      <c r="AE1" s="262"/>
      <c r="AF1" s="262"/>
      <c r="AG1" s="262"/>
      <c r="AM1" s="216"/>
    </row>
    <row r="2" spans="1:47" s="94" customFormat="1" ht="124.5" customHeight="1" x14ac:dyDescent="0.2">
      <c r="A2" s="263" t="s">
        <v>0</v>
      </c>
      <c r="B2" s="263"/>
      <c r="C2" s="264" t="s">
        <v>38</v>
      </c>
      <c r="D2" s="263" t="s">
        <v>165</v>
      </c>
      <c r="E2" s="263"/>
      <c r="F2" s="263"/>
      <c r="G2" s="263"/>
      <c r="H2" s="263"/>
      <c r="I2" s="263"/>
      <c r="J2" s="265" t="s">
        <v>166</v>
      </c>
      <c r="K2" s="265"/>
      <c r="L2" s="265"/>
      <c r="M2" s="265"/>
      <c r="N2" s="265" t="s">
        <v>167</v>
      </c>
      <c r="O2" s="265"/>
      <c r="P2" s="265"/>
      <c r="Q2" s="265" t="s">
        <v>168</v>
      </c>
      <c r="R2" s="265"/>
      <c r="S2" s="265"/>
      <c r="T2" s="265"/>
      <c r="U2" s="265" t="s">
        <v>169</v>
      </c>
      <c r="V2" s="265"/>
      <c r="W2" s="265"/>
      <c r="X2" s="265"/>
      <c r="Y2" s="265" t="s">
        <v>170</v>
      </c>
      <c r="Z2" s="265"/>
      <c r="AA2" s="265"/>
      <c r="AB2" s="263" t="s">
        <v>203</v>
      </c>
      <c r="AC2" s="263"/>
      <c r="AD2" s="263"/>
      <c r="AE2" s="263"/>
      <c r="AF2" s="263"/>
      <c r="AG2" s="263"/>
      <c r="AH2" s="263" t="s">
        <v>141</v>
      </c>
      <c r="AI2" s="263"/>
      <c r="AJ2" s="263" t="s">
        <v>143</v>
      </c>
      <c r="AK2" s="263"/>
      <c r="AL2" s="263"/>
      <c r="AM2" s="274" t="s">
        <v>204</v>
      </c>
      <c r="AN2" s="277" t="s">
        <v>207</v>
      </c>
      <c r="AO2" s="278"/>
      <c r="AP2" s="279"/>
      <c r="AQ2" s="271" t="s">
        <v>147</v>
      </c>
      <c r="AR2" s="272"/>
      <c r="AS2" s="273"/>
      <c r="AT2" s="242" t="s">
        <v>151</v>
      </c>
      <c r="AU2" s="242"/>
    </row>
    <row r="3" spans="1:47" s="98" customFormat="1" ht="40.5" hidden="1" customHeight="1" x14ac:dyDescent="0.2">
      <c r="A3" s="263"/>
      <c r="B3" s="263"/>
      <c r="C3" s="263"/>
      <c r="D3" s="267" t="s">
        <v>171</v>
      </c>
      <c r="E3" s="267"/>
      <c r="F3" s="267"/>
      <c r="G3" s="267"/>
      <c r="H3" s="267" t="s">
        <v>172</v>
      </c>
      <c r="I3" s="266" t="s">
        <v>1</v>
      </c>
      <c r="J3" s="95" t="s">
        <v>173</v>
      </c>
      <c r="K3" s="95"/>
      <c r="L3" s="267" t="s">
        <v>172</v>
      </c>
      <c r="M3" s="266" t="s">
        <v>1</v>
      </c>
      <c r="N3" s="95" t="s">
        <v>171</v>
      </c>
      <c r="O3" s="267" t="s">
        <v>172</v>
      </c>
      <c r="P3" s="266" t="s">
        <v>1</v>
      </c>
      <c r="Q3" s="95" t="s">
        <v>171</v>
      </c>
      <c r="R3" s="95"/>
      <c r="S3" s="267" t="s">
        <v>172</v>
      </c>
      <c r="T3" s="266" t="s">
        <v>1</v>
      </c>
      <c r="U3" s="267" t="s">
        <v>171</v>
      </c>
      <c r="V3" s="267"/>
      <c r="W3" s="267" t="s">
        <v>172</v>
      </c>
      <c r="X3" s="266" t="s">
        <v>1</v>
      </c>
      <c r="Y3" s="95"/>
      <c r="Z3" s="267" t="s">
        <v>172</v>
      </c>
      <c r="AA3" s="266" t="s">
        <v>1</v>
      </c>
      <c r="AB3" s="268" t="s">
        <v>174</v>
      </c>
      <c r="AC3" s="269" t="s">
        <v>175</v>
      </c>
      <c r="AD3" s="269" t="s">
        <v>176</v>
      </c>
      <c r="AE3" s="270" t="s">
        <v>177</v>
      </c>
      <c r="AF3" s="267" t="s">
        <v>172</v>
      </c>
      <c r="AG3" s="266" t="s">
        <v>202</v>
      </c>
      <c r="AH3" s="96"/>
      <c r="AI3" s="97"/>
      <c r="AJ3" s="97"/>
      <c r="AK3" s="97"/>
      <c r="AL3" s="97"/>
      <c r="AM3" s="275"/>
      <c r="AN3" s="97"/>
      <c r="AO3" s="97"/>
      <c r="AP3" s="97"/>
      <c r="AQ3" s="97"/>
      <c r="AR3" s="97"/>
      <c r="AS3" s="97"/>
      <c r="AT3" s="127" t="s">
        <v>188</v>
      </c>
      <c r="AU3" s="129" t="s">
        <v>189</v>
      </c>
    </row>
    <row r="4" spans="1:47" s="102" customFormat="1" ht="38.25" x14ac:dyDescent="0.2">
      <c r="A4" s="263"/>
      <c r="B4" s="263"/>
      <c r="C4" s="263"/>
      <c r="D4" s="99" t="s">
        <v>174</v>
      </c>
      <c r="E4" s="100" t="s">
        <v>175</v>
      </c>
      <c r="F4" s="100" t="s">
        <v>176</v>
      </c>
      <c r="G4" s="100" t="s">
        <v>177</v>
      </c>
      <c r="H4" s="267"/>
      <c r="I4" s="266"/>
      <c r="J4" s="99" t="s">
        <v>174</v>
      </c>
      <c r="K4" s="100" t="s">
        <v>175</v>
      </c>
      <c r="L4" s="267"/>
      <c r="M4" s="266"/>
      <c r="N4" s="99" t="s">
        <v>174</v>
      </c>
      <c r="O4" s="267"/>
      <c r="P4" s="266"/>
      <c r="Q4" s="99" t="s">
        <v>174</v>
      </c>
      <c r="R4" s="100" t="s">
        <v>175</v>
      </c>
      <c r="S4" s="267"/>
      <c r="T4" s="266"/>
      <c r="U4" s="99" t="s">
        <v>174</v>
      </c>
      <c r="V4" s="100" t="s">
        <v>175</v>
      </c>
      <c r="W4" s="267"/>
      <c r="X4" s="266"/>
      <c r="Y4" s="100" t="s">
        <v>175</v>
      </c>
      <c r="Z4" s="267"/>
      <c r="AA4" s="266"/>
      <c r="AB4" s="268"/>
      <c r="AC4" s="269"/>
      <c r="AD4" s="269"/>
      <c r="AE4" s="270"/>
      <c r="AF4" s="267"/>
      <c r="AG4" s="266"/>
      <c r="AH4" s="96" t="s">
        <v>142</v>
      </c>
      <c r="AI4" s="101" t="s">
        <v>1</v>
      </c>
      <c r="AJ4" s="101" t="s">
        <v>144</v>
      </c>
      <c r="AK4" s="101" t="s">
        <v>145</v>
      </c>
      <c r="AL4" s="101" t="s">
        <v>3</v>
      </c>
      <c r="AM4" s="276"/>
      <c r="AN4" s="101" t="s">
        <v>144</v>
      </c>
      <c r="AO4" s="197" t="s">
        <v>145</v>
      </c>
      <c r="AP4" s="101" t="s">
        <v>3</v>
      </c>
      <c r="AQ4" s="101" t="s">
        <v>144</v>
      </c>
      <c r="AR4" s="101" t="s">
        <v>145</v>
      </c>
      <c r="AS4" s="101" t="s">
        <v>3</v>
      </c>
      <c r="AT4" s="122" t="s">
        <v>188</v>
      </c>
      <c r="AU4" s="123" t="s">
        <v>189</v>
      </c>
    </row>
    <row r="5" spans="1:47" s="105" customFormat="1" ht="13.15" customHeight="1" x14ac:dyDescent="0.2">
      <c r="A5" s="103"/>
      <c r="B5" s="103"/>
      <c r="C5" s="103"/>
      <c r="D5" s="184">
        <v>56663</v>
      </c>
      <c r="E5" s="184">
        <v>77917</v>
      </c>
      <c r="F5" s="184">
        <v>82443</v>
      </c>
      <c r="G5" s="186">
        <f>'[1]Нормативы ОО'!M459</f>
        <v>78016</v>
      </c>
      <c r="H5" s="119"/>
      <c r="I5" s="119"/>
      <c r="J5" s="233">
        <v>118158</v>
      </c>
      <c r="K5" s="233">
        <v>140778</v>
      </c>
      <c r="L5" s="119"/>
      <c r="M5" s="119"/>
      <c r="N5" s="233">
        <v>148905</v>
      </c>
      <c r="O5" s="119"/>
      <c r="P5" s="119"/>
      <c r="Q5" s="236">
        <v>317384</v>
      </c>
      <c r="R5" s="236">
        <v>419442</v>
      </c>
      <c r="S5" s="119"/>
      <c r="T5" s="119"/>
      <c r="U5" s="236">
        <v>217232</v>
      </c>
      <c r="V5" s="236">
        <v>277432</v>
      </c>
      <c r="W5" s="119"/>
      <c r="X5" s="119"/>
      <c r="Y5" s="236">
        <v>425276</v>
      </c>
      <c r="Z5" s="119"/>
      <c r="AA5" s="119"/>
      <c r="AB5" s="189"/>
      <c r="AC5" s="189"/>
      <c r="AD5" s="189"/>
      <c r="AE5" s="189"/>
      <c r="AF5" s="189"/>
      <c r="AG5" s="190"/>
      <c r="AH5" s="191"/>
      <c r="AI5" s="191"/>
      <c r="AJ5" s="192">
        <v>1</v>
      </c>
      <c r="AK5" s="191"/>
      <c r="AL5" s="191"/>
      <c r="AM5" s="217"/>
      <c r="AN5" s="191"/>
      <c r="AO5" s="191"/>
      <c r="AP5" s="191"/>
      <c r="AQ5" s="191"/>
      <c r="AR5" s="191"/>
      <c r="AS5" s="191"/>
      <c r="AT5" s="195"/>
      <c r="AU5" s="196"/>
    </row>
    <row r="6" spans="1:47" s="109" customFormat="1" outlineLevel="2" x14ac:dyDescent="0.2">
      <c r="A6" s="93">
        <v>1</v>
      </c>
      <c r="B6" s="96" t="s">
        <v>125</v>
      </c>
      <c r="C6" s="106" t="s">
        <v>19</v>
      </c>
      <c r="D6" s="186">
        <v>104</v>
      </c>
      <c r="E6" s="186">
        <v>82</v>
      </c>
      <c r="F6" s="186">
        <v>17</v>
      </c>
      <c r="G6" s="186"/>
      <c r="H6" s="186">
        <f>SUM(D6:G6)</f>
        <v>203</v>
      </c>
      <c r="I6" s="119">
        <f>(D6*D$5+E6*E$5+F6*F$5+G6*G$5)</f>
        <v>13683677</v>
      </c>
      <c r="J6" s="119"/>
      <c r="K6" s="119"/>
      <c r="L6" s="186">
        <f>SUM(J6:K6)</f>
        <v>0</v>
      </c>
      <c r="M6" s="119">
        <f>(J6*J$5+K6*K$5)</f>
        <v>0</v>
      </c>
      <c r="N6" s="119"/>
      <c r="O6" s="186">
        <f>SUM(N6:N6)</f>
        <v>0</v>
      </c>
      <c r="P6" s="119">
        <f>(N6*N$5)</f>
        <v>0</v>
      </c>
      <c r="Q6" s="188"/>
      <c r="R6" s="188"/>
      <c r="S6" s="186">
        <f>Q6+R6</f>
        <v>0</v>
      </c>
      <c r="T6" s="119">
        <f>(Q6*Q$5+$R$5*R6)</f>
        <v>0</v>
      </c>
      <c r="U6" s="188"/>
      <c r="V6" s="188"/>
      <c r="W6" s="186">
        <f>SUM(U6:V6)</f>
        <v>0</v>
      </c>
      <c r="X6" s="119">
        <f>(U6*U$5+V6*V$5)</f>
        <v>0</v>
      </c>
      <c r="Y6" s="188"/>
      <c r="Z6" s="186">
        <f>SUM(Y6:Y6)</f>
        <v>0</v>
      </c>
      <c r="AA6" s="119">
        <f>(Y6*Y$5)</f>
        <v>0</v>
      </c>
      <c r="AB6" s="119">
        <f>D6+J6+N6+Q6+U6</f>
        <v>104</v>
      </c>
      <c r="AC6" s="119">
        <f>E6+K6+V6+Y6+R6</f>
        <v>82</v>
      </c>
      <c r="AD6" s="119">
        <f>F6</f>
        <v>17</v>
      </c>
      <c r="AE6" s="119">
        <f>G6</f>
        <v>0</v>
      </c>
      <c r="AF6" s="119">
        <f>AB6+AC6+AD6+AE6</f>
        <v>203</v>
      </c>
      <c r="AG6" s="119">
        <f>ROUND(I6+M6+P6+T6+X6+AA6,-2)</f>
        <v>13683700</v>
      </c>
      <c r="AH6" s="193"/>
      <c r="AI6" s="193"/>
      <c r="AJ6" s="119"/>
      <c r="AK6" s="119"/>
      <c r="AL6" s="119"/>
      <c r="AM6" s="218"/>
      <c r="AN6" s="193"/>
      <c r="AO6" s="193"/>
      <c r="AP6" s="193"/>
      <c r="AQ6" s="194"/>
      <c r="AR6" s="194"/>
      <c r="AS6" s="194"/>
      <c r="AT6" s="195"/>
      <c r="AU6" s="196"/>
    </row>
    <row r="7" spans="1:47" s="109" customFormat="1" ht="25.5" outlineLevel="2" x14ac:dyDescent="0.2">
      <c r="A7" s="93">
        <v>2</v>
      </c>
      <c r="B7" s="96" t="s">
        <v>125</v>
      </c>
      <c r="C7" s="106" t="s">
        <v>178</v>
      </c>
      <c r="D7" s="187">
        <v>96</v>
      </c>
      <c r="E7" s="187">
        <v>68</v>
      </c>
      <c r="F7" s="187">
        <v>18</v>
      </c>
      <c r="G7" s="186"/>
      <c r="H7" s="186">
        <f>SUM(D7:G7)</f>
        <v>182</v>
      </c>
      <c r="I7" s="119">
        <f>(D7*D$5+E7*E$5+F7*F$5+G7*G$5)</f>
        <v>12221978</v>
      </c>
      <c r="J7" s="119"/>
      <c r="K7" s="119"/>
      <c r="L7" s="186"/>
      <c r="M7" s="119"/>
      <c r="N7" s="119"/>
      <c r="O7" s="186"/>
      <c r="P7" s="119"/>
      <c r="Q7" s="188"/>
      <c r="R7" s="188"/>
      <c r="S7" s="186">
        <f t="shared" ref="S7:S22" si="0">Q7+R7</f>
        <v>0</v>
      </c>
      <c r="T7" s="119">
        <f t="shared" ref="T7:T22" si="1">(Q7*Q$5+$R$5*R7)</f>
        <v>0</v>
      </c>
      <c r="U7" s="188"/>
      <c r="V7" s="188"/>
      <c r="W7" s="186"/>
      <c r="X7" s="119"/>
      <c r="Y7" s="188"/>
      <c r="Z7" s="186"/>
      <c r="AA7" s="119"/>
      <c r="AB7" s="119">
        <f>D7+J7+N7+Q7+U7</f>
        <v>96</v>
      </c>
      <c r="AC7" s="119">
        <f t="shared" ref="AC7:AC22" si="2">E7+K7+V7+Y7+R7</f>
        <v>68</v>
      </c>
      <c r="AD7" s="119">
        <f>F7</f>
        <v>18</v>
      </c>
      <c r="AE7" s="119"/>
      <c r="AF7" s="119">
        <f>AB7+AC7+AD7+AE7</f>
        <v>182</v>
      </c>
      <c r="AG7" s="119">
        <f>ROUND(I7+M7+P7+T7+X7+AA7,-2)</f>
        <v>12222000</v>
      </c>
      <c r="AH7" s="193"/>
      <c r="AI7" s="193"/>
      <c r="AJ7" s="119"/>
      <c r="AK7" s="119"/>
      <c r="AL7" s="119"/>
      <c r="AM7" s="218"/>
      <c r="AN7" s="193"/>
      <c r="AO7" s="193"/>
      <c r="AP7" s="193"/>
      <c r="AQ7" s="194"/>
      <c r="AR7" s="194"/>
      <c r="AS7" s="194"/>
      <c r="AT7" s="195"/>
      <c r="AU7" s="196"/>
    </row>
    <row r="8" spans="1:47" s="109" customFormat="1" outlineLevel="2" x14ac:dyDescent="0.2">
      <c r="A8" s="93">
        <v>3</v>
      </c>
      <c r="B8" s="96" t="s">
        <v>125</v>
      </c>
      <c r="C8" s="106" t="s">
        <v>179</v>
      </c>
      <c r="D8" s="187">
        <v>45</v>
      </c>
      <c r="E8" s="187">
        <v>0</v>
      </c>
      <c r="F8" s="187">
        <v>0</v>
      </c>
      <c r="G8" s="187"/>
      <c r="H8" s="186">
        <f>SUM(D8:G8)</f>
        <v>45</v>
      </c>
      <c r="I8" s="119">
        <f>(D8*D$5+E8*E$5+F8*F$5+G8*G$5)</f>
        <v>2549835</v>
      </c>
      <c r="J8" s="119"/>
      <c r="K8" s="119"/>
      <c r="L8" s="186">
        <f>SUM(J8:K8)</f>
        <v>0</v>
      </c>
      <c r="M8" s="119">
        <f>(J8*J$5+K8*K$5)</f>
        <v>0</v>
      </c>
      <c r="N8" s="119"/>
      <c r="O8" s="186">
        <f>SUM(N8:N8)</f>
        <v>0</v>
      </c>
      <c r="P8" s="119">
        <f>(N8*N$5)</f>
        <v>0</v>
      </c>
      <c r="Q8" s="119"/>
      <c r="R8" s="119"/>
      <c r="S8" s="186">
        <f t="shared" si="0"/>
        <v>0</v>
      </c>
      <c r="T8" s="119">
        <f t="shared" si="1"/>
        <v>0</v>
      </c>
      <c r="U8" s="119"/>
      <c r="V8" s="119"/>
      <c r="W8" s="186">
        <f>SUM(U8:V8)</f>
        <v>0</v>
      </c>
      <c r="X8" s="119">
        <f>(U8*U$5+V8*V$5)</f>
        <v>0</v>
      </c>
      <c r="Y8" s="119"/>
      <c r="Z8" s="186">
        <f>SUM(Y8:Y8)</f>
        <v>0</v>
      </c>
      <c r="AA8" s="119">
        <f>(Y8*Y$5)</f>
        <v>0</v>
      </c>
      <c r="AB8" s="119">
        <f>D8+J8+N8+Q8+U8</f>
        <v>45</v>
      </c>
      <c r="AC8" s="119">
        <f t="shared" si="2"/>
        <v>0</v>
      </c>
      <c r="AD8" s="119">
        <f>F8</f>
        <v>0</v>
      </c>
      <c r="AE8" s="119">
        <f>G8</f>
        <v>0</v>
      </c>
      <c r="AF8" s="119">
        <f>AB8+AC8+AD8+AE8</f>
        <v>45</v>
      </c>
      <c r="AG8" s="119">
        <f>ROUND(I8+M8+P8+T8+X8+AA8,-2)</f>
        <v>2549800</v>
      </c>
      <c r="AH8" s="193"/>
      <c r="AI8" s="193"/>
      <c r="AJ8" s="119"/>
      <c r="AK8" s="119"/>
      <c r="AL8" s="119"/>
      <c r="AM8" s="218"/>
      <c r="AN8" s="193"/>
      <c r="AO8" s="193"/>
      <c r="AP8" s="193"/>
      <c r="AQ8" s="194"/>
      <c r="AR8" s="194"/>
      <c r="AS8" s="194"/>
      <c r="AT8" s="193"/>
      <c r="AU8" s="193"/>
    </row>
    <row r="9" spans="1:47" s="180" customFormat="1" ht="25.5" outlineLevel="1" x14ac:dyDescent="0.2">
      <c r="A9" s="170"/>
      <c r="B9" s="171" t="s">
        <v>131</v>
      </c>
      <c r="C9" s="172"/>
      <c r="D9" s="173">
        <f t="shared" ref="D9:AG9" si="3">SUBTOTAL(9,D6:D8)</f>
        <v>245</v>
      </c>
      <c r="E9" s="173">
        <f t="shared" si="3"/>
        <v>150</v>
      </c>
      <c r="F9" s="173">
        <f t="shared" si="3"/>
        <v>35</v>
      </c>
      <c r="G9" s="173">
        <f t="shared" si="3"/>
        <v>0</v>
      </c>
      <c r="H9" s="173">
        <f t="shared" si="3"/>
        <v>430</v>
      </c>
      <c r="I9" s="173">
        <f t="shared" si="3"/>
        <v>28455490</v>
      </c>
      <c r="J9" s="173">
        <f t="shared" si="3"/>
        <v>0</v>
      </c>
      <c r="K9" s="173">
        <f t="shared" si="3"/>
        <v>0</v>
      </c>
      <c r="L9" s="173">
        <f t="shared" si="3"/>
        <v>0</v>
      </c>
      <c r="M9" s="173">
        <f t="shared" si="3"/>
        <v>0</v>
      </c>
      <c r="N9" s="173">
        <f t="shared" si="3"/>
        <v>0</v>
      </c>
      <c r="O9" s="173">
        <f t="shared" si="3"/>
        <v>0</v>
      </c>
      <c r="P9" s="173">
        <f t="shared" si="3"/>
        <v>0</v>
      </c>
      <c r="Q9" s="173">
        <f t="shared" si="3"/>
        <v>0</v>
      </c>
      <c r="R9" s="173">
        <f t="shared" si="3"/>
        <v>0</v>
      </c>
      <c r="S9" s="173">
        <f t="shared" si="3"/>
        <v>0</v>
      </c>
      <c r="T9" s="173">
        <f t="shared" si="3"/>
        <v>0</v>
      </c>
      <c r="U9" s="173">
        <f t="shared" si="3"/>
        <v>0</v>
      </c>
      <c r="V9" s="173">
        <f t="shared" si="3"/>
        <v>0</v>
      </c>
      <c r="W9" s="173">
        <f t="shared" si="3"/>
        <v>0</v>
      </c>
      <c r="X9" s="173">
        <f t="shared" si="3"/>
        <v>0</v>
      </c>
      <c r="Y9" s="173">
        <f t="shared" si="3"/>
        <v>0</v>
      </c>
      <c r="Z9" s="173">
        <f t="shared" si="3"/>
        <v>0</v>
      </c>
      <c r="AA9" s="173">
        <f t="shared" si="3"/>
        <v>0</v>
      </c>
      <c r="AB9" s="173">
        <f t="shared" si="3"/>
        <v>245</v>
      </c>
      <c r="AC9" s="173">
        <f t="shared" si="3"/>
        <v>150</v>
      </c>
      <c r="AD9" s="173">
        <f t="shared" si="3"/>
        <v>35</v>
      </c>
      <c r="AE9" s="173">
        <f t="shared" si="3"/>
        <v>0</v>
      </c>
      <c r="AF9" s="173">
        <f t="shared" si="3"/>
        <v>430</v>
      </c>
      <c r="AG9" s="173">
        <f t="shared" si="3"/>
        <v>28455500</v>
      </c>
      <c r="AH9" s="174">
        <f>ROUND(AF9/5000,2)</f>
        <v>0.09</v>
      </c>
      <c r="AI9" s="175">
        <f>ROUND(AH9*$Z$26*$Z$27*$Z$28*1.2,-2)</f>
        <v>126400</v>
      </c>
      <c r="AJ9" s="176">
        <f>ROUND(AG9*$AJ$5,-2)</f>
        <v>28455500</v>
      </c>
      <c r="AK9" s="176">
        <f>AI9</f>
        <v>126400</v>
      </c>
      <c r="AL9" s="176">
        <f>AJ9+AK9</f>
        <v>28581900</v>
      </c>
      <c r="AM9" s="219">
        <v>20776000</v>
      </c>
      <c r="AN9" s="175">
        <f>AP9-AO9</f>
        <v>16702800</v>
      </c>
      <c r="AO9" s="175">
        <v>81100</v>
      </c>
      <c r="AP9" s="175">
        <v>16783900</v>
      </c>
      <c r="AQ9" s="177">
        <f t="shared" ref="AQ9:AS23" si="4">AJ9-AN9</f>
        <v>11752700</v>
      </c>
      <c r="AR9" s="177">
        <f t="shared" si="4"/>
        <v>45300</v>
      </c>
      <c r="AS9" s="177">
        <f t="shared" si="4"/>
        <v>11798000</v>
      </c>
      <c r="AT9" s="178">
        <f>AP9/AL9</f>
        <v>0.58722128339963409</v>
      </c>
      <c r="AU9" s="179">
        <f>12*AT9</f>
        <v>7.0466554007956095</v>
      </c>
    </row>
    <row r="10" spans="1:47" s="109" customFormat="1" outlineLevel="2" x14ac:dyDescent="0.2">
      <c r="A10" s="93">
        <v>4</v>
      </c>
      <c r="B10" s="96" t="s">
        <v>126</v>
      </c>
      <c r="C10" s="96" t="s">
        <v>180</v>
      </c>
      <c r="D10" s="186">
        <v>17</v>
      </c>
      <c r="E10" s="186">
        <v>37</v>
      </c>
      <c r="F10" s="186">
        <v>7</v>
      </c>
      <c r="G10" s="186"/>
      <c r="H10" s="186">
        <f>SUM(D10:G10)</f>
        <v>61</v>
      </c>
      <c r="I10" s="119">
        <f>(D10*D$5+E10*E$5+F10*F$5+G10*G$5)</f>
        <v>4423301</v>
      </c>
      <c r="J10" s="119"/>
      <c r="K10" s="119"/>
      <c r="L10" s="186">
        <f>SUM(J10:K10)</f>
        <v>0</v>
      </c>
      <c r="M10" s="119">
        <f>(J10*J$5+K10*K$5)</f>
        <v>0</v>
      </c>
      <c r="N10" s="119"/>
      <c r="O10" s="186">
        <f>SUM(N10:N10)</f>
        <v>0</v>
      </c>
      <c r="P10" s="119">
        <f>(N10*N$5)</f>
        <v>0</v>
      </c>
      <c r="Q10" s="119"/>
      <c r="R10" s="119"/>
      <c r="S10" s="186">
        <f t="shared" si="0"/>
        <v>0</v>
      </c>
      <c r="T10" s="119">
        <f t="shared" si="1"/>
        <v>0</v>
      </c>
      <c r="U10" s="119"/>
      <c r="V10" s="119"/>
      <c r="W10" s="186">
        <f>SUM(U10:V10)</f>
        <v>0</v>
      </c>
      <c r="X10" s="119">
        <f>(U10*U$5+V10*V$5)</f>
        <v>0</v>
      </c>
      <c r="Y10" s="119"/>
      <c r="Z10" s="186">
        <f>SUM(Y10:Y10)</f>
        <v>0</v>
      </c>
      <c r="AA10" s="119">
        <f>(Y10*Y$5)</f>
        <v>0</v>
      </c>
      <c r="AB10" s="119">
        <f>D10+J10+N10+Q10+U10</f>
        <v>17</v>
      </c>
      <c r="AC10" s="119">
        <f t="shared" si="2"/>
        <v>37</v>
      </c>
      <c r="AD10" s="119">
        <f>F10</f>
        <v>7</v>
      </c>
      <c r="AE10" s="119">
        <f>G10</f>
        <v>0</v>
      </c>
      <c r="AF10" s="119">
        <f>AB10+AC10+AD10+AE10</f>
        <v>61</v>
      </c>
      <c r="AG10" s="119">
        <f>ROUND(I10+M10+P10+T10+X10+AA10,-2)</f>
        <v>4423300</v>
      </c>
      <c r="AH10" s="193"/>
      <c r="AI10" s="193"/>
      <c r="AJ10" s="119"/>
      <c r="AK10" s="119"/>
      <c r="AL10" s="119"/>
      <c r="AM10" s="218"/>
      <c r="AN10" s="193">
        <f t="shared" ref="AN10:AN24" si="5">AP10-AO10</f>
        <v>0</v>
      </c>
      <c r="AO10" s="193"/>
      <c r="AP10" s="193"/>
      <c r="AQ10" s="194">
        <f t="shared" si="4"/>
        <v>0</v>
      </c>
      <c r="AR10" s="194">
        <f t="shared" si="4"/>
        <v>0</v>
      </c>
      <c r="AS10" s="194">
        <f t="shared" si="4"/>
        <v>0</v>
      </c>
      <c r="AT10" s="193"/>
      <c r="AU10" s="193"/>
    </row>
    <row r="11" spans="1:47" s="180" customFormat="1" outlineLevel="1" x14ac:dyDescent="0.2">
      <c r="A11" s="170"/>
      <c r="B11" s="181" t="s">
        <v>132</v>
      </c>
      <c r="C11" s="182"/>
      <c r="D11" s="183">
        <f t="shared" ref="D11:AG11" si="6">SUBTOTAL(9,D10:D10)</f>
        <v>17</v>
      </c>
      <c r="E11" s="183">
        <f t="shared" si="6"/>
        <v>37</v>
      </c>
      <c r="F11" s="183">
        <f t="shared" si="6"/>
        <v>7</v>
      </c>
      <c r="G11" s="183">
        <f t="shared" si="6"/>
        <v>0</v>
      </c>
      <c r="H11" s="183">
        <f t="shared" si="6"/>
        <v>61</v>
      </c>
      <c r="I11" s="183">
        <f t="shared" si="6"/>
        <v>4423301</v>
      </c>
      <c r="J11" s="183">
        <f t="shared" si="6"/>
        <v>0</v>
      </c>
      <c r="K11" s="183">
        <f t="shared" si="6"/>
        <v>0</v>
      </c>
      <c r="L11" s="183">
        <f t="shared" si="6"/>
        <v>0</v>
      </c>
      <c r="M11" s="183">
        <f t="shared" si="6"/>
        <v>0</v>
      </c>
      <c r="N11" s="183">
        <f t="shared" si="6"/>
        <v>0</v>
      </c>
      <c r="O11" s="183">
        <f t="shared" si="6"/>
        <v>0</v>
      </c>
      <c r="P11" s="183">
        <f t="shared" si="6"/>
        <v>0</v>
      </c>
      <c r="Q11" s="183">
        <f t="shared" si="6"/>
        <v>0</v>
      </c>
      <c r="R11" s="183">
        <f t="shared" si="6"/>
        <v>0</v>
      </c>
      <c r="S11" s="183">
        <f t="shared" si="6"/>
        <v>0</v>
      </c>
      <c r="T11" s="183">
        <f t="shared" si="6"/>
        <v>0</v>
      </c>
      <c r="U11" s="183">
        <f t="shared" si="6"/>
        <v>0</v>
      </c>
      <c r="V11" s="183">
        <f t="shared" si="6"/>
        <v>0</v>
      </c>
      <c r="W11" s="183">
        <f t="shared" si="6"/>
        <v>0</v>
      </c>
      <c r="X11" s="183">
        <f t="shared" si="6"/>
        <v>0</v>
      </c>
      <c r="Y11" s="183">
        <f t="shared" si="6"/>
        <v>0</v>
      </c>
      <c r="Z11" s="183">
        <f t="shared" si="6"/>
        <v>0</v>
      </c>
      <c r="AA11" s="183">
        <f t="shared" si="6"/>
        <v>0</v>
      </c>
      <c r="AB11" s="183">
        <f t="shared" si="6"/>
        <v>17</v>
      </c>
      <c r="AC11" s="183">
        <f t="shared" si="6"/>
        <v>37</v>
      </c>
      <c r="AD11" s="183">
        <f t="shared" si="6"/>
        <v>7</v>
      </c>
      <c r="AE11" s="183">
        <f t="shared" si="6"/>
        <v>0</v>
      </c>
      <c r="AF11" s="183">
        <f t="shared" si="6"/>
        <v>61</v>
      </c>
      <c r="AG11" s="183">
        <f t="shared" si="6"/>
        <v>4423300</v>
      </c>
      <c r="AH11" s="174">
        <f>ROUND(AF11/5000,2)</f>
        <v>0.01</v>
      </c>
      <c r="AI11" s="175">
        <f>ROUND(AH11*$Z$26*$Z$27*$Z$28*1.2,-2)</f>
        <v>14000</v>
      </c>
      <c r="AJ11" s="176">
        <f>ROUND(AG11*$AJ$5,-2)</f>
        <v>4423300</v>
      </c>
      <c r="AK11" s="176">
        <f>AI11</f>
        <v>14000</v>
      </c>
      <c r="AL11" s="176">
        <f>AJ11+AK11</f>
        <v>4437300</v>
      </c>
      <c r="AM11" s="219">
        <v>3224400</v>
      </c>
      <c r="AN11" s="175">
        <f t="shared" si="5"/>
        <v>4801900</v>
      </c>
      <c r="AO11" s="175">
        <v>27000</v>
      </c>
      <c r="AP11" s="175">
        <v>4828900</v>
      </c>
      <c r="AQ11" s="177">
        <f t="shared" si="4"/>
        <v>-378600</v>
      </c>
      <c r="AR11" s="177">
        <f t="shared" si="4"/>
        <v>-13000</v>
      </c>
      <c r="AS11" s="177">
        <f t="shared" si="4"/>
        <v>-391600</v>
      </c>
      <c r="AT11" s="178">
        <f>AP11/AL11</f>
        <v>1.088251864872783</v>
      </c>
      <c r="AU11" s="179">
        <f>12*AT11</f>
        <v>13.059022378473397</v>
      </c>
    </row>
    <row r="12" spans="1:47" s="109" customFormat="1" ht="25.5" outlineLevel="2" x14ac:dyDescent="0.2">
      <c r="A12" s="93">
        <v>5</v>
      </c>
      <c r="B12" s="96" t="s">
        <v>127</v>
      </c>
      <c r="C12" s="96" t="s">
        <v>27</v>
      </c>
      <c r="D12" s="198">
        <v>65</v>
      </c>
      <c r="E12" s="198">
        <v>72</v>
      </c>
      <c r="F12" s="198">
        <v>15</v>
      </c>
      <c r="G12" s="184"/>
      <c r="H12" s="186">
        <f>SUM(D12:G12)</f>
        <v>152</v>
      </c>
      <c r="I12" s="119">
        <f>(D12*D$5+E12*E$5+F12*F$5+G12*G$5)</f>
        <v>10529764</v>
      </c>
      <c r="J12" s="119"/>
      <c r="K12" s="119"/>
      <c r="L12" s="186">
        <f>SUM(J12:K12)</f>
        <v>0</v>
      </c>
      <c r="M12" s="119">
        <f>(J12*J$5+K12*K$5)</f>
        <v>0</v>
      </c>
      <c r="N12" s="119"/>
      <c r="O12" s="186">
        <f>SUM(N12:N12)</f>
        <v>0</v>
      </c>
      <c r="P12" s="119">
        <f>(N12*N$5)</f>
        <v>0</v>
      </c>
      <c r="Q12" s="119"/>
      <c r="R12" s="119"/>
      <c r="S12" s="186">
        <f t="shared" si="0"/>
        <v>0</v>
      </c>
      <c r="T12" s="119">
        <f t="shared" si="1"/>
        <v>0</v>
      </c>
      <c r="U12" s="119"/>
      <c r="V12" s="119"/>
      <c r="W12" s="186">
        <f>SUM(U12:V12)</f>
        <v>0</v>
      </c>
      <c r="X12" s="119">
        <f>(U12*U$5+V12*V$5)</f>
        <v>0</v>
      </c>
      <c r="Y12" s="119"/>
      <c r="Z12" s="186">
        <f>SUM(Y12:Y12)</f>
        <v>0</v>
      </c>
      <c r="AA12" s="119">
        <f>(Y12*Y$5)</f>
        <v>0</v>
      </c>
      <c r="AB12" s="119">
        <f>D12+J12+N12+Q12+U12</f>
        <v>65</v>
      </c>
      <c r="AC12" s="119">
        <f t="shared" si="2"/>
        <v>72</v>
      </c>
      <c r="AD12" s="119">
        <f t="shared" ref="AD12:AE14" si="7">F12</f>
        <v>15</v>
      </c>
      <c r="AE12" s="119">
        <f t="shared" si="7"/>
        <v>0</v>
      </c>
      <c r="AF12" s="119">
        <f>AB12+AC12+AD12+AE12</f>
        <v>152</v>
      </c>
      <c r="AG12" s="119">
        <f>ROUND(I12+M12+P12+T12+X12+AA12,-2)</f>
        <v>10529800</v>
      </c>
      <c r="AH12" s="193"/>
      <c r="AI12" s="193"/>
      <c r="AJ12" s="119"/>
      <c r="AK12" s="119"/>
      <c r="AL12" s="119"/>
      <c r="AM12" s="218"/>
      <c r="AN12" s="193">
        <f t="shared" si="5"/>
        <v>0</v>
      </c>
      <c r="AO12" s="193"/>
      <c r="AP12" s="193"/>
      <c r="AQ12" s="194">
        <f t="shared" si="4"/>
        <v>0</v>
      </c>
      <c r="AR12" s="194">
        <f t="shared" si="4"/>
        <v>0</v>
      </c>
      <c r="AS12" s="194">
        <f t="shared" si="4"/>
        <v>0</v>
      </c>
      <c r="AT12" s="193"/>
      <c r="AU12" s="193"/>
    </row>
    <row r="13" spans="1:47" s="109" customFormat="1" ht="38.25" outlineLevel="2" x14ac:dyDescent="0.2">
      <c r="A13" s="93">
        <v>6</v>
      </c>
      <c r="B13" s="96" t="s">
        <v>127</v>
      </c>
      <c r="C13" s="96" t="s">
        <v>20</v>
      </c>
      <c r="D13" s="119">
        <v>51</v>
      </c>
      <c r="E13" s="119">
        <v>68</v>
      </c>
      <c r="F13" s="119">
        <v>16</v>
      </c>
      <c r="G13" s="185"/>
      <c r="H13" s="186">
        <f>SUM(D13:G13)</f>
        <v>135</v>
      </c>
      <c r="I13" s="119">
        <f>(D13*D$5+E13*E$5+F13*F$5+G13*G$5)</f>
        <v>9507257</v>
      </c>
      <c r="J13" s="119"/>
      <c r="K13" s="119"/>
      <c r="L13" s="186">
        <f>SUM(J13:K13)</f>
        <v>0</v>
      </c>
      <c r="M13" s="119">
        <f>(J13*J$5+K13*K$5)</f>
        <v>0</v>
      </c>
      <c r="N13" s="119"/>
      <c r="O13" s="186">
        <f>SUM(N13:N13)</f>
        <v>0</v>
      </c>
      <c r="P13" s="119">
        <f>(N13*N$5)</f>
        <v>0</v>
      </c>
      <c r="Q13" s="119"/>
      <c r="R13" s="119"/>
      <c r="S13" s="186">
        <f t="shared" si="0"/>
        <v>0</v>
      </c>
      <c r="T13" s="119">
        <f t="shared" si="1"/>
        <v>0</v>
      </c>
      <c r="U13" s="119"/>
      <c r="V13" s="119"/>
      <c r="W13" s="186">
        <f>SUM(U13:V13)</f>
        <v>0</v>
      </c>
      <c r="X13" s="119">
        <f>(U13*U$5+V13*V$5)</f>
        <v>0</v>
      </c>
      <c r="Y13" s="119"/>
      <c r="Z13" s="186">
        <f>SUM(Y13:Y13)</f>
        <v>0</v>
      </c>
      <c r="AA13" s="119">
        <f>(Y13*Y$5)</f>
        <v>0</v>
      </c>
      <c r="AB13" s="119">
        <f>D13+J13+N13+Q13+U13</f>
        <v>51</v>
      </c>
      <c r="AC13" s="119">
        <f t="shared" si="2"/>
        <v>68</v>
      </c>
      <c r="AD13" s="119">
        <f t="shared" si="7"/>
        <v>16</v>
      </c>
      <c r="AE13" s="119">
        <f t="shared" si="7"/>
        <v>0</v>
      </c>
      <c r="AF13" s="119">
        <f>AB13+AC13+AD13+AE13</f>
        <v>135</v>
      </c>
      <c r="AG13" s="119">
        <f>ROUND(I13+M13+P13+T13+X13+AA13,-2)</f>
        <v>9507300</v>
      </c>
      <c r="AH13" s="193"/>
      <c r="AI13" s="193"/>
      <c r="AJ13" s="119"/>
      <c r="AK13" s="119"/>
      <c r="AL13" s="119"/>
      <c r="AM13" s="218"/>
      <c r="AN13" s="193">
        <f t="shared" si="5"/>
        <v>0</v>
      </c>
      <c r="AO13" s="193"/>
      <c r="AP13" s="193"/>
      <c r="AQ13" s="194">
        <f t="shared" si="4"/>
        <v>0</v>
      </c>
      <c r="AR13" s="194">
        <f t="shared" si="4"/>
        <v>0</v>
      </c>
      <c r="AS13" s="194">
        <f t="shared" si="4"/>
        <v>0</v>
      </c>
      <c r="AT13" s="193"/>
      <c r="AU13" s="193"/>
    </row>
    <row r="14" spans="1:47" s="109" customFormat="1" ht="38.25" outlineLevel="2" x14ac:dyDescent="0.2">
      <c r="A14" s="93">
        <v>7</v>
      </c>
      <c r="B14" s="96" t="s">
        <v>127</v>
      </c>
      <c r="C14" s="96" t="s">
        <v>26</v>
      </c>
      <c r="D14" s="119">
        <v>99</v>
      </c>
      <c r="E14" s="119">
        <v>108</v>
      </c>
      <c r="F14" s="119">
        <v>17</v>
      </c>
      <c r="G14" s="185"/>
      <c r="H14" s="186">
        <f>SUM(D14:G14)</f>
        <v>224</v>
      </c>
      <c r="I14" s="119">
        <f>(D14*D$5+E14*E$5+F14*F$5+G14*G$5)</f>
        <v>15426204</v>
      </c>
      <c r="J14" s="119"/>
      <c r="K14" s="119"/>
      <c r="L14" s="186">
        <f>SUM(J14:K14)</f>
        <v>0</v>
      </c>
      <c r="M14" s="119">
        <f>(J14*J$5+K14*K$5)</f>
        <v>0</v>
      </c>
      <c r="N14" s="119"/>
      <c r="O14" s="186">
        <f>SUM(N14:N14)</f>
        <v>0</v>
      </c>
      <c r="P14" s="119">
        <f>(N14*N$5)</f>
        <v>0</v>
      </c>
      <c r="Q14" s="119"/>
      <c r="R14" s="119"/>
      <c r="S14" s="186">
        <f t="shared" si="0"/>
        <v>0</v>
      </c>
      <c r="T14" s="119">
        <f t="shared" si="1"/>
        <v>0</v>
      </c>
      <c r="U14" s="119">
        <v>3</v>
      </c>
      <c r="V14" s="119">
        <v>9</v>
      </c>
      <c r="W14" s="186">
        <f>SUM(U14:V14)</f>
        <v>12</v>
      </c>
      <c r="X14" s="119">
        <f>(U14*U$5+V14*V$5)</f>
        <v>3148584</v>
      </c>
      <c r="Y14" s="119">
        <v>1</v>
      </c>
      <c r="Z14" s="186">
        <f>SUM(Y14:Y14)</f>
        <v>1</v>
      </c>
      <c r="AA14" s="119">
        <f>(Y14*Y$5)</f>
        <v>425276</v>
      </c>
      <c r="AB14" s="119">
        <f>D14+J14+N14+Q14+U14</f>
        <v>102</v>
      </c>
      <c r="AC14" s="119">
        <f t="shared" si="2"/>
        <v>118</v>
      </c>
      <c r="AD14" s="119">
        <f t="shared" si="7"/>
        <v>17</v>
      </c>
      <c r="AE14" s="119">
        <f t="shared" si="7"/>
        <v>0</v>
      </c>
      <c r="AF14" s="119">
        <f>AB14+AC14+AD14+AE14</f>
        <v>237</v>
      </c>
      <c r="AG14" s="119">
        <f>ROUND(I14+M14+P14+T14+X14+AA14,-2)</f>
        <v>19000100</v>
      </c>
      <c r="AH14" s="193"/>
      <c r="AI14" s="193"/>
      <c r="AJ14" s="119"/>
      <c r="AK14" s="119"/>
      <c r="AL14" s="119"/>
      <c r="AM14" s="218"/>
      <c r="AN14" s="193">
        <f t="shared" si="5"/>
        <v>0</v>
      </c>
      <c r="AO14" s="193"/>
      <c r="AP14" s="193"/>
      <c r="AQ14" s="194">
        <f t="shared" si="4"/>
        <v>0</v>
      </c>
      <c r="AR14" s="194">
        <f t="shared" si="4"/>
        <v>0</v>
      </c>
      <c r="AS14" s="194">
        <f t="shared" si="4"/>
        <v>0</v>
      </c>
      <c r="AT14" s="193"/>
      <c r="AU14" s="193"/>
    </row>
    <row r="15" spans="1:47" s="180" customFormat="1" outlineLevel="1" x14ac:dyDescent="0.2">
      <c r="A15" s="170"/>
      <c r="B15" s="181" t="s">
        <v>133</v>
      </c>
      <c r="C15" s="182"/>
      <c r="D15" s="173">
        <f t="shared" ref="D15:AG15" si="8">SUBTOTAL(9,D12:D14)</f>
        <v>215</v>
      </c>
      <c r="E15" s="173">
        <f t="shared" si="8"/>
        <v>248</v>
      </c>
      <c r="F15" s="173">
        <f t="shared" si="8"/>
        <v>48</v>
      </c>
      <c r="G15" s="173">
        <f t="shared" si="8"/>
        <v>0</v>
      </c>
      <c r="H15" s="173">
        <f t="shared" si="8"/>
        <v>511</v>
      </c>
      <c r="I15" s="173">
        <f t="shared" si="8"/>
        <v>35463225</v>
      </c>
      <c r="J15" s="173">
        <f t="shared" si="8"/>
        <v>0</v>
      </c>
      <c r="K15" s="173">
        <f t="shared" si="8"/>
        <v>0</v>
      </c>
      <c r="L15" s="173">
        <f t="shared" si="8"/>
        <v>0</v>
      </c>
      <c r="M15" s="173">
        <f t="shared" si="8"/>
        <v>0</v>
      </c>
      <c r="N15" s="173">
        <f t="shared" si="8"/>
        <v>0</v>
      </c>
      <c r="O15" s="173">
        <f t="shared" si="8"/>
        <v>0</v>
      </c>
      <c r="P15" s="173">
        <f t="shared" si="8"/>
        <v>0</v>
      </c>
      <c r="Q15" s="173">
        <f t="shared" si="8"/>
        <v>0</v>
      </c>
      <c r="R15" s="173">
        <f t="shared" si="8"/>
        <v>0</v>
      </c>
      <c r="S15" s="173">
        <f t="shared" si="8"/>
        <v>0</v>
      </c>
      <c r="T15" s="173">
        <f t="shared" si="8"/>
        <v>0</v>
      </c>
      <c r="U15" s="173">
        <f t="shared" si="8"/>
        <v>3</v>
      </c>
      <c r="V15" s="173">
        <f t="shared" si="8"/>
        <v>9</v>
      </c>
      <c r="W15" s="173">
        <f t="shared" si="8"/>
        <v>12</v>
      </c>
      <c r="X15" s="173">
        <f t="shared" si="8"/>
        <v>3148584</v>
      </c>
      <c r="Y15" s="173">
        <f t="shared" si="8"/>
        <v>1</v>
      </c>
      <c r="Z15" s="173">
        <f t="shared" si="8"/>
        <v>1</v>
      </c>
      <c r="AA15" s="173">
        <f t="shared" si="8"/>
        <v>425276</v>
      </c>
      <c r="AB15" s="173">
        <f t="shared" si="8"/>
        <v>218</v>
      </c>
      <c r="AC15" s="173">
        <f t="shared" si="8"/>
        <v>258</v>
      </c>
      <c r="AD15" s="173">
        <f t="shared" si="8"/>
        <v>48</v>
      </c>
      <c r="AE15" s="173">
        <f t="shared" si="8"/>
        <v>0</v>
      </c>
      <c r="AF15" s="173">
        <f t="shared" si="8"/>
        <v>524</v>
      </c>
      <c r="AG15" s="173">
        <f t="shared" si="8"/>
        <v>39037200</v>
      </c>
      <c r="AH15" s="174">
        <f>ROUND(AF15/5000,2)</f>
        <v>0.1</v>
      </c>
      <c r="AI15" s="175">
        <f>ROUND(AH15*$Z$26*$Z$27*$Z$28*1.2,-2)</f>
        <v>140500</v>
      </c>
      <c r="AJ15" s="176">
        <f>ROUND(AG15*$AJ$5,-2)</f>
        <v>39037200</v>
      </c>
      <c r="AK15" s="176">
        <f>AI15</f>
        <v>140500</v>
      </c>
      <c r="AL15" s="176">
        <f>AJ15+AK15</f>
        <v>39177700</v>
      </c>
      <c r="AM15" s="219">
        <v>28468100</v>
      </c>
      <c r="AN15" s="175">
        <f t="shared" si="5"/>
        <v>27965100</v>
      </c>
      <c r="AO15" s="175">
        <v>121600</v>
      </c>
      <c r="AP15" s="175">
        <v>28086700</v>
      </c>
      <c r="AQ15" s="177">
        <f t="shared" si="4"/>
        <v>11072100</v>
      </c>
      <c r="AR15" s="177">
        <f t="shared" si="4"/>
        <v>18900</v>
      </c>
      <c r="AS15" s="177">
        <f t="shared" si="4"/>
        <v>11091000</v>
      </c>
      <c r="AT15" s="178">
        <f>AP15/AL15</f>
        <v>0.71690528029976242</v>
      </c>
      <c r="AU15" s="179">
        <f>12*AT15</f>
        <v>8.6028633635971481</v>
      </c>
    </row>
    <row r="16" spans="1:47" s="109" customFormat="1" ht="25.5" outlineLevel="2" x14ac:dyDescent="0.2">
      <c r="A16" s="93">
        <v>8</v>
      </c>
      <c r="B16" s="96" t="s">
        <v>181</v>
      </c>
      <c r="C16" s="96" t="s">
        <v>23</v>
      </c>
      <c r="D16" s="186">
        <v>44</v>
      </c>
      <c r="E16" s="186">
        <v>68</v>
      </c>
      <c r="F16" s="186">
        <v>21</v>
      </c>
      <c r="G16" s="184"/>
      <c r="H16" s="186">
        <f>SUM(D16:G16)</f>
        <v>133</v>
      </c>
      <c r="I16" s="203">
        <f>(D16*D$5+E16*E$5+F16*F$5+G16*G$5)</f>
        <v>9522831</v>
      </c>
      <c r="J16" s="203"/>
      <c r="K16" s="203"/>
      <c r="L16" s="186">
        <f>SUM(J16:K16)</f>
        <v>0</v>
      </c>
      <c r="M16" s="203">
        <f>(J16*J$5+K16*K$5)</f>
        <v>0</v>
      </c>
      <c r="N16" s="203"/>
      <c r="O16" s="186">
        <f>SUM(N16:N16)</f>
        <v>0</v>
      </c>
      <c r="P16" s="203">
        <f>(N16*N$5)</f>
        <v>0</v>
      </c>
      <c r="Q16" s="203"/>
      <c r="R16" s="203"/>
      <c r="S16" s="186">
        <f t="shared" si="0"/>
        <v>0</v>
      </c>
      <c r="T16" s="203">
        <f t="shared" si="1"/>
        <v>0</v>
      </c>
      <c r="U16" s="203"/>
      <c r="V16" s="203"/>
      <c r="W16" s="186">
        <f>SUM(U16:V16)</f>
        <v>0</v>
      </c>
      <c r="X16" s="203">
        <f>(U16*U$5+V16*V$5)</f>
        <v>0</v>
      </c>
      <c r="Y16" s="203"/>
      <c r="Z16" s="186">
        <f>SUM(Y16:Y16)</f>
        <v>0</v>
      </c>
      <c r="AA16" s="203">
        <f>(Y16*Y$5)</f>
        <v>0</v>
      </c>
      <c r="AB16" s="203">
        <f>D16+J16+N16+Q16+U16</f>
        <v>44</v>
      </c>
      <c r="AC16" s="203">
        <f t="shared" si="2"/>
        <v>68</v>
      </c>
      <c r="AD16" s="203">
        <f>F16</f>
        <v>21</v>
      </c>
      <c r="AE16" s="203">
        <f>G16</f>
        <v>0</v>
      </c>
      <c r="AF16" s="203">
        <f>AB16+AC16+AD16+AE16</f>
        <v>133</v>
      </c>
      <c r="AG16" s="203">
        <f>ROUND(I16+M16+P16+T16+X16+AA16,-2)</f>
        <v>9522800</v>
      </c>
      <c r="AH16" s="200"/>
      <c r="AI16" s="200"/>
      <c r="AJ16" s="203"/>
      <c r="AK16" s="203"/>
      <c r="AL16" s="203"/>
      <c r="AM16" s="218"/>
      <c r="AN16" s="200">
        <f t="shared" si="5"/>
        <v>0</v>
      </c>
      <c r="AO16" s="200"/>
      <c r="AP16" s="200"/>
      <c r="AQ16" s="202">
        <f t="shared" si="4"/>
        <v>0</v>
      </c>
      <c r="AR16" s="202">
        <f t="shared" si="4"/>
        <v>0</v>
      </c>
      <c r="AS16" s="202">
        <f t="shared" si="4"/>
        <v>0</v>
      </c>
      <c r="AT16" s="200"/>
      <c r="AU16" s="200"/>
    </row>
    <row r="17" spans="1:47" s="180" customFormat="1" ht="25.5" outlineLevel="1" x14ac:dyDescent="0.2">
      <c r="A17" s="170"/>
      <c r="B17" s="181" t="s">
        <v>182</v>
      </c>
      <c r="C17" s="182"/>
      <c r="D17" s="183">
        <f t="shared" ref="D17:AG17" si="9">SUBTOTAL(9,D16:D16)</f>
        <v>44</v>
      </c>
      <c r="E17" s="183">
        <f t="shared" si="9"/>
        <v>68</v>
      </c>
      <c r="F17" s="183">
        <f t="shared" si="9"/>
        <v>21</v>
      </c>
      <c r="G17" s="183">
        <f t="shared" si="9"/>
        <v>0</v>
      </c>
      <c r="H17" s="183">
        <f t="shared" si="9"/>
        <v>133</v>
      </c>
      <c r="I17" s="183">
        <f t="shared" si="9"/>
        <v>9522831</v>
      </c>
      <c r="J17" s="183">
        <f t="shared" si="9"/>
        <v>0</v>
      </c>
      <c r="K17" s="183">
        <f t="shared" si="9"/>
        <v>0</v>
      </c>
      <c r="L17" s="183">
        <f t="shared" si="9"/>
        <v>0</v>
      </c>
      <c r="M17" s="183">
        <f t="shared" si="9"/>
        <v>0</v>
      </c>
      <c r="N17" s="183">
        <f t="shared" si="9"/>
        <v>0</v>
      </c>
      <c r="O17" s="183">
        <f t="shared" si="9"/>
        <v>0</v>
      </c>
      <c r="P17" s="183">
        <f t="shared" si="9"/>
        <v>0</v>
      </c>
      <c r="Q17" s="183">
        <f t="shared" si="9"/>
        <v>0</v>
      </c>
      <c r="R17" s="183">
        <f t="shared" si="9"/>
        <v>0</v>
      </c>
      <c r="S17" s="183">
        <f t="shared" si="9"/>
        <v>0</v>
      </c>
      <c r="T17" s="183">
        <f t="shared" si="9"/>
        <v>0</v>
      </c>
      <c r="U17" s="183">
        <f t="shared" si="9"/>
        <v>0</v>
      </c>
      <c r="V17" s="183">
        <f t="shared" si="9"/>
        <v>0</v>
      </c>
      <c r="W17" s="183">
        <f t="shared" si="9"/>
        <v>0</v>
      </c>
      <c r="X17" s="183">
        <f t="shared" si="9"/>
        <v>0</v>
      </c>
      <c r="Y17" s="183">
        <f t="shared" si="9"/>
        <v>0</v>
      </c>
      <c r="Z17" s="183">
        <f t="shared" si="9"/>
        <v>0</v>
      </c>
      <c r="AA17" s="183">
        <f t="shared" si="9"/>
        <v>0</v>
      </c>
      <c r="AB17" s="183">
        <f t="shared" si="9"/>
        <v>44</v>
      </c>
      <c r="AC17" s="183">
        <f t="shared" si="9"/>
        <v>68</v>
      </c>
      <c r="AD17" s="183">
        <f t="shared" si="9"/>
        <v>21</v>
      </c>
      <c r="AE17" s="183">
        <f t="shared" si="9"/>
        <v>0</v>
      </c>
      <c r="AF17" s="183">
        <f t="shared" si="9"/>
        <v>133</v>
      </c>
      <c r="AG17" s="183">
        <f t="shared" si="9"/>
        <v>9522800</v>
      </c>
      <c r="AH17" s="174">
        <f>ROUND(AF17/5000,2)</f>
        <v>0.03</v>
      </c>
      <c r="AI17" s="175">
        <f>ROUND(AH17*$Z$26*$Z$27*$Z$28*1.2,-2)</f>
        <v>42100</v>
      </c>
      <c r="AJ17" s="176">
        <f>ROUND(AG17*$AJ$5,-2)</f>
        <v>9522800</v>
      </c>
      <c r="AK17" s="176">
        <f>AI17</f>
        <v>42100</v>
      </c>
      <c r="AL17" s="176">
        <f>AJ17+AK17</f>
        <v>9564900</v>
      </c>
      <c r="AM17" s="219">
        <v>6951200</v>
      </c>
      <c r="AN17" s="175">
        <f t="shared" si="5"/>
        <v>7566400</v>
      </c>
      <c r="AO17" s="175">
        <v>27000</v>
      </c>
      <c r="AP17" s="175">
        <v>7593400</v>
      </c>
      <c r="AQ17" s="177">
        <f t="shared" si="4"/>
        <v>1956400</v>
      </c>
      <c r="AR17" s="177">
        <f t="shared" si="4"/>
        <v>15100</v>
      </c>
      <c r="AS17" s="177">
        <f t="shared" si="4"/>
        <v>1971500</v>
      </c>
      <c r="AT17" s="178">
        <f>AP17/AL17</f>
        <v>0.79388179698689998</v>
      </c>
      <c r="AU17" s="179">
        <f>12*AT17</f>
        <v>9.5265815638428002</v>
      </c>
    </row>
    <row r="18" spans="1:47" s="109" customFormat="1" outlineLevel="2" x14ac:dyDescent="0.2">
      <c r="A18" s="93">
        <v>9</v>
      </c>
      <c r="B18" s="96" t="s">
        <v>183</v>
      </c>
      <c r="C18" s="106" t="s">
        <v>17</v>
      </c>
      <c r="D18" s="201">
        <v>29</v>
      </c>
      <c r="E18" s="201">
        <v>41</v>
      </c>
      <c r="F18" s="201"/>
      <c r="G18" s="185"/>
      <c r="H18" s="186">
        <f>SUM(D18:G18)</f>
        <v>70</v>
      </c>
      <c r="I18" s="203">
        <f>(D18*D$5+E18*E$5+F18*F$5+G18*G$5)</f>
        <v>4837824</v>
      </c>
      <c r="J18" s="203">
        <v>1</v>
      </c>
      <c r="K18" s="203"/>
      <c r="L18" s="186">
        <f>SUM(J18:K18)</f>
        <v>1</v>
      </c>
      <c r="M18" s="203">
        <f>(J18*J$5+K18*K$5)</f>
        <v>118158</v>
      </c>
      <c r="N18" s="203">
        <v>1</v>
      </c>
      <c r="O18" s="186">
        <f>SUM(N18:N18)</f>
        <v>1</v>
      </c>
      <c r="P18" s="203">
        <f>(N18*N$5)</f>
        <v>148905</v>
      </c>
      <c r="Q18" s="203">
        <v>1</v>
      </c>
      <c r="R18" s="203">
        <v>1</v>
      </c>
      <c r="S18" s="186">
        <f t="shared" si="0"/>
        <v>2</v>
      </c>
      <c r="T18" s="203">
        <f>(Q18*Q$5+$R$5*R18)</f>
        <v>736826</v>
      </c>
      <c r="U18" s="203"/>
      <c r="V18" s="203"/>
      <c r="W18" s="186">
        <f>SUM(U18:V18)</f>
        <v>0</v>
      </c>
      <c r="X18" s="203">
        <f>(U18*U$5+V18*V$5)</f>
        <v>0</v>
      </c>
      <c r="Y18" s="203"/>
      <c r="Z18" s="186">
        <f>SUM(Y18:Y18)</f>
        <v>0</v>
      </c>
      <c r="AA18" s="203">
        <f>(Y18*Y$5)</f>
        <v>0</v>
      </c>
      <c r="AB18" s="203">
        <f>D18+J18+N18+Q18+U18</f>
        <v>32</v>
      </c>
      <c r="AC18" s="203">
        <f t="shared" si="2"/>
        <v>42</v>
      </c>
      <c r="AD18" s="203">
        <f>F18</f>
        <v>0</v>
      </c>
      <c r="AE18" s="203">
        <f>G18</f>
        <v>0</v>
      </c>
      <c r="AF18" s="203">
        <f>AB18+AC18+AD18+AE18</f>
        <v>74</v>
      </c>
      <c r="AG18" s="203">
        <f>ROUND(I18+M18+P18+T18+X18+AA18,-2)</f>
        <v>5841700</v>
      </c>
      <c r="AH18" s="200"/>
      <c r="AI18" s="200"/>
      <c r="AJ18" s="203"/>
      <c r="AK18" s="203"/>
      <c r="AL18" s="203"/>
      <c r="AM18" s="218"/>
      <c r="AN18" s="200">
        <f t="shared" si="5"/>
        <v>0</v>
      </c>
      <c r="AO18" s="200"/>
      <c r="AP18" s="200"/>
      <c r="AQ18" s="202">
        <f t="shared" si="4"/>
        <v>0</v>
      </c>
      <c r="AR18" s="202">
        <f t="shared" si="4"/>
        <v>0</v>
      </c>
      <c r="AS18" s="202">
        <f t="shared" si="4"/>
        <v>0</v>
      </c>
      <c r="AT18" s="200"/>
      <c r="AU18" s="200"/>
    </row>
    <row r="19" spans="1:47" s="180" customFormat="1" outlineLevel="1" x14ac:dyDescent="0.2">
      <c r="A19" s="170"/>
      <c r="B19" s="181" t="s">
        <v>184</v>
      </c>
      <c r="C19" s="172"/>
      <c r="D19" s="173">
        <f t="shared" ref="D19:AG19" si="10">SUBTOTAL(9,D18:D18)</f>
        <v>29</v>
      </c>
      <c r="E19" s="173">
        <f t="shared" si="10"/>
        <v>41</v>
      </c>
      <c r="F19" s="173">
        <f t="shared" si="10"/>
        <v>0</v>
      </c>
      <c r="G19" s="173">
        <f t="shared" si="10"/>
        <v>0</v>
      </c>
      <c r="H19" s="173">
        <f t="shared" si="10"/>
        <v>70</v>
      </c>
      <c r="I19" s="173">
        <f t="shared" si="10"/>
        <v>4837824</v>
      </c>
      <c r="J19" s="173">
        <f t="shared" si="10"/>
        <v>1</v>
      </c>
      <c r="K19" s="173">
        <f t="shared" si="10"/>
        <v>0</v>
      </c>
      <c r="L19" s="173">
        <f t="shared" si="10"/>
        <v>1</v>
      </c>
      <c r="M19" s="173">
        <f t="shared" si="10"/>
        <v>118158</v>
      </c>
      <c r="N19" s="173">
        <f t="shared" si="10"/>
        <v>1</v>
      </c>
      <c r="O19" s="173">
        <f t="shared" si="10"/>
        <v>1</v>
      </c>
      <c r="P19" s="173">
        <f t="shared" si="10"/>
        <v>148905</v>
      </c>
      <c r="Q19" s="173">
        <f t="shared" si="10"/>
        <v>1</v>
      </c>
      <c r="R19" s="173">
        <f t="shared" si="10"/>
        <v>1</v>
      </c>
      <c r="S19" s="173">
        <f t="shared" si="10"/>
        <v>2</v>
      </c>
      <c r="T19" s="173">
        <f t="shared" si="10"/>
        <v>736826</v>
      </c>
      <c r="U19" s="173">
        <f t="shared" si="10"/>
        <v>0</v>
      </c>
      <c r="V19" s="173">
        <f t="shared" si="10"/>
        <v>0</v>
      </c>
      <c r="W19" s="173">
        <f t="shared" si="10"/>
        <v>0</v>
      </c>
      <c r="X19" s="173">
        <f t="shared" si="10"/>
        <v>0</v>
      </c>
      <c r="Y19" s="173">
        <f t="shared" si="10"/>
        <v>0</v>
      </c>
      <c r="Z19" s="173">
        <f t="shared" si="10"/>
        <v>0</v>
      </c>
      <c r="AA19" s="173">
        <f t="shared" si="10"/>
        <v>0</v>
      </c>
      <c r="AB19" s="173">
        <f t="shared" si="10"/>
        <v>32</v>
      </c>
      <c r="AC19" s="173">
        <f t="shared" si="10"/>
        <v>42</v>
      </c>
      <c r="AD19" s="173">
        <f t="shared" si="10"/>
        <v>0</v>
      </c>
      <c r="AE19" s="173">
        <f t="shared" si="10"/>
        <v>0</v>
      </c>
      <c r="AF19" s="173">
        <f t="shared" si="10"/>
        <v>74</v>
      </c>
      <c r="AG19" s="173">
        <f t="shared" si="10"/>
        <v>5841700</v>
      </c>
      <c r="AH19" s="174">
        <f>ROUND(AF19/5000,2)</f>
        <v>0.01</v>
      </c>
      <c r="AI19" s="175">
        <f>ROUND(AH19*$Z$26*$Z$27*$Z$28*1.2,-2)</f>
        <v>14000</v>
      </c>
      <c r="AJ19" s="176">
        <f>ROUND(AG19*$AJ$5,-2)</f>
        <v>5841700</v>
      </c>
      <c r="AK19" s="176">
        <f>AI19</f>
        <v>14000</v>
      </c>
      <c r="AL19" s="176">
        <f>AJ19+AK19</f>
        <v>5855700</v>
      </c>
      <c r="AM19" s="219">
        <v>4254100</v>
      </c>
      <c r="AN19" s="175">
        <f t="shared" si="5"/>
        <v>4608400</v>
      </c>
      <c r="AO19" s="175">
        <v>13500</v>
      </c>
      <c r="AP19" s="175">
        <v>4621900</v>
      </c>
      <c r="AQ19" s="177">
        <f t="shared" si="4"/>
        <v>1233300</v>
      </c>
      <c r="AR19" s="177">
        <f t="shared" si="4"/>
        <v>500</v>
      </c>
      <c r="AS19" s="177">
        <f t="shared" si="4"/>
        <v>1233800</v>
      </c>
      <c r="AT19" s="178">
        <f>AP19/AL19</f>
        <v>0.78929931519715835</v>
      </c>
      <c r="AU19" s="179">
        <f>12*AT19</f>
        <v>9.4715917823659002</v>
      </c>
    </row>
    <row r="20" spans="1:47" s="109" customFormat="1" ht="51" outlineLevel="2" x14ac:dyDescent="0.2">
      <c r="A20" s="93">
        <v>10</v>
      </c>
      <c r="B20" s="96" t="s">
        <v>185</v>
      </c>
      <c r="C20" s="106" t="s">
        <v>22</v>
      </c>
      <c r="D20" s="207">
        <v>9</v>
      </c>
      <c r="E20" s="207">
        <v>33</v>
      </c>
      <c r="F20" s="207">
        <v>0</v>
      </c>
      <c r="G20" s="185"/>
      <c r="H20" s="204">
        <f>SUM(D20:G20)</f>
        <v>42</v>
      </c>
      <c r="I20" s="205">
        <f>(D20*D$5+E20*E$5+F20*F$5+G20*G$5)</f>
        <v>3081228</v>
      </c>
      <c r="J20" s="205"/>
      <c r="K20" s="205"/>
      <c r="L20" s="204">
        <f>SUM(J20:K20)</f>
        <v>0</v>
      </c>
      <c r="M20" s="205">
        <f>(J20*J$5+K20*K$5)</f>
        <v>0</v>
      </c>
      <c r="N20" s="205"/>
      <c r="O20" s="204">
        <f>SUM(N20:N20)</f>
        <v>0</v>
      </c>
      <c r="P20" s="205">
        <f>(N20*N$5)</f>
        <v>0</v>
      </c>
      <c r="Q20" s="205"/>
      <c r="R20" s="205"/>
      <c r="S20" s="204">
        <f t="shared" si="0"/>
        <v>0</v>
      </c>
      <c r="T20" s="205">
        <f t="shared" si="1"/>
        <v>0</v>
      </c>
      <c r="U20" s="205"/>
      <c r="V20" s="205"/>
      <c r="W20" s="204">
        <f>SUM(U20:V20)</f>
        <v>0</v>
      </c>
      <c r="X20" s="205">
        <f>(U20*U$5+V20*V$5)</f>
        <v>0</v>
      </c>
      <c r="Y20" s="205"/>
      <c r="Z20" s="204">
        <f>SUM(Y20:Y20)</f>
        <v>0</v>
      </c>
      <c r="AA20" s="205">
        <f>(Y20*Y$5)</f>
        <v>0</v>
      </c>
      <c r="AB20" s="205">
        <f>D20+J20+N20+Q20+U20</f>
        <v>9</v>
      </c>
      <c r="AC20" s="205">
        <f t="shared" si="2"/>
        <v>33</v>
      </c>
      <c r="AD20" s="205">
        <f>F20</f>
        <v>0</v>
      </c>
      <c r="AE20" s="205">
        <f>G20</f>
        <v>0</v>
      </c>
      <c r="AF20" s="205">
        <f>AB20+AC20+AD20+AE20</f>
        <v>42</v>
      </c>
      <c r="AG20" s="205">
        <f>ROUND(I20+M20+P20+T20+X20+AA20,-2)</f>
        <v>3081200</v>
      </c>
      <c r="AH20" s="200"/>
      <c r="AI20" s="200"/>
      <c r="AJ20" s="205"/>
      <c r="AK20" s="205"/>
      <c r="AL20" s="205"/>
      <c r="AM20" s="218"/>
      <c r="AN20" s="200">
        <f t="shared" si="5"/>
        <v>0</v>
      </c>
      <c r="AO20" s="200"/>
      <c r="AP20" s="200"/>
      <c r="AQ20" s="202">
        <f t="shared" si="4"/>
        <v>0</v>
      </c>
      <c r="AR20" s="202">
        <f t="shared" si="4"/>
        <v>0</v>
      </c>
      <c r="AS20" s="202">
        <f t="shared" si="4"/>
        <v>0</v>
      </c>
      <c r="AT20" s="200"/>
      <c r="AU20" s="200"/>
    </row>
    <row r="21" spans="1:47" s="180" customFormat="1" ht="25.5" outlineLevel="1" x14ac:dyDescent="0.2">
      <c r="A21" s="170"/>
      <c r="B21" s="181" t="s">
        <v>186</v>
      </c>
      <c r="C21" s="172"/>
      <c r="D21" s="173">
        <f t="shared" ref="D21:AG21" si="11">SUBTOTAL(9,D20:D20)</f>
        <v>9</v>
      </c>
      <c r="E21" s="173">
        <f t="shared" si="11"/>
        <v>33</v>
      </c>
      <c r="F21" s="173">
        <f t="shared" si="11"/>
        <v>0</v>
      </c>
      <c r="G21" s="173">
        <f t="shared" si="11"/>
        <v>0</v>
      </c>
      <c r="H21" s="173">
        <f t="shared" si="11"/>
        <v>42</v>
      </c>
      <c r="I21" s="173">
        <f t="shared" si="11"/>
        <v>3081228</v>
      </c>
      <c r="J21" s="173">
        <f t="shared" si="11"/>
        <v>0</v>
      </c>
      <c r="K21" s="173">
        <f t="shared" si="11"/>
        <v>0</v>
      </c>
      <c r="L21" s="173">
        <f t="shared" si="11"/>
        <v>0</v>
      </c>
      <c r="M21" s="173">
        <f t="shared" si="11"/>
        <v>0</v>
      </c>
      <c r="N21" s="173">
        <f t="shared" si="11"/>
        <v>0</v>
      </c>
      <c r="O21" s="173">
        <f t="shared" si="11"/>
        <v>0</v>
      </c>
      <c r="P21" s="173">
        <f t="shared" si="11"/>
        <v>0</v>
      </c>
      <c r="Q21" s="173">
        <f t="shared" si="11"/>
        <v>0</v>
      </c>
      <c r="R21" s="173">
        <f t="shared" si="11"/>
        <v>0</v>
      </c>
      <c r="S21" s="173">
        <f t="shared" si="11"/>
        <v>0</v>
      </c>
      <c r="T21" s="173">
        <f t="shared" si="11"/>
        <v>0</v>
      </c>
      <c r="U21" s="173">
        <f t="shared" si="11"/>
        <v>0</v>
      </c>
      <c r="V21" s="173">
        <f t="shared" si="11"/>
        <v>0</v>
      </c>
      <c r="W21" s="173">
        <f t="shared" si="11"/>
        <v>0</v>
      </c>
      <c r="X21" s="173">
        <f t="shared" si="11"/>
        <v>0</v>
      </c>
      <c r="Y21" s="173">
        <f t="shared" si="11"/>
        <v>0</v>
      </c>
      <c r="Z21" s="173">
        <f t="shared" si="11"/>
        <v>0</v>
      </c>
      <c r="AA21" s="173">
        <f t="shared" si="11"/>
        <v>0</v>
      </c>
      <c r="AB21" s="173">
        <f t="shared" si="11"/>
        <v>9</v>
      </c>
      <c r="AC21" s="173">
        <f t="shared" si="11"/>
        <v>33</v>
      </c>
      <c r="AD21" s="173">
        <f t="shared" si="11"/>
        <v>0</v>
      </c>
      <c r="AE21" s="173">
        <f t="shared" si="11"/>
        <v>0</v>
      </c>
      <c r="AF21" s="173">
        <f t="shared" si="11"/>
        <v>42</v>
      </c>
      <c r="AG21" s="173">
        <f t="shared" si="11"/>
        <v>3081200</v>
      </c>
      <c r="AH21" s="174">
        <f>ROUND(AF21/5000,2)</f>
        <v>0.01</v>
      </c>
      <c r="AI21" s="175">
        <f>ROUND(AH21*$Z$26*$Z$27*$Z$28*1.2,-2)</f>
        <v>14000</v>
      </c>
      <c r="AJ21" s="176">
        <f>ROUND(AG21*$AJ$5,-2)</f>
        <v>3081200</v>
      </c>
      <c r="AK21" s="176">
        <f>AI21</f>
        <v>14000</v>
      </c>
      <c r="AL21" s="176">
        <f>AJ21+AK21</f>
        <v>3095200</v>
      </c>
      <c r="AM21" s="219">
        <v>2249300</v>
      </c>
      <c r="AN21" s="175">
        <f t="shared" si="5"/>
        <v>2107500</v>
      </c>
      <c r="AO21" s="175">
        <v>13500</v>
      </c>
      <c r="AP21" s="175">
        <v>2121000</v>
      </c>
      <c r="AQ21" s="177">
        <f t="shared" si="4"/>
        <v>973700</v>
      </c>
      <c r="AR21" s="177">
        <f t="shared" si="4"/>
        <v>500</v>
      </c>
      <c r="AS21" s="177">
        <f t="shared" si="4"/>
        <v>974200</v>
      </c>
      <c r="AT21" s="178">
        <f>AP21/AL21</f>
        <v>0.68525458774877235</v>
      </c>
      <c r="AU21" s="179">
        <f>12*AT21</f>
        <v>8.2230550529852682</v>
      </c>
    </row>
    <row r="22" spans="1:47" s="109" customFormat="1" ht="25.5" outlineLevel="2" x14ac:dyDescent="0.2">
      <c r="A22" s="93">
        <v>11</v>
      </c>
      <c r="B22" s="96" t="s">
        <v>128</v>
      </c>
      <c r="C22" s="106" t="s">
        <v>18</v>
      </c>
      <c r="D22" s="206">
        <v>77</v>
      </c>
      <c r="E22" s="206">
        <v>83</v>
      </c>
      <c r="F22" s="206">
        <v>34</v>
      </c>
      <c r="G22" s="185"/>
      <c r="H22" s="204">
        <f>SUM(D22:G22)</f>
        <v>194</v>
      </c>
      <c r="I22" s="205">
        <f>(D22*D$5+E22*E$5+F22*F$5+G22*G$5)</f>
        <v>13633224</v>
      </c>
      <c r="J22" s="205"/>
      <c r="K22" s="205"/>
      <c r="L22" s="204">
        <f>SUM(J22:K22)</f>
        <v>0</v>
      </c>
      <c r="M22" s="205">
        <f>(J22*J$5+K22*K$5)</f>
        <v>0</v>
      </c>
      <c r="N22" s="205"/>
      <c r="O22" s="204">
        <f>SUM(N22:N22)</f>
        <v>0</v>
      </c>
      <c r="P22" s="205">
        <f>(N22*N$5)</f>
        <v>0</v>
      </c>
      <c r="Q22" s="205"/>
      <c r="R22" s="205"/>
      <c r="S22" s="204">
        <f t="shared" si="0"/>
        <v>0</v>
      </c>
      <c r="T22" s="205">
        <f t="shared" si="1"/>
        <v>0</v>
      </c>
      <c r="U22" s="205"/>
      <c r="V22" s="205"/>
      <c r="W22" s="204">
        <f>SUM(U22:V22)</f>
        <v>0</v>
      </c>
      <c r="X22" s="205">
        <f>(U22*U$5+V22*V$5)</f>
        <v>0</v>
      </c>
      <c r="Y22" s="205"/>
      <c r="Z22" s="204">
        <f>SUM(Y22:Y22)</f>
        <v>0</v>
      </c>
      <c r="AA22" s="205">
        <f>(Y22*Y$5)</f>
        <v>0</v>
      </c>
      <c r="AB22" s="205">
        <f>D22+J22+N22+Q22+U22</f>
        <v>77</v>
      </c>
      <c r="AC22" s="205">
        <f t="shared" si="2"/>
        <v>83</v>
      </c>
      <c r="AD22" s="205">
        <f>F22</f>
        <v>34</v>
      </c>
      <c r="AE22" s="205">
        <f>G22</f>
        <v>0</v>
      </c>
      <c r="AF22" s="205">
        <f>AB22+AC22+AD22+AE22</f>
        <v>194</v>
      </c>
      <c r="AG22" s="205">
        <f>ROUND(I22+M22+P22+T22+X22+AA22,-2)</f>
        <v>13633200</v>
      </c>
      <c r="AH22" s="200"/>
      <c r="AI22" s="200"/>
      <c r="AJ22" s="205"/>
      <c r="AK22" s="205"/>
      <c r="AL22" s="205"/>
      <c r="AM22" s="218"/>
      <c r="AN22" s="200">
        <f t="shared" si="5"/>
        <v>0</v>
      </c>
      <c r="AO22" s="200"/>
      <c r="AP22" s="200"/>
      <c r="AQ22" s="202">
        <f t="shared" si="4"/>
        <v>0</v>
      </c>
      <c r="AR22" s="202">
        <f t="shared" si="4"/>
        <v>0</v>
      </c>
      <c r="AS22" s="202">
        <f t="shared" si="4"/>
        <v>0</v>
      </c>
      <c r="AT22" s="200"/>
      <c r="AU22" s="200"/>
    </row>
    <row r="23" spans="1:47" s="180" customFormat="1" ht="25.5" outlineLevel="1" x14ac:dyDescent="0.2">
      <c r="A23" s="170"/>
      <c r="B23" s="181" t="s">
        <v>134</v>
      </c>
      <c r="C23" s="172"/>
      <c r="D23" s="173">
        <f t="shared" ref="D23:AG23" si="12">SUBTOTAL(9,D22:D22)</f>
        <v>77</v>
      </c>
      <c r="E23" s="173">
        <f t="shared" si="12"/>
        <v>83</v>
      </c>
      <c r="F23" s="173">
        <f t="shared" si="12"/>
        <v>34</v>
      </c>
      <c r="G23" s="173">
        <f t="shared" si="12"/>
        <v>0</v>
      </c>
      <c r="H23" s="173">
        <f t="shared" si="12"/>
        <v>194</v>
      </c>
      <c r="I23" s="173">
        <f t="shared" si="12"/>
        <v>13633224</v>
      </c>
      <c r="J23" s="173">
        <f t="shared" si="12"/>
        <v>0</v>
      </c>
      <c r="K23" s="173">
        <f t="shared" si="12"/>
        <v>0</v>
      </c>
      <c r="L23" s="173">
        <f t="shared" si="12"/>
        <v>0</v>
      </c>
      <c r="M23" s="173">
        <f t="shared" si="12"/>
        <v>0</v>
      </c>
      <c r="N23" s="173">
        <f t="shared" si="12"/>
        <v>0</v>
      </c>
      <c r="O23" s="173">
        <f t="shared" si="12"/>
        <v>0</v>
      </c>
      <c r="P23" s="173">
        <f t="shared" si="12"/>
        <v>0</v>
      </c>
      <c r="Q23" s="173">
        <f t="shared" si="12"/>
        <v>0</v>
      </c>
      <c r="R23" s="173">
        <f t="shared" ref="R23:T23" si="13">SUBTOTAL(9,R22:R22)</f>
        <v>0</v>
      </c>
      <c r="S23" s="173">
        <f t="shared" si="13"/>
        <v>0</v>
      </c>
      <c r="T23" s="173">
        <f t="shared" si="13"/>
        <v>0</v>
      </c>
      <c r="U23" s="173">
        <f t="shared" si="12"/>
        <v>0</v>
      </c>
      <c r="V23" s="173">
        <f t="shared" si="12"/>
        <v>0</v>
      </c>
      <c r="W23" s="173">
        <f t="shared" si="12"/>
        <v>0</v>
      </c>
      <c r="X23" s="173">
        <f t="shared" si="12"/>
        <v>0</v>
      </c>
      <c r="Y23" s="173">
        <f t="shared" si="12"/>
        <v>0</v>
      </c>
      <c r="Z23" s="173">
        <f t="shared" si="12"/>
        <v>0</v>
      </c>
      <c r="AA23" s="173">
        <f t="shared" si="12"/>
        <v>0</v>
      </c>
      <c r="AB23" s="173">
        <f t="shared" si="12"/>
        <v>77</v>
      </c>
      <c r="AC23" s="173">
        <f t="shared" ref="AC23:AF23" si="14">SUBTOTAL(9,AC22:AC22)</f>
        <v>83</v>
      </c>
      <c r="AD23" s="173">
        <f t="shared" si="14"/>
        <v>34</v>
      </c>
      <c r="AE23" s="173">
        <f t="shared" si="14"/>
        <v>0</v>
      </c>
      <c r="AF23" s="173">
        <f t="shared" si="14"/>
        <v>194</v>
      </c>
      <c r="AG23" s="173">
        <f t="shared" si="12"/>
        <v>13633200</v>
      </c>
      <c r="AH23" s="174">
        <f>ROUND(AF23/5000,2)</f>
        <v>0.04</v>
      </c>
      <c r="AI23" s="175">
        <f>ROUND(AH23*$Z$26*$Z$27*$Z$28*1.2,-2)</f>
        <v>56200</v>
      </c>
      <c r="AJ23" s="176">
        <f>ROUND(AG23*$AJ$5,-2)</f>
        <v>13633200</v>
      </c>
      <c r="AK23" s="176">
        <f>AI23</f>
        <v>56200</v>
      </c>
      <c r="AL23" s="176">
        <f>AJ23+AK23</f>
        <v>13689400</v>
      </c>
      <c r="AM23" s="219">
        <v>9949000</v>
      </c>
      <c r="AN23" s="175">
        <f t="shared" si="5"/>
        <v>11782300</v>
      </c>
      <c r="AO23" s="175">
        <v>54000</v>
      </c>
      <c r="AP23" s="175">
        <v>11836300</v>
      </c>
      <c r="AQ23" s="177">
        <f t="shared" si="4"/>
        <v>1850900</v>
      </c>
      <c r="AR23" s="177">
        <f t="shared" si="4"/>
        <v>2200</v>
      </c>
      <c r="AS23" s="177">
        <f t="shared" si="4"/>
        <v>1853100</v>
      </c>
      <c r="AT23" s="178">
        <f>AP23/AL23</f>
        <v>0.86463248937133841</v>
      </c>
      <c r="AU23" s="179">
        <f>12*AT23</f>
        <v>10.375589872456061</v>
      </c>
    </row>
    <row r="24" spans="1:47" s="109" customFormat="1" x14ac:dyDescent="0.2">
      <c r="A24" s="93"/>
      <c r="B24" s="113" t="s">
        <v>135</v>
      </c>
      <c r="C24" s="106"/>
      <c r="D24" s="110">
        <f t="shared" ref="D24:AG24" si="15">SUBTOTAL(9,D6:D22)</f>
        <v>636</v>
      </c>
      <c r="E24" s="110">
        <f t="shared" si="15"/>
        <v>660</v>
      </c>
      <c r="F24" s="110">
        <f t="shared" si="15"/>
        <v>145</v>
      </c>
      <c r="G24" s="110">
        <f t="shared" si="15"/>
        <v>0</v>
      </c>
      <c r="H24" s="110">
        <f t="shared" si="15"/>
        <v>1441</v>
      </c>
      <c r="I24" s="110">
        <f t="shared" si="15"/>
        <v>99417123</v>
      </c>
      <c r="J24" s="110">
        <f t="shared" si="15"/>
        <v>1</v>
      </c>
      <c r="K24" s="110">
        <f t="shared" si="15"/>
        <v>0</v>
      </c>
      <c r="L24" s="110">
        <f t="shared" si="15"/>
        <v>1</v>
      </c>
      <c r="M24" s="110">
        <f t="shared" si="15"/>
        <v>118158</v>
      </c>
      <c r="N24" s="110">
        <f t="shared" si="15"/>
        <v>1</v>
      </c>
      <c r="O24" s="110">
        <f t="shared" si="15"/>
        <v>1</v>
      </c>
      <c r="P24" s="110">
        <f t="shared" si="15"/>
        <v>148905</v>
      </c>
      <c r="Q24" s="110">
        <f t="shared" si="15"/>
        <v>1</v>
      </c>
      <c r="R24" s="110">
        <f t="shared" ref="R24:T24" si="16">SUBTOTAL(9,R6:R22)</f>
        <v>1</v>
      </c>
      <c r="S24" s="110">
        <f t="shared" si="16"/>
        <v>2</v>
      </c>
      <c r="T24" s="110">
        <f t="shared" si="16"/>
        <v>736826</v>
      </c>
      <c r="U24" s="110">
        <f t="shared" si="15"/>
        <v>3</v>
      </c>
      <c r="V24" s="110">
        <f t="shared" si="15"/>
        <v>9</v>
      </c>
      <c r="W24" s="110">
        <f t="shared" si="15"/>
        <v>12</v>
      </c>
      <c r="X24" s="110">
        <f t="shared" si="15"/>
        <v>3148584</v>
      </c>
      <c r="Y24" s="110">
        <f t="shared" si="15"/>
        <v>1</v>
      </c>
      <c r="Z24" s="110">
        <f t="shared" si="15"/>
        <v>1</v>
      </c>
      <c r="AA24" s="110">
        <f t="shared" si="15"/>
        <v>425276</v>
      </c>
      <c r="AB24" s="110">
        <f t="shared" si="15"/>
        <v>642</v>
      </c>
      <c r="AC24" s="110">
        <f t="shared" ref="AC24:AF24" si="17">SUBTOTAL(9,AC6:AC22)</f>
        <v>671</v>
      </c>
      <c r="AD24" s="110">
        <f t="shared" si="17"/>
        <v>145</v>
      </c>
      <c r="AE24" s="110">
        <f t="shared" si="17"/>
        <v>0</v>
      </c>
      <c r="AF24" s="110">
        <f t="shared" si="17"/>
        <v>1458</v>
      </c>
      <c r="AG24" s="110">
        <f t="shared" si="15"/>
        <v>103994900</v>
      </c>
      <c r="AH24" s="111">
        <f>ROUND(AF24/5000,2)</f>
        <v>0.28999999999999998</v>
      </c>
      <c r="AI24" s="107">
        <f>ROUND(AH24*$Z$26*$Z$27*$Z$28*1.2,-2)</f>
        <v>407400</v>
      </c>
      <c r="AJ24" s="104">
        <f t="shared" ref="AJ24:AM24" si="18">SUM(AJ6:AJ23)</f>
        <v>103994900</v>
      </c>
      <c r="AK24" s="104">
        <f t="shared" si="18"/>
        <v>407200</v>
      </c>
      <c r="AL24" s="233">
        <f t="shared" si="18"/>
        <v>104402100</v>
      </c>
      <c r="AM24" s="220">
        <f t="shared" si="18"/>
        <v>75872100</v>
      </c>
      <c r="AN24" s="107">
        <f t="shared" si="5"/>
        <v>75534400</v>
      </c>
      <c r="AO24" s="107">
        <f>SUM(AO9:AO23)</f>
        <v>337700</v>
      </c>
      <c r="AP24" s="107">
        <f>SUM(AP9:AP23)</f>
        <v>75872100</v>
      </c>
      <c r="AQ24" s="108">
        <f>SUM(AQ9:AQ23)</f>
        <v>28460500</v>
      </c>
      <c r="AR24" s="108">
        <f>SUM(AR9:AR23)</f>
        <v>69500</v>
      </c>
      <c r="AS24" s="108">
        <f>SUM(AS9:AS23)</f>
        <v>28530000</v>
      </c>
      <c r="AT24" s="112">
        <f>AP24/AL24</f>
        <v>0.72672963474872632</v>
      </c>
      <c r="AU24" s="128">
        <f>12*AT24</f>
        <v>8.7207556169847162</v>
      </c>
    </row>
    <row r="25" spans="1:47" x14ac:dyDescent="0.2"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>
        <v>98851900</v>
      </c>
      <c r="AM25" s="221">
        <v>75872100</v>
      </c>
      <c r="AN25" s="118"/>
      <c r="AO25" s="118"/>
      <c r="AP25" s="118"/>
      <c r="AQ25" s="118"/>
      <c r="AR25" s="118"/>
      <c r="AS25" s="118">
        <f>+AL24-AP24</f>
        <v>28530000</v>
      </c>
      <c r="AT25" s="118"/>
      <c r="AU25" s="118"/>
    </row>
    <row r="26" spans="1:47" x14ac:dyDescent="0.2">
      <c r="V26" s="116" t="s">
        <v>138</v>
      </c>
      <c r="W26" s="116"/>
      <c r="X26" s="116"/>
      <c r="Y26" s="116"/>
      <c r="Z26" s="246">
        <f>ROUND(5600*1.1*1.1*1.1*1.1*1.06*1.06*1.1*1.06*1.06*1.1*1.06*1.04*1.04*1.04*1.04*1.04,1)</f>
        <v>16152.5</v>
      </c>
      <c r="AA26" s="246"/>
      <c r="AB26" s="199"/>
      <c r="AG26" s="117">
        <v>88248700</v>
      </c>
      <c r="AK26" s="115"/>
      <c r="AL26" s="114">
        <f>+AL24/AF24</f>
        <v>71606.378600823038</v>
      </c>
      <c r="AM26" s="221">
        <f>+AL24-AM24</f>
        <v>28530000</v>
      </c>
      <c r="AP26" s="114">
        <f>71360.5+4511.6</f>
        <v>75872.100000000006</v>
      </c>
    </row>
    <row r="27" spans="1:47" x14ac:dyDescent="0.2">
      <c r="V27" s="248" t="s">
        <v>139</v>
      </c>
      <c r="W27" s="248"/>
      <c r="X27" s="248"/>
      <c r="Y27" s="248"/>
      <c r="Z27" s="247">
        <v>55.67</v>
      </c>
      <c r="AA27" s="247"/>
      <c r="AL27" s="114">
        <f>+AM25/AL24*AF24</f>
        <v>1059.5718074636429</v>
      </c>
      <c r="AM27" s="221"/>
      <c r="AN27" s="115"/>
    </row>
    <row r="28" spans="1:47" x14ac:dyDescent="0.2">
      <c r="V28" s="248" t="s">
        <v>140</v>
      </c>
      <c r="W28" s="248"/>
      <c r="X28" s="248"/>
      <c r="Y28" s="248"/>
      <c r="Z28" s="247">
        <v>1.302</v>
      </c>
      <c r="AA28" s="247"/>
    </row>
    <row r="29" spans="1:47" x14ac:dyDescent="0.2">
      <c r="AI29" s="118"/>
    </row>
  </sheetData>
  <sheetProtection selectLockedCells="1" selectUnlockedCells="1"/>
  <mergeCells count="43">
    <mergeCell ref="AT2:AU2"/>
    <mergeCell ref="AB3:AB4"/>
    <mergeCell ref="AC3:AC4"/>
    <mergeCell ref="AD3:AD4"/>
    <mergeCell ref="AE3:AE4"/>
    <mergeCell ref="AF3:AF4"/>
    <mergeCell ref="AQ2:AS2"/>
    <mergeCell ref="AB2:AG2"/>
    <mergeCell ref="AH2:AI2"/>
    <mergeCell ref="AJ2:AL2"/>
    <mergeCell ref="AM2:AM4"/>
    <mergeCell ref="AN2:AP2"/>
    <mergeCell ref="Z26:AA26"/>
    <mergeCell ref="V27:Y27"/>
    <mergeCell ref="Z27:AA27"/>
    <mergeCell ref="V28:Y28"/>
    <mergeCell ref="Z28:AA28"/>
    <mergeCell ref="D3:G3"/>
    <mergeCell ref="H3:H4"/>
    <mergeCell ref="I3:I4"/>
    <mergeCell ref="L3:L4"/>
    <mergeCell ref="M3:M4"/>
    <mergeCell ref="O3:O4"/>
    <mergeCell ref="P3:P4"/>
    <mergeCell ref="S3:S4"/>
    <mergeCell ref="T3:T4"/>
    <mergeCell ref="Y2:AA2"/>
    <mergeCell ref="D1:AA1"/>
    <mergeCell ref="AB1:AG1"/>
    <mergeCell ref="A2:A4"/>
    <mergeCell ref="B2:B4"/>
    <mergeCell ref="C2:C4"/>
    <mergeCell ref="D2:I2"/>
    <mergeCell ref="J2:M2"/>
    <mergeCell ref="N2:P2"/>
    <mergeCell ref="Q2:T2"/>
    <mergeCell ref="U2:X2"/>
    <mergeCell ref="AG3:AG4"/>
    <mergeCell ref="U3:V3"/>
    <mergeCell ref="W3:W4"/>
    <mergeCell ref="X3:X4"/>
    <mergeCell ref="Z3:Z4"/>
    <mergeCell ref="AA3:AA4"/>
  </mergeCells>
  <pageMargins left="0.23622047244094491" right="0.23622047244094491" top="0.74803149606299213" bottom="0.74803149606299213" header="0.51181102362204722" footer="0.51181102362204722"/>
  <pageSetup paperSize="9" scale="70" firstPageNumber="0" fitToWidth="7" orientation="landscape" r:id="rId1"/>
  <headerFooter alignWithMargins="0">
    <oddHeader>&amp;RРасчеты на реализацию общего образования</oddHeader>
  </headerFooter>
  <colBreaks count="1" manualBreakCount="1">
    <brk id="26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" sqref="B1:B2"/>
    </sheetView>
  </sheetViews>
  <sheetFormatPr defaultRowHeight="12.75" x14ac:dyDescent="0.2"/>
  <cols>
    <col min="2" max="2" width="44.140625" customWidth="1"/>
    <col min="3" max="3" width="15.28515625" customWidth="1"/>
  </cols>
  <sheetData>
    <row r="1" spans="1:3" ht="31.5" x14ac:dyDescent="0.2">
      <c r="A1" s="280" t="s">
        <v>45</v>
      </c>
      <c r="B1" s="280" t="s">
        <v>154</v>
      </c>
      <c r="C1" s="82" t="s">
        <v>155</v>
      </c>
    </row>
    <row r="2" spans="1:3" ht="32.25" thickBot="1" x14ac:dyDescent="0.25">
      <c r="A2" s="281"/>
      <c r="B2" s="281"/>
      <c r="C2" s="83" t="s">
        <v>156</v>
      </c>
    </row>
    <row r="3" spans="1:3" ht="15.75" x14ac:dyDescent="0.2">
      <c r="A3" s="84">
        <v>1</v>
      </c>
      <c r="B3" s="85" t="s">
        <v>157</v>
      </c>
      <c r="C3" s="89">
        <f>ЧДОУ!BL27/1000</f>
        <v>0</v>
      </c>
    </row>
    <row r="4" spans="1:3" ht="15.75" x14ac:dyDescent="0.2">
      <c r="A4" s="84">
        <v>2</v>
      </c>
      <c r="B4" s="85" t="s">
        <v>158</v>
      </c>
      <c r="C4" s="89">
        <f>ЧДОУ!BL32/1000</f>
        <v>0</v>
      </c>
    </row>
    <row r="5" spans="1:3" ht="15.75" x14ac:dyDescent="0.2">
      <c r="A5" s="84">
        <v>3</v>
      </c>
      <c r="B5" s="85" t="s">
        <v>159</v>
      </c>
      <c r="C5" s="89">
        <f>ЧДОУ!BL36/1000</f>
        <v>0</v>
      </c>
    </row>
    <row r="6" spans="1:3" ht="15.75" x14ac:dyDescent="0.2">
      <c r="A6" s="84">
        <v>4</v>
      </c>
      <c r="B6" s="85" t="s">
        <v>160</v>
      </c>
      <c r="C6" s="89">
        <f>ЧДОУ!BL43/1000</f>
        <v>0</v>
      </c>
    </row>
    <row r="7" spans="1:3" ht="15.75" x14ac:dyDescent="0.2">
      <c r="A7" s="84">
        <v>5</v>
      </c>
      <c r="B7" s="85" t="s">
        <v>161</v>
      </c>
      <c r="C7" s="89">
        <f>ЧДОУ!BL45/1000</f>
        <v>0</v>
      </c>
    </row>
    <row r="8" spans="1:3" ht="16.5" thickBot="1" x14ac:dyDescent="0.25">
      <c r="A8" s="86">
        <v>6</v>
      </c>
      <c r="B8" s="87" t="s">
        <v>162</v>
      </c>
      <c r="C8" s="90">
        <f>ЧДОУ!BL48/1000</f>
        <v>0</v>
      </c>
    </row>
    <row r="9" spans="1:3" ht="16.5" thickBot="1" x14ac:dyDescent="0.25">
      <c r="A9" s="86"/>
      <c r="B9" s="88" t="s">
        <v>163</v>
      </c>
      <c r="C9" s="91">
        <f>SUM(C3:C8)</f>
        <v>0</v>
      </c>
    </row>
  </sheetData>
  <mergeCells count="2">
    <mergeCell ref="A1:A2"/>
    <mergeCell ref="B1:B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ЧДОУ</vt:lpstr>
      <vt:lpstr>документы_2021</vt:lpstr>
      <vt:lpstr>ЧООУ</vt:lpstr>
      <vt:lpstr>Лист1</vt:lpstr>
      <vt:lpstr>ЧДОУ!Заголовки_для_печати</vt:lpstr>
      <vt:lpstr>ЧООУ!Заголовки_для_печати</vt:lpstr>
      <vt:lpstr>ЧДОУ!Область_печати</vt:lpstr>
      <vt:lpstr>ЧООУ!Область_печати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Юлия Владимировна Терехова</cp:lastModifiedBy>
  <cp:lastPrinted>2022-07-13T08:28:24Z</cp:lastPrinted>
  <dcterms:created xsi:type="dcterms:W3CDTF">2018-07-26T09:23:43Z</dcterms:created>
  <dcterms:modified xsi:type="dcterms:W3CDTF">2022-07-29T07:21:11Z</dcterms:modified>
</cp:coreProperties>
</file>