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esktop\СЭД 15.09.2021\"/>
    </mc:Choice>
  </mc:AlternateContent>
  <bookViews>
    <workbookView xWindow="0" yWindow="0" windowWidth="23250" windowHeight="12330" activeTab="3"/>
  </bookViews>
  <sheets>
    <sheet name="Кол-во штатных единиц" sheetId="1" r:id="rId1"/>
    <sheet name="2022" sheetId="2" state="hidden" r:id="rId2"/>
    <sheet name="ФОТ 2022 2023" sheetId="3" r:id="rId3"/>
    <sheet name="Действующее Штатное расп" sheetId="4" r:id="rId4"/>
  </sheets>
  <definedNames>
    <definedName name="_xlnm._FilterDatabase" localSheetId="3" hidden="1">'Действующее Штатное расп'!$A$14:$D$14</definedName>
    <definedName name="_xlnm.Print_Titles" localSheetId="3">'Действующее Штатное расп'!$14:$14</definedName>
    <definedName name="_xlnm.Print_Area" localSheetId="1">'2022'!$A$2:$N$48</definedName>
    <definedName name="_xlnm.Print_Area" localSheetId="3">'Действующее Штатное расп'!$A$1:$J$148</definedName>
    <definedName name="_xlnm.Print_Area" localSheetId="2">'ФОТ 2022 2023'!$A$2:$U$48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20" i="1" l="1"/>
  <c r="AA15" i="1"/>
  <c r="Q15" i="1"/>
  <c r="Q20" i="1"/>
  <c r="B96" i="4"/>
  <c r="B54" i="4"/>
  <c r="F136" i="4" l="1"/>
  <c r="F135" i="4"/>
  <c r="F134" i="4"/>
  <c r="J133" i="4"/>
  <c r="H133" i="4"/>
  <c r="I133" i="4" s="1"/>
  <c r="F133" i="4"/>
  <c r="D133" i="4"/>
  <c r="J132" i="4"/>
  <c r="H132" i="4"/>
  <c r="I132" i="4" s="1"/>
  <c r="F132" i="4"/>
  <c r="D132" i="4"/>
  <c r="H131" i="4"/>
  <c r="I131" i="4" s="1"/>
  <c r="F131" i="4"/>
  <c r="B131" i="4"/>
  <c r="B134" i="4" s="1"/>
  <c r="J130" i="4"/>
  <c r="H130" i="4"/>
  <c r="I130" i="4" s="1"/>
  <c r="F130" i="4"/>
  <c r="D130" i="4"/>
  <c r="J129" i="4"/>
  <c r="H129" i="4"/>
  <c r="I129" i="4" s="1"/>
  <c r="F129" i="4"/>
  <c r="D129" i="4"/>
  <c r="F127" i="4"/>
  <c r="B127" i="4"/>
  <c r="J126" i="4"/>
  <c r="H126" i="4"/>
  <c r="I126" i="4" s="1"/>
  <c r="F126" i="4"/>
  <c r="D126" i="4"/>
  <c r="J125" i="4"/>
  <c r="H125" i="4"/>
  <c r="I125" i="4" s="1"/>
  <c r="F125" i="4"/>
  <c r="D125" i="4"/>
  <c r="J124" i="4"/>
  <c r="I124" i="4"/>
  <c r="H124" i="4"/>
  <c r="F124" i="4"/>
  <c r="D124" i="4"/>
  <c r="J123" i="4"/>
  <c r="H123" i="4"/>
  <c r="I123" i="4" s="1"/>
  <c r="F123" i="4"/>
  <c r="D123" i="4"/>
  <c r="J122" i="4"/>
  <c r="J127" i="4" s="1"/>
  <c r="H122" i="4"/>
  <c r="I122" i="4" s="1"/>
  <c r="F122" i="4"/>
  <c r="D122" i="4"/>
  <c r="D127" i="4" s="1"/>
  <c r="F120" i="4"/>
  <c r="B120" i="4"/>
  <c r="J119" i="4"/>
  <c r="I119" i="4"/>
  <c r="H119" i="4"/>
  <c r="F119" i="4"/>
  <c r="D119" i="4"/>
  <c r="J118" i="4"/>
  <c r="H118" i="4"/>
  <c r="I118" i="4" s="1"/>
  <c r="F118" i="4"/>
  <c r="D118" i="4"/>
  <c r="J117" i="4"/>
  <c r="H117" i="4"/>
  <c r="I117" i="4" s="1"/>
  <c r="F117" i="4"/>
  <c r="D117" i="4"/>
  <c r="J116" i="4"/>
  <c r="I116" i="4"/>
  <c r="H116" i="4"/>
  <c r="F116" i="4"/>
  <c r="D116" i="4"/>
  <c r="J115" i="4"/>
  <c r="H115" i="4"/>
  <c r="I115" i="4" s="1"/>
  <c r="F115" i="4"/>
  <c r="D115" i="4"/>
  <c r="F113" i="4"/>
  <c r="B113" i="4"/>
  <c r="J112" i="4"/>
  <c r="H112" i="4"/>
  <c r="I112" i="4" s="1"/>
  <c r="F112" i="4"/>
  <c r="D112" i="4"/>
  <c r="J111" i="4"/>
  <c r="H111" i="4"/>
  <c r="I111" i="4" s="1"/>
  <c r="F111" i="4"/>
  <c r="D111" i="4"/>
  <c r="J110" i="4"/>
  <c r="I110" i="4"/>
  <c r="H110" i="4"/>
  <c r="F110" i="4"/>
  <c r="D110" i="4"/>
  <c r="J109" i="4"/>
  <c r="J113" i="4" s="1"/>
  <c r="H109" i="4"/>
  <c r="I109" i="4" s="1"/>
  <c r="F109" i="4"/>
  <c r="D109" i="4"/>
  <c r="F107" i="4"/>
  <c r="B107" i="4"/>
  <c r="J106" i="4"/>
  <c r="H106" i="4"/>
  <c r="I106" i="4" s="1"/>
  <c r="F106" i="4"/>
  <c r="D106" i="4"/>
  <c r="J105" i="4"/>
  <c r="H105" i="4"/>
  <c r="I105" i="4" s="1"/>
  <c r="F105" i="4"/>
  <c r="D105" i="4"/>
  <c r="J104" i="4"/>
  <c r="H104" i="4"/>
  <c r="I104" i="4" s="1"/>
  <c r="F104" i="4"/>
  <c r="D104" i="4"/>
  <c r="J103" i="4"/>
  <c r="I103" i="4"/>
  <c r="H103" i="4"/>
  <c r="F103" i="4"/>
  <c r="D103" i="4"/>
  <c r="J102" i="4"/>
  <c r="J107" i="4" s="1"/>
  <c r="H102" i="4"/>
  <c r="I102" i="4" s="1"/>
  <c r="F102" i="4"/>
  <c r="D102" i="4"/>
  <c r="D107" i="4" s="1"/>
  <c r="F100" i="4"/>
  <c r="B100" i="4"/>
  <c r="J99" i="4"/>
  <c r="H99" i="4"/>
  <c r="I99" i="4" s="1"/>
  <c r="F99" i="4"/>
  <c r="D99" i="4"/>
  <c r="J98" i="4"/>
  <c r="I98" i="4"/>
  <c r="H98" i="4"/>
  <c r="F98" i="4"/>
  <c r="D98" i="4"/>
  <c r="J97" i="4"/>
  <c r="H97" i="4"/>
  <c r="I97" i="4" s="1"/>
  <c r="F97" i="4"/>
  <c r="D97" i="4"/>
  <c r="J96" i="4"/>
  <c r="H96" i="4"/>
  <c r="I96" i="4" s="1"/>
  <c r="F96" i="4"/>
  <c r="D96" i="4"/>
  <c r="J95" i="4"/>
  <c r="H95" i="4"/>
  <c r="I95" i="4" s="1"/>
  <c r="F95" i="4"/>
  <c r="D95" i="4"/>
  <c r="F91" i="4"/>
  <c r="F90" i="4"/>
  <c r="F89" i="4"/>
  <c r="B89" i="4"/>
  <c r="J88" i="4"/>
  <c r="H88" i="4"/>
  <c r="I88" i="4" s="1"/>
  <c r="F88" i="4"/>
  <c r="D88" i="4"/>
  <c r="J87" i="4"/>
  <c r="H87" i="4"/>
  <c r="I87" i="4" s="1"/>
  <c r="F87" i="4"/>
  <c r="D87" i="4"/>
  <c r="J86" i="4"/>
  <c r="H86" i="4"/>
  <c r="I86" i="4" s="1"/>
  <c r="F86" i="4"/>
  <c r="D86" i="4"/>
  <c r="J85" i="4"/>
  <c r="H85" i="4"/>
  <c r="I85" i="4" s="1"/>
  <c r="F85" i="4"/>
  <c r="D85" i="4"/>
  <c r="D89" i="4" s="1"/>
  <c r="F83" i="4"/>
  <c r="J82" i="4"/>
  <c r="H82" i="4"/>
  <c r="I82" i="4" s="1"/>
  <c r="F82" i="4"/>
  <c r="D82" i="4"/>
  <c r="J81" i="4"/>
  <c r="H81" i="4"/>
  <c r="I81" i="4" s="1"/>
  <c r="F81" i="4"/>
  <c r="D81" i="4"/>
  <c r="F79" i="4"/>
  <c r="B79" i="4"/>
  <c r="J78" i="4"/>
  <c r="H78" i="4"/>
  <c r="I78" i="4" s="1"/>
  <c r="F78" i="4"/>
  <c r="D78" i="4"/>
  <c r="J77" i="4"/>
  <c r="H77" i="4"/>
  <c r="I77" i="4" s="1"/>
  <c r="F77" i="4"/>
  <c r="D77" i="4"/>
  <c r="J76" i="4"/>
  <c r="H76" i="4"/>
  <c r="I76" i="4" s="1"/>
  <c r="F76" i="4"/>
  <c r="D76" i="4"/>
  <c r="J75" i="4"/>
  <c r="H75" i="4"/>
  <c r="I75" i="4" s="1"/>
  <c r="F75" i="4"/>
  <c r="D75" i="4"/>
  <c r="J74" i="4"/>
  <c r="I74" i="4"/>
  <c r="H74" i="4"/>
  <c r="F74" i="4"/>
  <c r="D74" i="4"/>
  <c r="J73" i="4"/>
  <c r="J79" i="4" s="1"/>
  <c r="H73" i="4"/>
  <c r="I73" i="4" s="1"/>
  <c r="F73" i="4"/>
  <c r="D73" i="4"/>
  <c r="F71" i="4"/>
  <c r="H70" i="4"/>
  <c r="I70" i="4" s="1"/>
  <c r="F70" i="4"/>
  <c r="B70" i="4"/>
  <c r="J70" i="4" s="1"/>
  <c r="H69" i="4"/>
  <c r="I69" i="4" s="1"/>
  <c r="F69" i="4"/>
  <c r="B69" i="4"/>
  <c r="J68" i="4"/>
  <c r="I68" i="4"/>
  <c r="H68" i="4"/>
  <c r="F68" i="4"/>
  <c r="D68" i="4"/>
  <c r="J67" i="4"/>
  <c r="H67" i="4"/>
  <c r="I67" i="4" s="1"/>
  <c r="F67" i="4"/>
  <c r="D67" i="4"/>
  <c r="F65" i="4"/>
  <c r="J64" i="4"/>
  <c r="H64" i="4"/>
  <c r="I64" i="4" s="1"/>
  <c r="F64" i="4"/>
  <c r="D64" i="4"/>
  <c r="J63" i="4"/>
  <c r="J65" i="4" s="1"/>
  <c r="I63" i="4"/>
  <c r="H63" i="4"/>
  <c r="F63" i="4"/>
  <c r="D63" i="4"/>
  <c r="D65" i="4" s="1"/>
  <c r="F61" i="4"/>
  <c r="F60" i="4"/>
  <c r="B60" i="4"/>
  <c r="J59" i="4"/>
  <c r="H59" i="4"/>
  <c r="I59" i="4" s="1"/>
  <c r="F59" i="4"/>
  <c r="D59" i="4"/>
  <c r="J58" i="4"/>
  <c r="I58" i="4"/>
  <c r="H58" i="4"/>
  <c r="F58" i="4"/>
  <c r="D58" i="4"/>
  <c r="J57" i="4"/>
  <c r="J60" i="4" s="1"/>
  <c r="H57" i="4"/>
  <c r="I57" i="4" s="1"/>
  <c r="F57" i="4"/>
  <c r="D57" i="4"/>
  <c r="D60" i="4" s="1"/>
  <c r="F55" i="4"/>
  <c r="J54" i="4"/>
  <c r="H54" i="4"/>
  <c r="I54" i="4" s="1"/>
  <c r="F54" i="4"/>
  <c r="D54" i="4"/>
  <c r="H53" i="4"/>
  <c r="I53" i="4" s="1"/>
  <c r="F53" i="4"/>
  <c r="B53" i="4"/>
  <c r="J53" i="4" s="1"/>
  <c r="H52" i="4"/>
  <c r="I52" i="4" s="1"/>
  <c r="F52" i="4"/>
  <c r="B52" i="4"/>
  <c r="B55" i="4" s="1"/>
  <c r="B61" i="4" s="1"/>
  <c r="J51" i="4"/>
  <c r="H51" i="4"/>
  <c r="I51" i="4" s="1"/>
  <c r="F51" i="4"/>
  <c r="D51" i="4"/>
  <c r="J50" i="4"/>
  <c r="I50" i="4"/>
  <c r="H50" i="4"/>
  <c r="F50" i="4"/>
  <c r="D50" i="4"/>
  <c r="J48" i="4"/>
  <c r="H48" i="4"/>
  <c r="I48" i="4" s="1"/>
  <c r="F48" i="4"/>
  <c r="D48" i="4"/>
  <c r="J47" i="4"/>
  <c r="H47" i="4"/>
  <c r="I47" i="4" s="1"/>
  <c r="F47" i="4"/>
  <c r="D47" i="4"/>
  <c r="F45" i="4"/>
  <c r="D45" i="4"/>
  <c r="B45" i="4"/>
  <c r="J44" i="4"/>
  <c r="H44" i="4"/>
  <c r="I44" i="4" s="1"/>
  <c r="F44" i="4"/>
  <c r="D44" i="4"/>
  <c r="J43" i="4"/>
  <c r="J45" i="4" s="1"/>
  <c r="H43" i="4"/>
  <c r="I43" i="4" s="1"/>
  <c r="F43" i="4"/>
  <c r="D43" i="4"/>
  <c r="F41" i="4"/>
  <c r="F40" i="4"/>
  <c r="B40" i="4"/>
  <c r="J39" i="4"/>
  <c r="H39" i="4"/>
  <c r="I39" i="4" s="1"/>
  <c r="F39" i="4"/>
  <c r="D39" i="4"/>
  <c r="J38" i="4"/>
  <c r="I38" i="4"/>
  <c r="H38" i="4"/>
  <c r="F38" i="4"/>
  <c r="D38" i="4"/>
  <c r="J37" i="4"/>
  <c r="H37" i="4"/>
  <c r="I37" i="4" s="1"/>
  <c r="F37" i="4"/>
  <c r="D37" i="4"/>
  <c r="J36" i="4"/>
  <c r="I36" i="4"/>
  <c r="H36" i="4"/>
  <c r="F36" i="4"/>
  <c r="D36" i="4"/>
  <c r="D40" i="4" s="1"/>
  <c r="F34" i="4"/>
  <c r="H33" i="4"/>
  <c r="I33" i="4" s="1"/>
  <c r="F33" i="4"/>
  <c r="D33" i="4"/>
  <c r="B33" i="4"/>
  <c r="J33" i="4" s="1"/>
  <c r="H32" i="4"/>
  <c r="I32" i="4" s="1"/>
  <c r="F32" i="4"/>
  <c r="B32" i="4"/>
  <c r="B34" i="4" s="1"/>
  <c r="B41" i="4" s="1"/>
  <c r="J31" i="4"/>
  <c r="H31" i="4"/>
  <c r="I31" i="4" s="1"/>
  <c r="F31" i="4"/>
  <c r="D31" i="4"/>
  <c r="J30" i="4"/>
  <c r="H30" i="4"/>
  <c r="I30" i="4" s="1"/>
  <c r="F30" i="4"/>
  <c r="D30" i="4"/>
  <c r="J28" i="4"/>
  <c r="H28" i="4"/>
  <c r="I28" i="4" s="1"/>
  <c r="F28" i="4"/>
  <c r="D28" i="4"/>
  <c r="J27" i="4"/>
  <c r="I27" i="4"/>
  <c r="H27" i="4"/>
  <c r="F27" i="4"/>
  <c r="D27" i="4"/>
  <c r="F25" i="4"/>
  <c r="J24" i="4"/>
  <c r="H24" i="4"/>
  <c r="I24" i="4" s="1"/>
  <c r="F24" i="4"/>
  <c r="D24" i="4"/>
  <c r="H23" i="4"/>
  <c r="I23" i="4" s="1"/>
  <c r="F23" i="4"/>
  <c r="D23" i="4"/>
  <c r="B23" i="4"/>
  <c r="B25" i="4" s="1"/>
  <c r="J22" i="4"/>
  <c r="I22" i="4"/>
  <c r="H22" i="4"/>
  <c r="F22" i="4"/>
  <c r="D22" i="4"/>
  <c r="J21" i="4"/>
  <c r="H21" i="4"/>
  <c r="I21" i="4" s="1"/>
  <c r="F21" i="4"/>
  <c r="D21" i="4"/>
  <c r="D25" i="4" s="1"/>
  <c r="F19" i="4"/>
  <c r="B19" i="4"/>
  <c r="J18" i="4"/>
  <c r="H18" i="4"/>
  <c r="D18" i="4"/>
  <c r="C18" i="4"/>
  <c r="F18" i="4" s="1"/>
  <c r="J17" i="4"/>
  <c r="H17" i="4"/>
  <c r="F17" i="4"/>
  <c r="D17" i="4"/>
  <c r="J16" i="4"/>
  <c r="J19" i="4" s="1"/>
  <c r="H16" i="4"/>
  <c r="F16" i="4"/>
  <c r="D16" i="4"/>
  <c r="D32" i="4" l="1"/>
  <c r="D79" i="4"/>
  <c r="D19" i="4"/>
  <c r="B90" i="4"/>
  <c r="J23" i="4"/>
  <c r="J25" i="4" s="1"/>
  <c r="D34" i="4"/>
  <c r="J40" i="4"/>
  <c r="D52" i="4"/>
  <c r="J52" i="4"/>
  <c r="J55" i="4" s="1"/>
  <c r="J61" i="4" s="1"/>
  <c r="B71" i="4"/>
  <c r="J89" i="4"/>
  <c r="D113" i="4"/>
  <c r="D120" i="4"/>
  <c r="J120" i="4"/>
  <c r="J32" i="4"/>
  <c r="J34" i="4" s="1"/>
  <c r="J41" i="4" s="1"/>
  <c r="D69" i="4"/>
  <c r="J69" i="4"/>
  <c r="J71" i="4" s="1"/>
  <c r="D83" i="4"/>
  <c r="J83" i="4"/>
  <c r="B135" i="4"/>
  <c r="B136" i="4"/>
  <c r="D100" i="4"/>
  <c r="J100" i="4"/>
  <c r="D71" i="4"/>
  <c r="D41" i="4"/>
  <c r="D70" i="4"/>
  <c r="D131" i="4"/>
  <c r="D134" i="4" s="1"/>
  <c r="J131" i="4"/>
  <c r="J134" i="4" s="1"/>
  <c r="D53" i="4"/>
  <c r="D55" i="4" s="1"/>
  <c r="D61" i="4" s="1"/>
  <c r="D90" i="4" s="1"/>
  <c r="J90" i="4" l="1"/>
  <c r="D135" i="4"/>
  <c r="J135" i="4"/>
  <c r="J136" i="4"/>
  <c r="D136" i="4"/>
  <c r="W36" i="3" l="1"/>
  <c r="V36" i="3"/>
  <c r="X36" i="3" s="1"/>
  <c r="R36" i="3" l="1"/>
  <c r="Q36" i="3"/>
  <c r="S36" i="3" s="1"/>
  <c r="O45" i="3"/>
  <c r="O42" i="3" s="1"/>
  <c r="N45" i="3"/>
  <c r="N42" i="3" s="1"/>
  <c r="M45" i="3"/>
  <c r="K45" i="3"/>
  <c r="K42" i="3" s="1"/>
  <c r="J45" i="3"/>
  <c r="J42" i="3" s="1"/>
  <c r="I45" i="3"/>
  <c r="M42" i="3"/>
  <c r="I42" i="3"/>
  <c r="O40" i="3"/>
  <c r="O38" i="3" s="1"/>
  <c r="N40" i="3"/>
  <c r="M40" i="3"/>
  <c r="K40" i="3"/>
  <c r="K38" i="3" s="1"/>
  <c r="J40" i="3"/>
  <c r="I40" i="3"/>
  <c r="M38" i="3"/>
  <c r="I38" i="3"/>
  <c r="O36" i="3"/>
  <c r="N36" i="3"/>
  <c r="M36" i="3"/>
  <c r="K36" i="3"/>
  <c r="J36" i="3"/>
  <c r="I36" i="3"/>
  <c r="O35" i="3"/>
  <c r="O33" i="3" s="1"/>
  <c r="N35" i="3"/>
  <c r="N33" i="3" s="1"/>
  <c r="M35" i="3"/>
  <c r="K35" i="3"/>
  <c r="J35" i="3"/>
  <c r="J33" i="3" s="1"/>
  <c r="I35" i="3"/>
  <c r="I33" i="3" s="1"/>
  <c r="K33" i="3"/>
  <c r="O31" i="3"/>
  <c r="N31" i="3"/>
  <c r="N29" i="3" s="1"/>
  <c r="M31" i="3"/>
  <c r="P31" i="3" s="1"/>
  <c r="K31" i="3"/>
  <c r="J31" i="3"/>
  <c r="L31" i="3" s="1"/>
  <c r="L29" i="3" s="1"/>
  <c r="I31" i="3"/>
  <c r="I29" i="3" s="1"/>
  <c r="O29" i="3"/>
  <c r="K29" i="3"/>
  <c r="J29" i="3"/>
  <c r="O27" i="3"/>
  <c r="N27" i="3"/>
  <c r="M27" i="3"/>
  <c r="P27" i="3" s="1"/>
  <c r="L27" i="3"/>
  <c r="L25" i="3" s="1"/>
  <c r="K27" i="3"/>
  <c r="J27" i="3"/>
  <c r="I27" i="3"/>
  <c r="I25" i="3" s="1"/>
  <c r="O25" i="3"/>
  <c r="N25" i="3"/>
  <c r="K25" i="3"/>
  <c r="J25" i="3"/>
  <c r="O20" i="3"/>
  <c r="O16" i="3" s="1"/>
  <c r="N20" i="3"/>
  <c r="M20" i="3"/>
  <c r="K20" i="3"/>
  <c r="K16" i="3" s="1"/>
  <c r="J20" i="3"/>
  <c r="L20" i="3" s="1"/>
  <c r="L16" i="3" s="1"/>
  <c r="I20" i="3"/>
  <c r="M16" i="3"/>
  <c r="I16" i="3"/>
  <c r="K23" i="3" l="1"/>
  <c r="L35" i="3"/>
  <c r="L33" i="3" s="1"/>
  <c r="P36" i="3"/>
  <c r="T36" i="3" s="1"/>
  <c r="P40" i="3"/>
  <c r="Y36" i="3"/>
  <c r="P20" i="3"/>
  <c r="P35" i="3"/>
  <c r="P33" i="3" s="1"/>
  <c r="L36" i="3"/>
  <c r="L40" i="3"/>
  <c r="L38" i="3" s="1"/>
  <c r="Z36" i="3"/>
  <c r="P38" i="3"/>
  <c r="P16" i="3"/>
  <c r="O23" i="3"/>
  <c r="O14" i="3" s="1"/>
  <c r="O12" i="3" s="1"/>
  <c r="O47" i="3" s="1"/>
  <c r="O48" i="3" s="1"/>
  <c r="P29" i="3"/>
  <c r="K14" i="3"/>
  <c r="K12" i="3" s="1"/>
  <c r="K47" i="3" s="1"/>
  <c r="K48" i="3" s="1"/>
  <c r="I23" i="3"/>
  <c r="I14" i="3" s="1"/>
  <c r="I12" i="3" s="1"/>
  <c r="I47" i="3" s="1"/>
  <c r="I48" i="3" s="1"/>
  <c r="P25" i="3"/>
  <c r="J16" i="3"/>
  <c r="N16" i="3"/>
  <c r="J38" i="3"/>
  <c r="J23" i="3" s="1"/>
  <c r="N38" i="3"/>
  <c r="N23" i="3" s="1"/>
  <c r="L45" i="3"/>
  <c r="L42" i="3" s="1"/>
  <c r="L23" i="3" s="1"/>
  <c r="L14" i="3" s="1"/>
  <c r="L12" i="3" s="1"/>
  <c r="L47" i="3" s="1"/>
  <c r="L48" i="3" s="1"/>
  <c r="P45" i="3"/>
  <c r="M25" i="3"/>
  <c r="M29" i="3"/>
  <c r="M33" i="3"/>
  <c r="AA27" i="1"/>
  <c r="AD26" i="1"/>
  <c r="AC26" i="1"/>
  <c r="AD25" i="1"/>
  <c r="AC25" i="1"/>
  <c r="AD24" i="1"/>
  <c r="AC24" i="1"/>
  <c r="AF23" i="1"/>
  <c r="AJ23" i="1" s="1"/>
  <c r="AD23" i="1"/>
  <c r="AI23" i="1" s="1"/>
  <c r="AC23" i="1"/>
  <c r="AD22" i="1"/>
  <c r="AC22" i="1"/>
  <c r="AD21" i="1"/>
  <c r="AC21" i="1"/>
  <c r="AD20" i="1"/>
  <c r="AC20" i="1"/>
  <c r="AF19" i="1"/>
  <c r="AJ19" i="1" s="1"/>
  <c r="AD19" i="1"/>
  <c r="AI19" i="1" s="1"/>
  <c r="AC19" i="1"/>
  <c r="AD18" i="1"/>
  <c r="AC18" i="1"/>
  <c r="AD17" i="1"/>
  <c r="AC17" i="1"/>
  <c r="AD16" i="1"/>
  <c r="AC16" i="1"/>
  <c r="AD15" i="1"/>
  <c r="AI15" i="1" s="1"/>
  <c r="AC15" i="1"/>
  <c r="AD14" i="1"/>
  <c r="AC14" i="1"/>
  <c r="AD13" i="1"/>
  <c r="AC13" i="1"/>
  <c r="AD12" i="1"/>
  <c r="AC12" i="1"/>
  <c r="AF11" i="1"/>
  <c r="AD11" i="1"/>
  <c r="AI11" i="1" s="1"/>
  <c r="AC11" i="1"/>
  <c r="AD10" i="1"/>
  <c r="AC10" i="1"/>
  <c r="AD9" i="1"/>
  <c r="AC9" i="1"/>
  <c r="AD8" i="1"/>
  <c r="AD7" i="1"/>
  <c r="AC7" i="1"/>
  <c r="AF9" i="1" l="1"/>
  <c r="AJ9" i="1" s="1"/>
  <c r="AI9" i="1"/>
  <c r="AF22" i="1"/>
  <c r="AJ22" i="1" s="1"/>
  <c r="AI22" i="1"/>
  <c r="U36" i="3"/>
  <c r="AF12" i="1"/>
  <c r="AJ12" i="1" s="1"/>
  <c r="AI12" i="1"/>
  <c r="AF16" i="1"/>
  <c r="AJ16" i="1" s="1"/>
  <c r="AI16" i="1"/>
  <c r="AF25" i="1"/>
  <c r="AJ25" i="1" s="1"/>
  <c r="AI25" i="1"/>
  <c r="AF13" i="1"/>
  <c r="AJ13" i="1" s="1"/>
  <c r="AI13" i="1"/>
  <c r="AF24" i="1"/>
  <c r="AJ24" i="1" s="1"/>
  <c r="AI24" i="1"/>
  <c r="AF26" i="1"/>
  <c r="AJ26" i="1" s="1"/>
  <c r="AI26" i="1"/>
  <c r="AF14" i="1"/>
  <c r="AJ14" i="1" s="1"/>
  <c r="AI14" i="1"/>
  <c r="AF18" i="1"/>
  <c r="AJ18" i="1" s="1"/>
  <c r="AI18" i="1"/>
  <c r="AF7" i="1"/>
  <c r="AJ7" i="1" s="1"/>
  <c r="AI7" i="1"/>
  <c r="AJ11" i="1"/>
  <c r="AF17" i="1"/>
  <c r="AJ17" i="1" s="1"/>
  <c r="AI17" i="1"/>
  <c r="AF8" i="1"/>
  <c r="AJ8" i="1" s="1"/>
  <c r="AI8" i="1"/>
  <c r="AF10" i="1"/>
  <c r="AJ10" i="1" s="1"/>
  <c r="AI10" i="1"/>
  <c r="AF21" i="1"/>
  <c r="AJ21" i="1" s="1"/>
  <c r="AI21" i="1"/>
  <c r="N14" i="3"/>
  <c r="N12" i="3" s="1"/>
  <c r="N47" i="3" s="1"/>
  <c r="N48" i="3" s="1"/>
  <c r="AF20" i="1"/>
  <c r="AJ20" i="1" s="1"/>
  <c r="AI20" i="1"/>
  <c r="AC27" i="1"/>
  <c r="V18" i="3" s="1"/>
  <c r="AF15" i="1"/>
  <c r="AJ15" i="1" s="1"/>
  <c r="J14" i="3"/>
  <c r="J12" i="3" s="1"/>
  <c r="J47" i="3" s="1"/>
  <c r="J48" i="3" s="1"/>
  <c r="M23" i="3"/>
  <c r="M14" i="3" s="1"/>
  <c r="M12" i="3" s="1"/>
  <c r="P42" i="3"/>
  <c r="AF27" i="1"/>
  <c r="AD27" i="1"/>
  <c r="AI27" i="1" s="1"/>
  <c r="M47" i="3" l="1"/>
  <c r="M48" i="3" s="1"/>
  <c r="AJ27" i="1"/>
  <c r="W18" i="3"/>
  <c r="V31" i="3"/>
  <c r="V29" i="3" s="1"/>
  <c r="V27" i="3"/>
  <c r="V40" i="3"/>
  <c r="V35" i="3"/>
  <c r="V20" i="3"/>
  <c r="V45" i="3"/>
  <c r="V42" i="3" s="1"/>
  <c r="P23" i="3"/>
  <c r="V33" i="3" l="1"/>
  <c r="V38" i="3"/>
  <c r="X40" i="3"/>
  <c r="V25" i="3"/>
  <c r="W40" i="3"/>
  <c r="W38" i="3" s="1"/>
  <c r="W35" i="3"/>
  <c r="W33" i="3" s="1"/>
  <c r="W20" i="3"/>
  <c r="W16" i="3" s="1"/>
  <c r="W31" i="3"/>
  <c r="W27" i="3"/>
  <c r="W25" i="3" s="1"/>
  <c r="W45" i="3"/>
  <c r="X20" i="3"/>
  <c r="V16" i="3"/>
  <c r="P14" i="3"/>
  <c r="X45" i="3" l="1"/>
  <c r="W42" i="3"/>
  <c r="X38" i="3"/>
  <c r="X31" i="3"/>
  <c r="W29" i="3"/>
  <c r="W23" i="3" s="1"/>
  <c r="W14" i="3" s="1"/>
  <c r="W12" i="3" s="1"/>
  <c r="X35" i="3"/>
  <c r="V14" i="3"/>
  <c r="V12" i="3" s="1"/>
  <c r="X27" i="3"/>
  <c r="X16" i="3"/>
  <c r="V23" i="3"/>
  <c r="P12" i="3"/>
  <c r="P47" i="3" s="1"/>
  <c r="P48" i="3" s="1"/>
  <c r="X33" i="3" l="1"/>
  <c r="X25" i="3"/>
  <c r="X29" i="3"/>
  <c r="X42" i="3"/>
  <c r="U47" i="3"/>
  <c r="X23" i="3" l="1"/>
  <c r="U48" i="3"/>
  <c r="X14" i="3" l="1"/>
  <c r="K45" i="2"/>
  <c r="K42" i="2" s="1"/>
  <c r="J45" i="2"/>
  <c r="J42" i="2" s="1"/>
  <c r="I45" i="2"/>
  <c r="I42" i="2"/>
  <c r="K40" i="2"/>
  <c r="L40" i="2" s="1"/>
  <c r="J40" i="2"/>
  <c r="J38" i="2" s="1"/>
  <c r="I40" i="2"/>
  <c r="I38" i="2"/>
  <c r="K36" i="2"/>
  <c r="L36" i="2" s="1"/>
  <c r="J36" i="2"/>
  <c r="I36" i="2"/>
  <c r="K35" i="2"/>
  <c r="J35" i="2"/>
  <c r="I35" i="2"/>
  <c r="I33" i="2" s="1"/>
  <c r="K31" i="2"/>
  <c r="K29" i="2" s="1"/>
  <c r="J31" i="2"/>
  <c r="I31" i="2"/>
  <c r="I29" i="2" s="1"/>
  <c r="K27" i="2"/>
  <c r="K25" i="2" s="1"/>
  <c r="J27" i="2"/>
  <c r="L27" i="2" s="1"/>
  <c r="I27" i="2"/>
  <c r="I25" i="2" s="1"/>
  <c r="K20" i="2"/>
  <c r="J20" i="2"/>
  <c r="J16" i="2" s="1"/>
  <c r="I20" i="2"/>
  <c r="I16" i="2" s="1"/>
  <c r="K33" i="2" l="1"/>
  <c r="X12" i="3"/>
  <c r="L20" i="2"/>
  <c r="L16" i="2" s="1"/>
  <c r="I23" i="2"/>
  <c r="L31" i="2"/>
  <c r="L29" i="2" s="1"/>
  <c r="L35" i="2"/>
  <c r="M35" i="2" s="1"/>
  <c r="I14" i="2"/>
  <c r="I12" i="2" s="1"/>
  <c r="I47" i="2" s="1"/>
  <c r="I48" i="2" s="1"/>
  <c r="N20" i="2"/>
  <c r="M20" i="2"/>
  <c r="N40" i="2"/>
  <c r="L38" i="2"/>
  <c r="M40" i="2"/>
  <c r="N27" i="2"/>
  <c r="L25" i="2"/>
  <c r="M27" i="2"/>
  <c r="N31" i="2"/>
  <c r="N36" i="2"/>
  <c r="M36" i="2"/>
  <c r="L45" i="2"/>
  <c r="K16" i="2"/>
  <c r="K38" i="2"/>
  <c r="K23" i="2" s="1"/>
  <c r="J25" i="2"/>
  <c r="J29" i="2"/>
  <c r="J33" i="2"/>
  <c r="M31" i="2" l="1"/>
  <c r="X47" i="3"/>
  <c r="X48" i="3" s="1"/>
  <c r="L33" i="2"/>
  <c r="N35" i="2"/>
  <c r="J23" i="2"/>
  <c r="J14" i="2" s="1"/>
  <c r="J12" i="2" s="1"/>
  <c r="J47" i="2" s="1"/>
  <c r="J48" i="2" s="1"/>
  <c r="N25" i="2"/>
  <c r="M25" i="2"/>
  <c r="K14" i="2"/>
  <c r="K12" i="2" s="1"/>
  <c r="K47" i="2" s="1"/>
  <c r="K48" i="2" s="1"/>
  <c r="N29" i="2"/>
  <c r="M29" i="2"/>
  <c r="N16" i="2"/>
  <c r="M16" i="2"/>
  <c r="N33" i="2"/>
  <c r="M33" i="2"/>
  <c r="N45" i="2"/>
  <c r="L42" i="2"/>
  <c r="L23" i="2" s="1"/>
  <c r="M45" i="2"/>
  <c r="N38" i="2"/>
  <c r="M38" i="2"/>
  <c r="N23" i="2" l="1"/>
  <c r="M23" i="2"/>
  <c r="L14" i="2"/>
  <c r="N42" i="2"/>
  <c r="M42" i="2"/>
  <c r="N14" i="2" l="1"/>
  <c r="L12" i="2"/>
  <c r="M14" i="2"/>
  <c r="L47" i="2" l="1"/>
  <c r="N12" i="2"/>
  <c r="M12" i="2"/>
  <c r="N47" i="2" l="1"/>
  <c r="L48" i="2"/>
  <c r="M47" i="2"/>
  <c r="N48" i="2" l="1"/>
  <c r="M48" i="2"/>
  <c r="X27" i="1" l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7" i="1"/>
  <c r="Q27" i="1" l="1"/>
  <c r="T26" i="1"/>
  <c r="AG26" i="1" s="1"/>
  <c r="S26" i="1"/>
  <c r="T25" i="1"/>
  <c r="AG25" i="1" s="1"/>
  <c r="S25" i="1"/>
  <c r="T24" i="1"/>
  <c r="AG24" i="1" s="1"/>
  <c r="S24" i="1"/>
  <c r="T23" i="1"/>
  <c r="AG23" i="1" s="1"/>
  <c r="S23" i="1"/>
  <c r="T22" i="1"/>
  <c r="AG22" i="1" s="1"/>
  <c r="S22" i="1"/>
  <c r="T21" i="1"/>
  <c r="S21" i="1"/>
  <c r="T20" i="1"/>
  <c r="AG20" i="1" s="1"/>
  <c r="S20" i="1"/>
  <c r="T19" i="1"/>
  <c r="AG19" i="1" s="1"/>
  <c r="S19" i="1"/>
  <c r="T18" i="1"/>
  <c r="S18" i="1"/>
  <c r="T17" i="1"/>
  <c r="AG17" i="1" s="1"/>
  <c r="S17" i="1"/>
  <c r="T16" i="1"/>
  <c r="AG16" i="1" s="1"/>
  <c r="S16" i="1"/>
  <c r="T15" i="1"/>
  <c r="AG15" i="1" s="1"/>
  <c r="S15" i="1"/>
  <c r="T14" i="1"/>
  <c r="AG14" i="1" s="1"/>
  <c r="S14" i="1"/>
  <c r="T13" i="1"/>
  <c r="S13" i="1"/>
  <c r="T12" i="1"/>
  <c r="AG12" i="1" s="1"/>
  <c r="S12" i="1"/>
  <c r="T11" i="1"/>
  <c r="AG11" i="1" s="1"/>
  <c r="S11" i="1"/>
  <c r="T10" i="1"/>
  <c r="S10" i="1"/>
  <c r="T9" i="1"/>
  <c r="AG9" i="1" s="1"/>
  <c r="S9" i="1"/>
  <c r="T8" i="1"/>
  <c r="AG8" i="1" s="1"/>
  <c r="T7" i="1"/>
  <c r="AG7" i="1" s="1"/>
  <c r="S7" i="1"/>
  <c r="K27" i="1"/>
  <c r="E27" i="1"/>
  <c r="N26" i="1"/>
  <c r="W26" i="1" s="1"/>
  <c r="M26" i="1"/>
  <c r="J26" i="1"/>
  <c r="G26" i="1"/>
  <c r="D26" i="1"/>
  <c r="N25" i="1"/>
  <c r="W25" i="1" s="1"/>
  <c r="M25" i="1"/>
  <c r="J25" i="1"/>
  <c r="G25" i="1"/>
  <c r="D25" i="1"/>
  <c r="N24" i="1"/>
  <c r="W24" i="1" s="1"/>
  <c r="M24" i="1"/>
  <c r="J24" i="1"/>
  <c r="G24" i="1"/>
  <c r="D24" i="1"/>
  <c r="N23" i="1"/>
  <c r="M23" i="1"/>
  <c r="J23" i="1"/>
  <c r="G23" i="1"/>
  <c r="D23" i="1"/>
  <c r="N22" i="1"/>
  <c r="W22" i="1" s="1"/>
  <c r="M22" i="1"/>
  <c r="J22" i="1"/>
  <c r="G22" i="1"/>
  <c r="D22" i="1"/>
  <c r="N21" i="1"/>
  <c r="M21" i="1"/>
  <c r="J21" i="1"/>
  <c r="G21" i="1"/>
  <c r="D21" i="1"/>
  <c r="N20" i="1"/>
  <c r="W20" i="1" s="1"/>
  <c r="M20" i="1"/>
  <c r="J20" i="1"/>
  <c r="G20" i="1"/>
  <c r="D20" i="1"/>
  <c r="N19" i="1"/>
  <c r="W19" i="1" s="1"/>
  <c r="M19" i="1"/>
  <c r="J19" i="1"/>
  <c r="G19" i="1"/>
  <c r="D19" i="1"/>
  <c r="N18" i="1"/>
  <c r="M18" i="1"/>
  <c r="J18" i="1"/>
  <c r="G18" i="1"/>
  <c r="D18" i="1"/>
  <c r="N17" i="1"/>
  <c r="M17" i="1"/>
  <c r="J17" i="1"/>
  <c r="G17" i="1"/>
  <c r="D17" i="1"/>
  <c r="N16" i="1"/>
  <c r="W16" i="1" s="1"/>
  <c r="M16" i="1"/>
  <c r="J16" i="1"/>
  <c r="G16" i="1"/>
  <c r="D16" i="1"/>
  <c r="N15" i="1"/>
  <c r="M15" i="1"/>
  <c r="J15" i="1"/>
  <c r="G15" i="1"/>
  <c r="D15" i="1"/>
  <c r="N14" i="1"/>
  <c r="W14" i="1" s="1"/>
  <c r="M14" i="1"/>
  <c r="J14" i="1"/>
  <c r="G14" i="1"/>
  <c r="D14" i="1"/>
  <c r="N13" i="1"/>
  <c r="M13" i="1"/>
  <c r="J13" i="1"/>
  <c r="G13" i="1"/>
  <c r="D13" i="1"/>
  <c r="N12" i="1"/>
  <c r="W12" i="1" s="1"/>
  <c r="M12" i="1"/>
  <c r="J12" i="1"/>
  <c r="G12" i="1"/>
  <c r="D12" i="1"/>
  <c r="N11" i="1"/>
  <c r="M11" i="1"/>
  <c r="J11" i="1"/>
  <c r="G11" i="1"/>
  <c r="D11" i="1"/>
  <c r="N10" i="1"/>
  <c r="W10" i="1" s="1"/>
  <c r="M10" i="1"/>
  <c r="J10" i="1"/>
  <c r="G10" i="1"/>
  <c r="D10" i="1"/>
  <c r="N9" i="1"/>
  <c r="M9" i="1"/>
  <c r="J9" i="1"/>
  <c r="G9" i="1"/>
  <c r="D9" i="1"/>
  <c r="N8" i="1"/>
  <c r="W8" i="1" s="1"/>
  <c r="J8" i="1"/>
  <c r="G8" i="1"/>
  <c r="D8" i="1"/>
  <c r="N7" i="1"/>
  <c r="W7" i="1" s="1"/>
  <c r="M7" i="1"/>
  <c r="J7" i="1"/>
  <c r="G7" i="1"/>
  <c r="D7" i="1"/>
  <c r="Y10" i="1" l="1"/>
  <c r="AG10" i="1"/>
  <c r="V14" i="1"/>
  <c r="Y18" i="1"/>
  <c r="AG18" i="1"/>
  <c r="Y13" i="1"/>
  <c r="AG13" i="1"/>
  <c r="V22" i="1"/>
  <c r="Y21" i="1"/>
  <c r="AG21" i="1"/>
  <c r="V8" i="1"/>
  <c r="Y8" i="1"/>
  <c r="V11" i="1"/>
  <c r="Y11" i="1"/>
  <c r="V16" i="1"/>
  <c r="Y16" i="1"/>
  <c r="V19" i="1"/>
  <c r="Y19" i="1"/>
  <c r="V24" i="1"/>
  <c r="Y24" i="1"/>
  <c r="G27" i="1"/>
  <c r="P9" i="1"/>
  <c r="W9" i="1"/>
  <c r="P13" i="1"/>
  <c r="W13" i="1"/>
  <c r="P17" i="1"/>
  <c r="W17" i="1"/>
  <c r="P21" i="1"/>
  <c r="W21" i="1"/>
  <c r="V13" i="1"/>
  <c r="V21" i="1"/>
  <c r="V26" i="1"/>
  <c r="Y26" i="1"/>
  <c r="J27" i="1"/>
  <c r="P18" i="1"/>
  <c r="W18" i="1"/>
  <c r="T27" i="1"/>
  <c r="AG27" i="1" s="1"/>
  <c r="Y7" i="1"/>
  <c r="Y9" i="1"/>
  <c r="V10" i="1"/>
  <c r="V12" i="1"/>
  <c r="Y12" i="1"/>
  <c r="V15" i="1"/>
  <c r="Y15" i="1"/>
  <c r="Y17" i="1"/>
  <c r="V18" i="1"/>
  <c r="V20" i="1"/>
  <c r="Y20" i="1"/>
  <c r="V23" i="1"/>
  <c r="Y23" i="1"/>
  <c r="Y25" i="1"/>
  <c r="P11" i="1"/>
  <c r="W11" i="1"/>
  <c r="P15" i="1"/>
  <c r="W15" i="1"/>
  <c r="P23" i="1"/>
  <c r="W23" i="1"/>
  <c r="V7" i="1"/>
  <c r="V9" i="1"/>
  <c r="Y14" i="1"/>
  <c r="V17" i="1"/>
  <c r="Y22" i="1"/>
  <c r="V25" i="1"/>
  <c r="S27" i="1"/>
  <c r="Q18" i="3" s="1"/>
  <c r="P8" i="1"/>
  <c r="P10" i="1"/>
  <c r="P12" i="1"/>
  <c r="P14" i="1"/>
  <c r="P16" i="1"/>
  <c r="P19" i="1"/>
  <c r="P20" i="1"/>
  <c r="P22" i="1"/>
  <c r="P24" i="1"/>
  <c r="P25" i="1"/>
  <c r="P26" i="1"/>
  <c r="M27" i="1"/>
  <c r="P7" i="1"/>
  <c r="N27" i="1"/>
  <c r="W27" i="1" s="1"/>
  <c r="D27" i="1"/>
  <c r="Q40" i="3" l="1"/>
  <c r="Q35" i="3"/>
  <c r="Q27" i="3"/>
  <c r="Q20" i="3"/>
  <c r="Q45" i="3"/>
  <c r="Q42" i="3" s="1"/>
  <c r="Q31" i="3"/>
  <c r="Q29" i="3" s="1"/>
  <c r="Z21" i="1"/>
  <c r="AH21" i="1"/>
  <c r="Z24" i="1"/>
  <c r="AH24" i="1"/>
  <c r="Z16" i="1"/>
  <c r="AH16" i="1"/>
  <c r="AH8" i="1"/>
  <c r="Z8" i="1"/>
  <c r="Z14" i="1"/>
  <c r="AH14" i="1"/>
  <c r="Z10" i="1"/>
  <c r="AH10" i="1"/>
  <c r="Z26" i="1"/>
  <c r="AH26" i="1"/>
  <c r="Z22" i="1"/>
  <c r="AH22" i="1"/>
  <c r="V27" i="1"/>
  <c r="R18" i="3" s="1"/>
  <c r="Z7" i="1"/>
  <c r="AH7" i="1"/>
  <c r="Z18" i="1"/>
  <c r="AH18" i="1"/>
  <c r="Z13" i="1"/>
  <c r="AH13" i="1"/>
  <c r="Z25" i="1"/>
  <c r="AH25" i="1"/>
  <c r="Z9" i="1"/>
  <c r="AH9" i="1"/>
  <c r="Z17" i="1"/>
  <c r="AH17" i="1"/>
  <c r="Z23" i="1"/>
  <c r="AH23" i="1"/>
  <c r="Z12" i="1"/>
  <c r="AH12" i="1"/>
  <c r="Z19" i="1"/>
  <c r="AH19" i="1"/>
  <c r="Z11" i="1"/>
  <c r="AH11" i="1"/>
  <c r="AH15" i="1"/>
  <c r="Z15" i="1"/>
  <c r="AH27" i="1"/>
  <c r="AH20" i="1"/>
  <c r="Z20" i="1"/>
  <c r="Y27" i="1"/>
  <c r="P27" i="1"/>
  <c r="R27" i="3" l="1"/>
  <c r="R25" i="3" s="1"/>
  <c r="R40" i="3"/>
  <c r="R38" i="3" s="1"/>
  <c r="R45" i="3"/>
  <c r="R31" i="3"/>
  <c r="R20" i="3"/>
  <c r="R16" i="3" s="1"/>
  <c r="R35" i="3"/>
  <c r="R33" i="3" s="1"/>
  <c r="S27" i="3"/>
  <c r="Q25" i="3"/>
  <c r="Q23" i="3" s="1"/>
  <c r="Z27" i="1"/>
  <c r="Q33" i="3"/>
  <c r="S35" i="3"/>
  <c r="S20" i="3"/>
  <c r="Q16" i="3"/>
  <c r="Q14" i="3" s="1"/>
  <c r="Q12" i="3" s="1"/>
  <c r="Q38" i="3"/>
  <c r="S40" i="3"/>
  <c r="T40" i="3" l="1"/>
  <c r="S38" i="3"/>
  <c r="U40" i="3"/>
  <c r="Z40" i="3"/>
  <c r="Y40" i="3"/>
  <c r="U27" i="3"/>
  <c r="S25" i="3"/>
  <c r="T27" i="3"/>
  <c r="Z27" i="3"/>
  <c r="Y27" i="3"/>
  <c r="S45" i="3"/>
  <c r="R42" i="3"/>
  <c r="S16" i="3"/>
  <c r="U20" i="3"/>
  <c r="T20" i="3"/>
  <c r="Y20" i="3"/>
  <c r="Z20" i="3"/>
  <c r="S31" i="3"/>
  <c r="R29" i="3"/>
  <c r="U35" i="3"/>
  <c r="S33" i="3"/>
  <c r="T35" i="3"/>
  <c r="Y35" i="3"/>
  <c r="Z35" i="3"/>
  <c r="U25" i="3" l="1"/>
  <c r="T25" i="3"/>
  <c r="Z25" i="3"/>
  <c r="Y25" i="3"/>
  <c r="U31" i="3"/>
  <c r="T31" i="3"/>
  <c r="S29" i="3"/>
  <c r="S23" i="3" s="1"/>
  <c r="Y31" i="3"/>
  <c r="Z31" i="3"/>
  <c r="U38" i="3"/>
  <c r="T38" i="3"/>
  <c r="Y38" i="3"/>
  <c r="Z38" i="3"/>
  <c r="R23" i="3"/>
  <c r="R14" i="3" s="1"/>
  <c r="R12" i="3" s="1"/>
  <c r="U45" i="3"/>
  <c r="S42" i="3"/>
  <c r="T45" i="3"/>
  <c r="Z45" i="3"/>
  <c r="Y45" i="3"/>
  <c r="T33" i="3"/>
  <c r="U33" i="3"/>
  <c r="Z33" i="3"/>
  <c r="Y33" i="3"/>
  <c r="U16" i="3"/>
  <c r="T16" i="3"/>
  <c r="Y16" i="3"/>
  <c r="Z16" i="3"/>
  <c r="T23" i="3" l="1"/>
  <c r="U23" i="3"/>
  <c r="Z23" i="3"/>
  <c r="Y23" i="3"/>
  <c r="S14" i="3"/>
  <c r="U29" i="3"/>
  <c r="T29" i="3"/>
  <c r="Y29" i="3"/>
  <c r="Z29" i="3"/>
  <c r="U42" i="3"/>
  <c r="T42" i="3"/>
  <c r="Y42" i="3"/>
  <c r="Z42" i="3"/>
  <c r="T14" i="3" l="1"/>
  <c r="S12" i="3"/>
  <c r="U14" i="3"/>
  <c r="Z14" i="3"/>
  <c r="Y14" i="3"/>
  <c r="S47" i="3" l="1"/>
  <c r="S48" i="3" s="1"/>
  <c r="T12" i="3"/>
  <c r="U12" i="3"/>
  <c r="Y12" i="3"/>
  <c r="Z12" i="3"/>
</calcChain>
</file>

<file path=xl/sharedStrings.xml><?xml version="1.0" encoding="utf-8"?>
<sst xmlns="http://schemas.openxmlformats.org/spreadsheetml/2006/main" count="318" uniqueCount="158">
  <si>
    <t>Количество штатных единиц и должностные оклады работников ТФОМС ЛО с 01.01.2021 года</t>
  </si>
  <si>
    <t>Наименование должности</t>
  </si>
  <si>
    <t xml:space="preserve"> ФОТ на 2021 год (действующая редакция Постановления Правительства ЛО от 14.05.12 №154)</t>
  </si>
  <si>
    <t>Для расчета ФОТ на 2021 год
 (утверждено на Правлении Фонда с 01.01.2021)</t>
  </si>
  <si>
    <t xml:space="preserve">Кол-во единиц </t>
  </si>
  <si>
    <t>Оклады  (рублей)</t>
  </si>
  <si>
    <t>Месячный ФОТ по окладам (рублей)</t>
  </si>
  <si>
    <t>Оклады, индексация
на 1,04  (рублей)</t>
  </si>
  <si>
    <t>Оклады
 (рублей)</t>
  </si>
  <si>
    <t>Директор</t>
  </si>
  <si>
    <t>Первый заместитель директора</t>
  </si>
  <si>
    <t>Помощник директора</t>
  </si>
  <si>
    <t xml:space="preserve">Главный бухгалтер </t>
  </si>
  <si>
    <t>Начальник департамента (с 01.04.2021 - Заместитель директора - начальник департамента)</t>
  </si>
  <si>
    <t>Начальник отдела</t>
  </si>
  <si>
    <t>Заместитель главного бухгалтера</t>
  </si>
  <si>
    <t>Заместитель начальника департамента</t>
  </si>
  <si>
    <t>Заместитель начальника отдела</t>
  </si>
  <si>
    <t>Начальник сектора</t>
  </si>
  <si>
    <t xml:space="preserve">Главный специалист </t>
  </si>
  <si>
    <t>Юрисконсульт</t>
  </si>
  <si>
    <t>Главный специалист - врач-эксперт</t>
  </si>
  <si>
    <t>Ведущий специалист</t>
  </si>
  <si>
    <t xml:space="preserve">Управляющий филиалом </t>
  </si>
  <si>
    <t>Главный специалист - врач-эксперт филиала Фонда</t>
  </si>
  <si>
    <t xml:space="preserve">Главный специалист филиала Фонда                                      </t>
  </si>
  <si>
    <t>Ведущий специалист филиала Фонда</t>
  </si>
  <si>
    <t>Водитель-механик</t>
  </si>
  <si>
    <t>Водитель служебного а/м</t>
  </si>
  <si>
    <t>ИТОГО</t>
  </si>
  <si>
    <t xml:space="preserve"> ФОТ на 2021 год (действующая редакция Постановления Правительства ЛО от 14.05.12 №154)
 ( с 01.04.2021)</t>
  </si>
  <si>
    <t xml:space="preserve"> ФОТ на 2021 год (действующая редакция Постановления Правительства ЛО от 14.05.12 №154)
 ( с 01.09.2021)</t>
  </si>
  <si>
    <t xml:space="preserve"> ФОТ на 2022 год (проект с 01.01.2022)</t>
  </si>
  <si>
    <t xml:space="preserve"> ФОТ на 2022 год (проект с 01.09.2022)</t>
  </si>
  <si>
    <t>Отклонения ФОТ на 2022 год (с 01.01.2022) от ФОТ на 2021 год (действующая редакция)</t>
  </si>
  <si>
    <t>Приложение 3</t>
  </si>
  <si>
    <t>РАСЧЕТ ФОНДА ОПЛАТЫ ТРУДА РАБОТНИКОВ 
ТЕРРИТОРИАЛЬНОГО ФОНДА ОБЯЗАТЕЛЬНОГО МЕДИЦИНСКОГО СТРАХОВАНИЯ ЛЕНИНГРАДСКОЙ ОБЛАСТИ 
НА 2022 ГОД</t>
  </si>
  <si>
    <t>(руб.)</t>
  </si>
  <si>
    <t>Фонд оплаты труда
 на 2021
 (Постановление Правительства Ленинградской области от 05.08.2020 №542)</t>
  </si>
  <si>
    <t>Фонд оплаты труда
 на 2022
 (период январь-август 2022 г.)</t>
  </si>
  <si>
    <t>Фонд оплаты труда
 на 2022
 (период сентябрь-декабрь 2022 г.)</t>
  </si>
  <si>
    <t>Фонд оплаты труда
 на 2022
 (период январь-декабрь 2022 г.)</t>
  </si>
  <si>
    <t>Отклонение</t>
  </si>
  <si>
    <t>%</t>
  </si>
  <si>
    <t>6=4+5</t>
  </si>
  <si>
    <t>7=6-3</t>
  </si>
  <si>
    <t>8=6/3</t>
  </si>
  <si>
    <t>1.</t>
  </si>
  <si>
    <t>Заработная плата</t>
  </si>
  <si>
    <t>1.1.</t>
  </si>
  <si>
    <t xml:space="preserve">Оклад </t>
  </si>
  <si>
    <t>Месячный фонд оплаты труда по должностным окладам</t>
  </si>
  <si>
    <t xml:space="preserve">Годовой фонд оплаты труда </t>
  </si>
  <si>
    <t>1.2.</t>
  </si>
  <si>
    <t xml:space="preserve">Надбавки к заработной плате, дополнительная оплата труда, </t>
  </si>
  <si>
    <t xml:space="preserve">прочие денежные выплаты </t>
  </si>
  <si>
    <t>1.2.1.Надбавка за особые условия службы</t>
  </si>
  <si>
    <t>14 должностных окладов в год</t>
  </si>
  <si>
    <t>1.2.2.Выслуга</t>
  </si>
  <si>
    <t>3 должностных оклада в год</t>
  </si>
  <si>
    <t>1.2.3.Премирование</t>
  </si>
  <si>
    <t>АУП (16 должностных окладов в год)</t>
  </si>
  <si>
    <t>водители (11 должностных окладов в год)</t>
  </si>
  <si>
    <t>1.2.4.Премия за особо важные задания и поручения</t>
  </si>
  <si>
    <t>Премия за особо важные задания и поручения (2 должностных оклада в год)</t>
  </si>
  <si>
    <t xml:space="preserve">1.2.5. Единовременная выплата при предоставлении </t>
  </si>
  <si>
    <t>ежегодного оплачиваемого отпуска и материальная помощь</t>
  </si>
  <si>
    <t>2.</t>
  </si>
  <si>
    <t>Начисления на выплаты по оплате труда</t>
  </si>
  <si>
    <t>3.</t>
  </si>
  <si>
    <t>Итого оплата труда и начисления на выплты по оплате труда</t>
  </si>
  <si>
    <t xml:space="preserve"> ФОТ на 2023 год (проект с 01.01.2023)</t>
  </si>
  <si>
    <t xml:space="preserve"> ФОТ на 2023 год (проект с 01.09.2023)</t>
  </si>
  <si>
    <t>Отклонения с учетом индексации с 01.09.2022</t>
  </si>
  <si>
    <t>Отклонения ФОТ на 2023 год (с 01.01.2023) от ФОТ на 2022 год</t>
  </si>
  <si>
    <t>Отклонения с учетом индексации с 01.09.2023</t>
  </si>
  <si>
    <t>Фонд оплаты труда
 на 2021
 (Постановление Правительства Ленинградской области от 10.12.2020 №814)</t>
  </si>
  <si>
    <t>Фонд оплаты труда
 на 2021
 (период январь-август 2021 г.)
 (Постановление Правительства Ленинградской области от 10.12.2020 №814)</t>
  </si>
  <si>
    <t>Фонд оплаты труда
 на 2021
 (период сентябрь-декабрь 2021 г.)
 (Постановление Правительства Ленинградской области от 10.12.2020 №814)</t>
  </si>
  <si>
    <t>Фонд оплаты труда
 на 2021
 (период январь-декабрь 2021 г.)
 (Постановление Правительства Ленинградской области от 10.12.2020 №814)</t>
  </si>
  <si>
    <t>5=3+4</t>
  </si>
  <si>
    <t>9=6+7+8</t>
  </si>
  <si>
    <t xml:space="preserve">
Фонд оплаты труда
 на 2021
 (период январь-март 2021 г.)</t>
  </si>
  <si>
    <t xml:space="preserve">
Фонд оплаты труда
 на 2021
 (период апрель-август 2021 г.)</t>
  </si>
  <si>
    <t xml:space="preserve">
Фонд оплаты труда
 на 2021
 (период сентябрь-декабрь 2021 г.)</t>
  </si>
  <si>
    <t xml:space="preserve">
Фонд оплаты труда
 на 2021
 (период январь-декабрь 2021 г.)</t>
  </si>
  <si>
    <t>13=12-9</t>
  </si>
  <si>
    <t>14=12/9</t>
  </si>
  <si>
    <t>Отклонение
2022-2021</t>
  </si>
  <si>
    <t xml:space="preserve">РАСЧЕТ ФОНДА ОПЛАТЫ ТРУДА РАБОТНИКОВ 
ТЕРРИТОРИАЛЬНОГО ФОНДА ОБЯЗАТЕЛЬНОГО МЕДИЦИНСКОГО СТРАХОВАНИЯ ЛЕНИНГРАДСКОЙ ОБЛАСТИ 
</t>
  </si>
  <si>
    <t>Фонд оплаты труда
 на 2023
 (период январь-август 2023 г.)</t>
  </si>
  <si>
    <t>Фонд оплаты труда
 на 2023
 (период сентябрь-декабрь 2023 г.)</t>
  </si>
  <si>
    <t>Фонд оплаты труда
 на 2023
 (период январь-декабрь 2023 г.)</t>
  </si>
  <si>
    <t>Отклонение
2023-2022</t>
  </si>
  <si>
    <t>18=17-12</t>
  </si>
  <si>
    <t>19=17/12</t>
  </si>
  <si>
    <t>Приложение 1</t>
  </si>
  <si>
    <t xml:space="preserve">Приложение </t>
  </si>
  <si>
    <t>Проект</t>
  </si>
  <si>
    <t>Утверждено</t>
  </si>
  <si>
    <t>приказом ТФОМС ЛО</t>
  </si>
  <si>
    <t>от "______"__________ 201__ года №_______</t>
  </si>
  <si>
    <t>от "______"__________ 2021 года №_______</t>
  </si>
  <si>
    <t>Штат в количестве 118 единиц</t>
  </si>
  <si>
    <t>Штат в количестве 123 единиц</t>
  </si>
  <si>
    <t xml:space="preserve"> ШТАТНОЕ РАСПИСАНИЕ</t>
  </si>
  <si>
    <t>Территориального фонда обязательного медицинского страхования Ленинградской области</t>
  </si>
  <si>
    <t>на период действия с 01 сентября  2021 года</t>
  </si>
  <si>
    <t>Количество штатных единиц</t>
  </si>
  <si>
    <t>Должностной оклад, рублей</t>
  </si>
  <si>
    <t>Месячный фонд по должностным окладам, рублей</t>
  </si>
  <si>
    <t xml:space="preserve"> Директор</t>
  </si>
  <si>
    <t>Первый заместитель  директора</t>
  </si>
  <si>
    <t>Итого</t>
  </si>
  <si>
    <t>Бухгалтерия</t>
  </si>
  <si>
    <t>Главный бухгалтер (*)</t>
  </si>
  <si>
    <t>Главный специалист-бухгалтер</t>
  </si>
  <si>
    <t>Ведущий специалист-бухгалтер</t>
  </si>
  <si>
    <t>Итого по отделу</t>
  </si>
  <si>
    <t>Департамент финансово-экономической деятельности и учета поступлений финансовых средств ОМС</t>
  </si>
  <si>
    <t>Заместитель директора - начальник департамента</t>
  </si>
  <si>
    <t>Отдел межтерриториальных расчетов, финансирования и планирования</t>
  </si>
  <si>
    <t>Главный специалист</t>
  </si>
  <si>
    <t>Отдел учета поступлений финансовых средств ОМС и взаимодействия со СМО</t>
  </si>
  <si>
    <t>Итого по департаменту</t>
  </si>
  <si>
    <t>Юридический отдел</t>
  </si>
  <si>
    <t>Юрисконсульт (**)</t>
  </si>
  <si>
    <t>Департамент организации обязательного медицинского страхования</t>
  </si>
  <si>
    <t>Заместитель начальника департамента, врач-эксперт</t>
  </si>
  <si>
    <t>Отдел контроля качества медицинской помощи и защиты прав застрахованных</t>
  </si>
  <si>
    <t>Отдел планирования и мониторинга территориальной программы ОМС</t>
  </si>
  <si>
    <t>Отдел информационной безопасности</t>
  </si>
  <si>
    <t>Отдел информационных технологий</t>
  </si>
  <si>
    <t>Общий отдел</t>
  </si>
  <si>
    <t>Сектор закупок</t>
  </si>
  <si>
    <t>Главный специалист по закупкам</t>
  </si>
  <si>
    <t>Контрольно-ревизионный отдел</t>
  </si>
  <si>
    <t>Всего по исполнительной дирекции</t>
  </si>
  <si>
    <t xml:space="preserve">(*) Должностной оклад главного бухгалтера установлен по должности начальника отдела </t>
  </si>
  <si>
    <t>(**) Должностной оклад и другие условия оплаты труда юрисконсульта установлены по должности главного специалиста</t>
  </si>
  <si>
    <t>Филиалы ТФОМС ЛО</t>
  </si>
  <si>
    <t xml:space="preserve">Межрайонный Выборгский филиал </t>
  </si>
  <si>
    <t>Управляющий филиалом</t>
  </si>
  <si>
    <t>Водитель  а/м</t>
  </si>
  <si>
    <t>Итого по филиалу</t>
  </si>
  <si>
    <t xml:space="preserve">Межрайонный Волховский филиал  </t>
  </si>
  <si>
    <t xml:space="preserve">Межрайонный Всеволожский филиал  </t>
  </si>
  <si>
    <t xml:space="preserve">Межрайонный Гатчинский филиал  </t>
  </si>
  <si>
    <t>Межрайонный Кировский филиал</t>
  </si>
  <si>
    <t xml:space="preserve">Межрайонный Кингисеппский филиал </t>
  </si>
  <si>
    <t>Итого по Филиалам</t>
  </si>
  <si>
    <t>Всего по Фонду</t>
  </si>
  <si>
    <t>О.А. Воробьёва</t>
  </si>
  <si>
    <t>А.Н. Алексеев</t>
  </si>
  <si>
    <t>(расшифровка)</t>
  </si>
  <si>
    <t>Начальник общего отдела</t>
  </si>
  <si>
    <t>Главный бухгалтер</t>
  </si>
  <si>
    <t>А.Г. Анточ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</si>
</sst>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(* #,##0.00_);_(* \(#,##0.00\);_(* &quot;-&quot;??_);_(@_)"/>
    <numFmt numFmtId="165" formatCode="_-* #,##0.00_р_._-;\-* #,##0.00_р_._-;_-* &quot;-&quot;??_р_._-;_-@_-"/>
    <numFmt numFmtId="166" formatCode="0.0%"/>
    <numFmt numFmtId="167" formatCode="0.00000"/>
  </numFmts>
  <fonts count="28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4" tint="-0.49998474074526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</font>
    <font>
      <i/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0" fontId="10" fillId="0" borderId="0"/>
    <xf numFmtId="165" fontId="10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center" wrapText="1"/>
    </xf>
    <xf numFmtId="165" fontId="5" fillId="0" borderId="18" xfId="1" applyNumberFormat="1" applyFont="1" applyFill="1" applyBorder="1" applyAlignment="1">
      <alignment horizontal="center" wrapText="1"/>
    </xf>
    <xf numFmtId="43" fontId="5" fillId="0" borderId="17" xfId="0" applyNumberFormat="1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center" wrapText="1"/>
    </xf>
    <xf numFmtId="165" fontId="5" fillId="0" borderId="10" xfId="1" applyNumberFormat="1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165" fontId="5" fillId="2" borderId="10" xfId="1" applyNumberFormat="1" applyFont="1" applyFill="1" applyBorder="1" applyAlignment="1">
      <alignment horizontal="center" wrapText="1"/>
    </xf>
    <xf numFmtId="43" fontId="5" fillId="2" borderId="17" xfId="0" applyNumberFormat="1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 vertical="center" wrapText="1"/>
    </xf>
    <xf numFmtId="165" fontId="5" fillId="0" borderId="10" xfId="1" applyNumberFormat="1" applyFont="1" applyFill="1" applyBorder="1" applyAlignment="1">
      <alignment horizontal="center" vertical="center" wrapText="1"/>
    </xf>
    <xf numFmtId="43" fontId="5" fillId="0" borderId="17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165" fontId="5" fillId="2" borderId="10" xfId="1" applyNumberFormat="1" applyFont="1" applyFill="1" applyBorder="1" applyAlignment="1">
      <alignment horizontal="center" vertical="center" wrapText="1"/>
    </xf>
    <xf numFmtId="43" fontId="5" fillId="2" borderId="17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5" fillId="0" borderId="20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center" wrapText="1"/>
    </xf>
    <xf numFmtId="165" fontId="5" fillId="0" borderId="22" xfId="1" applyNumberFormat="1" applyFont="1" applyFill="1" applyBorder="1" applyAlignment="1">
      <alignment horizontal="center" wrapText="1"/>
    </xf>
    <xf numFmtId="43" fontId="5" fillId="0" borderId="6" xfId="0" applyNumberFormat="1" applyFont="1" applyFill="1" applyBorder="1" applyAlignment="1">
      <alignment horizontal="center" wrapText="1"/>
    </xf>
    <xf numFmtId="0" fontId="8" fillId="0" borderId="23" xfId="0" applyFont="1" applyFill="1" applyBorder="1" applyAlignment="1">
      <alignment wrapText="1"/>
    </xf>
    <xf numFmtId="0" fontId="8" fillId="0" borderId="24" xfId="0" applyFont="1" applyFill="1" applyBorder="1" applyAlignment="1">
      <alignment horizontal="center" wrapText="1"/>
    </xf>
    <xf numFmtId="43" fontId="8" fillId="0" borderId="24" xfId="0" applyNumberFormat="1" applyFont="1" applyFill="1" applyBorder="1" applyAlignment="1">
      <alignment horizontal="center" wrapText="1"/>
    </xf>
    <xf numFmtId="165" fontId="1" fillId="0" borderId="0" xfId="0" applyNumberFormat="1" applyFont="1"/>
    <xf numFmtId="43" fontId="1" fillId="0" borderId="0" xfId="0" applyNumberFormat="1" applyFont="1"/>
    <xf numFmtId="0" fontId="5" fillId="3" borderId="7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center" wrapText="1"/>
    </xf>
    <xf numFmtId="165" fontId="5" fillId="3" borderId="10" xfId="1" applyNumberFormat="1" applyFont="1" applyFill="1" applyBorder="1" applyAlignment="1">
      <alignment horizontal="center" wrapText="1"/>
    </xf>
    <xf numFmtId="43" fontId="5" fillId="3" borderId="17" xfId="0" applyNumberFormat="1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 wrapText="1"/>
    </xf>
    <xf numFmtId="0" fontId="1" fillId="3" borderId="0" xfId="0" applyFont="1" applyFill="1"/>
    <xf numFmtId="0" fontId="7" fillId="3" borderId="0" xfId="0" applyFont="1" applyFill="1"/>
    <xf numFmtId="43" fontId="5" fillId="0" borderId="24" xfId="0" applyNumberFormat="1" applyFont="1" applyFill="1" applyBorder="1" applyAlignment="1">
      <alignment horizontal="center" wrapText="1"/>
    </xf>
    <xf numFmtId="0" fontId="6" fillId="2" borderId="0" xfId="2" applyFill="1" applyBorder="1"/>
    <xf numFmtId="0" fontId="9" fillId="2" borderId="0" xfId="2" applyFont="1" applyFill="1" applyBorder="1" applyAlignment="1">
      <alignment horizontal="right"/>
    </xf>
    <xf numFmtId="0" fontId="6" fillId="0" borderId="0" xfId="2"/>
    <xf numFmtId="0" fontId="12" fillId="2" borderId="0" xfId="3" applyFont="1" applyFill="1" applyBorder="1" applyAlignment="1">
      <alignment horizontal="center" wrapText="1"/>
    </xf>
    <xf numFmtId="0" fontId="6" fillId="2" borderId="0" xfId="2" applyFill="1"/>
    <xf numFmtId="0" fontId="13" fillId="2" borderId="26" xfId="3" applyFont="1" applyFill="1" applyBorder="1" applyAlignment="1">
      <alignment horizontal="right"/>
    </xf>
    <xf numFmtId="0" fontId="13" fillId="2" borderId="0" xfId="3" applyFont="1" applyFill="1" applyBorder="1" applyAlignment="1">
      <alignment horizontal="center"/>
    </xf>
    <xf numFmtId="0" fontId="13" fillId="2" borderId="0" xfId="3" applyFont="1" applyFill="1" applyBorder="1" applyAlignment="1">
      <alignment horizontal="center" vertical="center"/>
    </xf>
    <xf numFmtId="1" fontId="13" fillId="2" borderId="27" xfId="3" applyNumberFormat="1" applyFont="1" applyFill="1" applyBorder="1"/>
    <xf numFmtId="1" fontId="13" fillId="2" borderId="31" xfId="3" applyNumberFormat="1" applyFont="1" applyFill="1" applyBorder="1"/>
    <xf numFmtId="1" fontId="13" fillId="2" borderId="34" xfId="3" applyNumberFormat="1" applyFont="1" applyFill="1" applyBorder="1"/>
    <xf numFmtId="1" fontId="13" fillId="2" borderId="8" xfId="3" applyNumberFormat="1" applyFont="1" applyFill="1" applyBorder="1" applyAlignment="1">
      <alignment horizontal="center"/>
    </xf>
    <xf numFmtId="3" fontId="13" fillId="2" borderId="8" xfId="3" applyNumberFormat="1" applyFont="1" applyFill="1" applyBorder="1" applyAlignment="1">
      <alignment horizontal="center"/>
    </xf>
    <xf numFmtId="3" fontId="13" fillId="4" borderId="8" xfId="3" applyNumberFormat="1" applyFont="1" applyFill="1" applyBorder="1" applyAlignment="1">
      <alignment horizontal="center"/>
    </xf>
    <xf numFmtId="3" fontId="13" fillId="2" borderId="34" xfId="3" applyNumberFormat="1" applyFont="1" applyFill="1" applyBorder="1" applyAlignment="1">
      <alignment horizontal="center"/>
    </xf>
    <xf numFmtId="1" fontId="11" fillId="2" borderId="8" xfId="3" applyNumberFormat="1" applyFont="1" applyFill="1" applyBorder="1"/>
    <xf numFmtId="0" fontId="11" fillId="2" borderId="9" xfId="3" applyFont="1" applyFill="1" applyBorder="1"/>
    <xf numFmtId="0" fontId="11" fillId="2" borderId="25" xfId="3" applyFont="1" applyFill="1" applyBorder="1"/>
    <xf numFmtId="4" fontId="11" fillId="2" borderId="8" xfId="4" applyNumberFormat="1" applyFont="1" applyFill="1" applyBorder="1" applyAlignment="1">
      <alignment horizontal="center"/>
    </xf>
    <xf numFmtId="4" fontId="11" fillId="4" borderId="8" xfId="4" applyNumberFormat="1" applyFont="1" applyFill="1" applyBorder="1" applyAlignment="1">
      <alignment horizontal="center"/>
    </xf>
    <xf numFmtId="166" fontId="11" fillId="2" borderId="8" xfId="5" applyNumberFormat="1" applyFont="1" applyFill="1" applyBorder="1" applyAlignment="1">
      <alignment horizontal="center"/>
    </xf>
    <xf numFmtId="4" fontId="6" fillId="0" borderId="0" xfId="2" applyNumberFormat="1"/>
    <xf numFmtId="0" fontId="12" fillId="2" borderId="32" xfId="3" applyFont="1" applyFill="1" applyBorder="1"/>
    <xf numFmtId="0" fontId="12" fillId="2" borderId="0" xfId="3" applyFont="1" applyFill="1" applyBorder="1"/>
    <xf numFmtId="0" fontId="13" fillId="2" borderId="0" xfId="3" applyFont="1" applyFill="1" applyBorder="1"/>
    <xf numFmtId="4" fontId="12" fillId="2" borderId="31" xfId="4" applyNumberFormat="1" applyFont="1" applyFill="1" applyBorder="1" applyAlignment="1">
      <alignment horizontal="center"/>
    </xf>
    <xf numFmtId="4" fontId="12" fillId="4" borderId="31" xfId="4" applyNumberFormat="1" applyFont="1" applyFill="1" applyBorder="1" applyAlignment="1">
      <alignment horizontal="center"/>
    </xf>
    <xf numFmtId="1" fontId="12" fillId="2" borderId="31" xfId="3" applyNumberFormat="1" applyFont="1" applyFill="1" applyBorder="1"/>
    <xf numFmtId="166" fontId="12" fillId="2" borderId="31" xfId="5" applyNumberFormat="1" applyFont="1" applyFill="1" applyBorder="1" applyAlignment="1">
      <alignment horizontal="center"/>
    </xf>
    <xf numFmtId="4" fontId="13" fillId="2" borderId="31" xfId="4" applyNumberFormat="1" applyFont="1" applyFill="1" applyBorder="1" applyAlignment="1">
      <alignment horizontal="center"/>
    </xf>
    <xf numFmtId="4" fontId="13" fillId="4" borderId="31" xfId="4" applyNumberFormat="1" applyFont="1" applyFill="1" applyBorder="1" applyAlignment="1">
      <alignment horizontal="center"/>
    </xf>
    <xf numFmtId="166" fontId="13" fillId="2" borderId="31" xfId="5" applyNumberFormat="1" applyFont="1" applyFill="1" applyBorder="1" applyAlignment="1">
      <alignment horizontal="center"/>
    </xf>
    <xf numFmtId="0" fontId="15" fillId="2" borderId="32" xfId="3" applyFont="1" applyFill="1" applyBorder="1"/>
    <xf numFmtId="0" fontId="15" fillId="2" borderId="0" xfId="3" applyFont="1" applyFill="1" applyBorder="1"/>
    <xf numFmtId="0" fontId="13" fillId="2" borderId="32" xfId="3" applyFont="1" applyFill="1" applyBorder="1"/>
    <xf numFmtId="0" fontId="12" fillId="2" borderId="0" xfId="3" applyFont="1" applyFill="1" applyBorder="1" applyAlignment="1">
      <alignment horizontal="center"/>
    </xf>
    <xf numFmtId="4" fontId="1" fillId="2" borderId="31" xfId="4" applyNumberFormat="1" applyFont="1" applyFill="1" applyBorder="1" applyAlignment="1">
      <alignment horizontal="center"/>
    </xf>
    <xf numFmtId="4" fontId="1" fillId="4" borderId="31" xfId="4" applyNumberFormat="1" applyFont="1" applyFill="1" applyBorder="1" applyAlignment="1">
      <alignment horizontal="center"/>
    </xf>
    <xf numFmtId="166" fontId="1" fillId="2" borderId="31" xfId="5" applyNumberFormat="1" applyFont="1" applyFill="1" applyBorder="1" applyAlignment="1">
      <alignment horizontal="center"/>
    </xf>
    <xf numFmtId="0" fontId="16" fillId="2" borderId="32" xfId="3" applyFont="1" applyFill="1" applyBorder="1"/>
    <xf numFmtId="0" fontId="13" fillId="2" borderId="35" xfId="3" applyFont="1" applyFill="1" applyBorder="1"/>
    <xf numFmtId="0" fontId="13" fillId="2" borderId="26" xfId="3" applyFont="1" applyFill="1" applyBorder="1"/>
    <xf numFmtId="4" fontId="13" fillId="2" borderId="34" xfId="4" applyNumberFormat="1" applyFont="1" applyFill="1" applyBorder="1" applyAlignment="1">
      <alignment horizontal="center"/>
    </xf>
    <xf numFmtId="4" fontId="13" fillId="4" borderId="34" xfId="4" applyNumberFormat="1" applyFont="1" applyFill="1" applyBorder="1" applyAlignment="1">
      <alignment horizontal="center"/>
    </xf>
    <xf numFmtId="166" fontId="13" fillId="2" borderId="34" xfId="5" applyNumberFormat="1" applyFont="1" applyFill="1" applyBorder="1" applyAlignment="1">
      <alignment horizontal="center"/>
    </xf>
    <xf numFmtId="1" fontId="17" fillId="0" borderId="8" xfId="3" applyNumberFormat="1" applyFont="1" applyBorder="1"/>
    <xf numFmtId="4" fontId="17" fillId="2" borderId="34" xfId="4" applyNumberFormat="1" applyFont="1" applyFill="1" applyBorder="1" applyAlignment="1">
      <alignment horizontal="center"/>
    </xf>
    <xf numFmtId="4" fontId="17" fillId="4" borderId="34" xfId="4" applyNumberFormat="1" applyFont="1" applyFill="1" applyBorder="1" applyAlignment="1">
      <alignment horizontal="center"/>
    </xf>
    <xf numFmtId="166" fontId="17" fillId="2" borderId="34" xfId="5" applyNumberFormat="1" applyFont="1" applyFill="1" applyBorder="1" applyAlignment="1">
      <alignment horizontal="center"/>
    </xf>
    <xf numFmtId="1" fontId="17" fillId="0" borderId="0" xfId="3" applyNumberFormat="1" applyFont="1" applyBorder="1"/>
    <xf numFmtId="0" fontId="13" fillId="0" borderId="0" xfId="3" applyFont="1"/>
    <xf numFmtId="164" fontId="0" fillId="0" borderId="0" xfId="1" applyFont="1"/>
    <xf numFmtId="43" fontId="6" fillId="0" borderId="0" xfId="2" applyNumberFormat="1"/>
    <xf numFmtId="0" fontId="13" fillId="2" borderId="0" xfId="3" applyFont="1" applyFill="1" applyBorder="1" applyAlignment="1">
      <alignment horizontal="right"/>
    </xf>
    <xf numFmtId="1" fontId="13" fillId="2" borderId="38" xfId="3" applyNumberFormat="1" applyFont="1" applyFill="1" applyBorder="1"/>
    <xf numFmtId="1" fontId="13" fillId="2" borderId="44" xfId="3" applyNumberFormat="1" applyFont="1" applyFill="1" applyBorder="1"/>
    <xf numFmtId="1" fontId="13" fillId="2" borderId="16" xfId="3" applyNumberFormat="1" applyFont="1" applyFill="1" applyBorder="1"/>
    <xf numFmtId="1" fontId="13" fillId="2" borderId="7" xfId="3" applyNumberFormat="1" applyFont="1" applyFill="1" applyBorder="1" applyAlignment="1">
      <alignment horizontal="center"/>
    </xf>
    <xf numFmtId="1" fontId="11" fillId="2" borderId="7" xfId="3" applyNumberFormat="1" applyFont="1" applyFill="1" applyBorder="1"/>
    <xf numFmtId="1" fontId="12" fillId="2" borderId="44" xfId="3" applyNumberFormat="1" applyFont="1" applyFill="1" applyBorder="1"/>
    <xf numFmtId="4" fontId="13" fillId="0" borderId="31" xfId="4" applyNumberFormat="1" applyFont="1" applyFill="1" applyBorder="1" applyAlignment="1">
      <alignment horizontal="center"/>
    </xf>
    <xf numFmtId="1" fontId="13" fillId="2" borderId="46" xfId="3" applyNumberFormat="1" applyFont="1" applyFill="1" applyBorder="1"/>
    <xf numFmtId="0" fontId="13" fillId="2" borderId="47" xfId="3" applyFont="1" applyFill="1" applyBorder="1"/>
    <xf numFmtId="0" fontId="13" fillId="2" borderId="48" xfId="3" applyFont="1" applyFill="1" applyBorder="1"/>
    <xf numFmtId="4" fontId="13" fillId="2" borderId="49" xfId="4" applyNumberFormat="1" applyFont="1" applyFill="1" applyBorder="1" applyAlignment="1">
      <alignment horizontal="center"/>
    </xf>
    <xf numFmtId="1" fontId="17" fillId="0" borderId="34" xfId="3" applyNumberFormat="1" applyFont="1" applyBorder="1"/>
    <xf numFmtId="10" fontId="17" fillId="2" borderId="34" xfId="5" applyNumberFormat="1" applyFont="1" applyFill="1" applyBorder="1" applyAlignment="1">
      <alignment horizontal="center"/>
    </xf>
    <xf numFmtId="10" fontId="11" fillId="2" borderId="8" xfId="5" applyNumberFormat="1" applyFont="1" applyFill="1" applyBorder="1" applyAlignment="1">
      <alignment horizontal="center"/>
    </xf>
    <xf numFmtId="4" fontId="11" fillId="4" borderId="9" xfId="4" applyNumberFormat="1" applyFont="1" applyFill="1" applyBorder="1" applyAlignment="1">
      <alignment horizontal="center"/>
    </xf>
    <xf numFmtId="4" fontId="12" fillId="4" borderId="32" xfId="4" applyNumberFormat="1" applyFont="1" applyFill="1" applyBorder="1" applyAlignment="1">
      <alignment horizontal="center"/>
    </xf>
    <xf numFmtId="4" fontId="13" fillId="4" borderId="32" xfId="4" applyNumberFormat="1" applyFont="1" applyFill="1" applyBorder="1" applyAlignment="1">
      <alignment horizontal="center"/>
    </xf>
    <xf numFmtId="4" fontId="1" fillId="4" borderId="32" xfId="4" applyNumberFormat="1" applyFont="1" applyFill="1" applyBorder="1" applyAlignment="1">
      <alignment horizontal="center"/>
    </xf>
    <xf numFmtId="3" fontId="13" fillId="2" borderId="27" xfId="3" applyNumberFormat="1" applyFont="1" applyFill="1" applyBorder="1" applyAlignment="1">
      <alignment horizontal="center"/>
    </xf>
    <xf numFmtId="3" fontId="13" fillId="2" borderId="45" xfId="3" applyNumberFormat="1" applyFont="1" applyFill="1" applyBorder="1" applyAlignment="1">
      <alignment horizontal="center"/>
    </xf>
    <xf numFmtId="4" fontId="13" fillId="2" borderId="47" xfId="4" applyNumberFormat="1" applyFont="1" applyFill="1" applyBorder="1" applyAlignment="1">
      <alignment horizontal="center"/>
    </xf>
    <xf numFmtId="10" fontId="11" fillId="2" borderId="6" xfId="5" applyNumberFormat="1" applyFont="1" applyFill="1" applyBorder="1" applyAlignment="1">
      <alignment horizontal="center"/>
    </xf>
    <xf numFmtId="10" fontId="13" fillId="2" borderId="11" xfId="5" applyNumberFormat="1" applyFont="1" applyFill="1" applyBorder="1" applyAlignment="1">
      <alignment horizontal="center"/>
    </xf>
    <xf numFmtId="4" fontId="11" fillId="2" borderId="1" xfId="4" applyNumberFormat="1" applyFont="1" applyFill="1" applyBorder="1" applyAlignment="1">
      <alignment horizontal="center"/>
    </xf>
    <xf numFmtId="4" fontId="11" fillId="2" borderId="6" xfId="4" applyNumberFormat="1" applyFont="1" applyFill="1" applyBorder="1" applyAlignment="1">
      <alignment horizontal="center"/>
    </xf>
    <xf numFmtId="4" fontId="13" fillId="2" borderId="11" xfId="4" applyNumberFormat="1" applyFont="1" applyFill="1" applyBorder="1" applyAlignment="1">
      <alignment horizontal="center"/>
    </xf>
    <xf numFmtId="4" fontId="11" fillId="2" borderId="24" xfId="4" applyNumberFormat="1" applyFont="1" applyFill="1" applyBorder="1" applyAlignment="1">
      <alignment horizontal="center"/>
    </xf>
    <xf numFmtId="10" fontId="11" fillId="2" borderId="24" xfId="5" applyNumberFormat="1" applyFont="1" applyFill="1" applyBorder="1" applyAlignment="1">
      <alignment horizontal="center"/>
    </xf>
    <xf numFmtId="3" fontId="13" fillId="7" borderId="27" xfId="3" applyNumberFormat="1" applyFont="1" applyFill="1" applyBorder="1" applyAlignment="1">
      <alignment horizontal="center"/>
    </xf>
    <xf numFmtId="4" fontId="11" fillId="7" borderId="23" xfId="4" applyNumberFormat="1" applyFont="1" applyFill="1" applyBorder="1" applyAlignment="1">
      <alignment horizontal="center"/>
    </xf>
    <xf numFmtId="4" fontId="11" fillId="7" borderId="51" xfId="4" applyNumberFormat="1" applyFont="1" applyFill="1" applyBorder="1" applyAlignment="1">
      <alignment horizontal="center"/>
    </xf>
    <xf numFmtId="4" fontId="12" fillId="7" borderId="31" xfId="4" applyNumberFormat="1" applyFont="1" applyFill="1" applyBorder="1" applyAlignment="1">
      <alignment horizontal="center"/>
    </xf>
    <xf numFmtId="4" fontId="13" fillId="7" borderId="31" xfId="4" applyNumberFormat="1" applyFont="1" applyFill="1" applyBorder="1" applyAlignment="1">
      <alignment horizontal="center"/>
    </xf>
    <xf numFmtId="4" fontId="1" fillId="7" borderId="31" xfId="4" applyNumberFormat="1" applyFont="1" applyFill="1" applyBorder="1" applyAlignment="1">
      <alignment horizontal="center"/>
    </xf>
    <xf numFmtId="4" fontId="13" fillId="7" borderId="49" xfId="4" applyNumberFormat="1" applyFont="1" applyFill="1" applyBorder="1" applyAlignment="1">
      <alignment horizontal="center"/>
    </xf>
    <xf numFmtId="4" fontId="13" fillId="7" borderId="47" xfId="4" applyNumberFormat="1" applyFont="1" applyFill="1" applyBorder="1" applyAlignment="1">
      <alignment horizontal="center"/>
    </xf>
    <xf numFmtId="3" fontId="13" fillId="2" borderId="30" xfId="3" applyNumberFormat="1" applyFont="1" applyFill="1" applyBorder="1" applyAlignment="1">
      <alignment horizontal="center"/>
    </xf>
    <xf numFmtId="3" fontId="13" fillId="7" borderId="20" xfId="3" applyNumberFormat="1" applyFont="1" applyFill="1" applyBorder="1" applyAlignment="1">
      <alignment horizontal="center"/>
    </xf>
    <xf numFmtId="3" fontId="13" fillId="7" borderId="22" xfId="3" applyNumberFormat="1" applyFont="1" applyFill="1" applyBorder="1" applyAlignment="1">
      <alignment horizontal="center"/>
    </xf>
    <xf numFmtId="4" fontId="12" fillId="7" borderId="44" xfId="4" applyNumberFormat="1" applyFont="1" applyFill="1" applyBorder="1" applyAlignment="1">
      <alignment horizontal="center"/>
    </xf>
    <xf numFmtId="4" fontId="13" fillId="7" borderId="44" xfId="4" applyNumberFormat="1" applyFont="1" applyFill="1" applyBorder="1" applyAlignment="1">
      <alignment horizontal="center"/>
    </xf>
    <xf numFmtId="4" fontId="1" fillId="7" borderId="44" xfId="4" applyNumberFormat="1" applyFont="1" applyFill="1" applyBorder="1" applyAlignment="1">
      <alignment horizontal="center"/>
    </xf>
    <xf numFmtId="4" fontId="13" fillId="7" borderId="46" xfId="4" applyNumberFormat="1" applyFont="1" applyFill="1" applyBorder="1" applyAlignment="1">
      <alignment horizontal="center"/>
    </xf>
    <xf numFmtId="4" fontId="11" fillId="7" borderId="55" xfId="4" applyNumberFormat="1" applyFont="1" applyFill="1" applyBorder="1" applyAlignment="1">
      <alignment horizontal="center"/>
    </xf>
    <xf numFmtId="4" fontId="12" fillId="7" borderId="32" xfId="4" applyNumberFormat="1" applyFont="1" applyFill="1" applyBorder="1" applyAlignment="1">
      <alignment horizontal="center"/>
    </xf>
    <xf numFmtId="4" fontId="13" fillId="7" borderId="32" xfId="4" applyNumberFormat="1" applyFont="1" applyFill="1" applyBorder="1" applyAlignment="1">
      <alignment horizontal="center"/>
    </xf>
    <xf numFmtId="4" fontId="1" fillId="7" borderId="32" xfId="4" applyNumberFormat="1" applyFont="1" applyFill="1" applyBorder="1" applyAlignment="1">
      <alignment horizontal="center"/>
    </xf>
    <xf numFmtId="4" fontId="11" fillId="2" borderId="56" xfId="4" applyNumberFormat="1" applyFont="1" applyFill="1" applyBorder="1" applyAlignment="1">
      <alignment horizontal="center"/>
    </xf>
    <xf numFmtId="0" fontId="18" fillId="0" borderId="0" xfId="2" applyFont="1" applyFill="1" applyAlignment="1">
      <alignment wrapText="1"/>
    </xf>
    <xf numFmtId="164" fontId="19" fillId="0" borderId="0" xfId="1" applyFont="1" applyFill="1" applyAlignment="1">
      <alignment wrapText="1"/>
    </xf>
    <xf numFmtId="4" fontId="18" fillId="0" borderId="0" xfId="2" applyNumberFormat="1" applyFont="1" applyFill="1" applyAlignment="1">
      <alignment horizontal="right" wrapText="1"/>
    </xf>
    <xf numFmtId="0" fontId="6" fillId="0" borderId="0" xfId="2" applyFill="1"/>
    <xf numFmtId="4" fontId="18" fillId="0" borderId="0" xfId="2" applyNumberFormat="1" applyFont="1" applyFill="1" applyAlignment="1">
      <alignment horizontal="right"/>
    </xf>
    <xf numFmtId="4" fontId="20" fillId="0" borderId="0" xfId="2" applyNumberFormat="1" applyFont="1" applyFill="1" applyAlignment="1">
      <alignment horizontal="right"/>
    </xf>
    <xf numFmtId="4" fontId="18" fillId="0" borderId="0" xfId="2" applyNumberFormat="1" applyFont="1" applyFill="1" applyAlignment="1">
      <alignment wrapText="1"/>
    </xf>
    <xf numFmtId="0" fontId="18" fillId="0" borderId="0" xfId="2" applyFont="1" applyFill="1" applyAlignment="1">
      <alignment horizontal="center" wrapText="1"/>
    </xf>
    <xf numFmtId="4" fontId="18" fillId="0" borderId="0" xfId="2" applyNumberFormat="1" applyFont="1" applyFill="1" applyAlignment="1">
      <alignment horizontal="center" wrapText="1"/>
    </xf>
    <xf numFmtId="0" fontId="21" fillId="0" borderId="23" xfId="2" applyFont="1" applyFill="1" applyBorder="1" applyAlignment="1">
      <alignment horizontal="center" vertical="center" wrapText="1"/>
    </xf>
    <xf numFmtId="0" fontId="21" fillId="0" borderId="51" xfId="2" applyFont="1" applyFill="1" applyBorder="1" applyAlignment="1">
      <alignment horizontal="center" vertical="center" wrapText="1"/>
    </xf>
    <xf numFmtId="164" fontId="22" fillId="0" borderId="51" xfId="1" applyFont="1" applyFill="1" applyBorder="1" applyAlignment="1">
      <alignment horizontal="center" vertical="center" wrapText="1"/>
    </xf>
    <xf numFmtId="4" fontId="21" fillId="0" borderId="52" xfId="2" applyNumberFormat="1" applyFont="1" applyFill="1" applyBorder="1" applyAlignment="1">
      <alignment horizontal="center" vertical="center" wrapText="1"/>
    </xf>
    <xf numFmtId="0" fontId="6" fillId="0" borderId="40" xfId="2" applyFill="1" applyBorder="1"/>
    <xf numFmtId="164" fontId="22" fillId="0" borderId="55" xfId="1" applyFont="1" applyFill="1" applyBorder="1" applyAlignment="1">
      <alignment horizontal="center" vertical="center" wrapText="1"/>
    </xf>
    <xf numFmtId="0" fontId="21" fillId="0" borderId="16" xfId="2" applyFont="1" applyFill="1" applyBorder="1" applyAlignment="1">
      <alignment horizontal="center" vertical="center" wrapText="1"/>
    </xf>
    <xf numFmtId="0" fontId="21" fillId="0" borderId="34" xfId="2" applyFont="1" applyFill="1" applyBorder="1" applyAlignment="1">
      <alignment horizontal="center" vertical="center" wrapText="1"/>
    </xf>
    <xf numFmtId="164" fontId="22" fillId="0" borderId="34" xfId="1" applyFont="1" applyFill="1" applyBorder="1" applyAlignment="1">
      <alignment horizontal="center" vertical="center" wrapText="1"/>
    </xf>
    <xf numFmtId="4" fontId="21" fillId="0" borderId="18" xfId="2" applyNumberFormat="1" applyFont="1" applyFill="1" applyBorder="1" applyAlignment="1">
      <alignment horizontal="center" vertical="center" wrapText="1"/>
    </xf>
    <xf numFmtId="0" fontId="6" fillId="0" borderId="26" xfId="2" applyFill="1" applyBorder="1"/>
    <xf numFmtId="164" fontId="22" fillId="0" borderId="35" xfId="1" applyFont="1" applyFill="1" applyBorder="1" applyAlignment="1">
      <alignment horizontal="center" vertical="center" wrapText="1"/>
    </xf>
    <xf numFmtId="0" fontId="18" fillId="0" borderId="16" xfId="2" applyFont="1" applyFill="1" applyBorder="1" applyAlignment="1">
      <alignment wrapText="1"/>
    </xf>
    <xf numFmtId="0" fontId="18" fillId="0" borderId="34" xfId="2" applyFont="1" applyFill="1" applyBorder="1" applyAlignment="1">
      <alignment wrapText="1"/>
    </xf>
    <xf numFmtId="164" fontId="18" fillId="0" borderId="34" xfId="1" applyNumberFormat="1" applyFont="1" applyFill="1" applyBorder="1" applyAlignment="1">
      <alignment wrapText="1"/>
    </xf>
    <xf numFmtId="4" fontId="18" fillId="0" borderId="18" xfId="2" applyNumberFormat="1" applyFont="1" applyFill="1" applyBorder="1" applyAlignment="1">
      <alignment wrapText="1"/>
    </xf>
    <xf numFmtId="0" fontId="6" fillId="0" borderId="0" xfId="2" applyFill="1" applyBorder="1"/>
    <xf numFmtId="164" fontId="18" fillId="0" borderId="35" xfId="1" applyNumberFormat="1" applyFont="1" applyFill="1" applyBorder="1" applyAlignment="1">
      <alignment wrapText="1"/>
    </xf>
    <xf numFmtId="167" fontId="6" fillId="0" borderId="0" xfId="2" applyNumberFormat="1" applyFill="1"/>
    <xf numFmtId="0" fontId="18" fillId="0" borderId="7" xfId="2" applyFont="1" applyFill="1" applyBorder="1" applyAlignment="1">
      <alignment wrapText="1"/>
    </xf>
    <xf numFmtId="0" fontId="18" fillId="0" borderId="8" xfId="2" applyFont="1" applyFill="1" applyBorder="1" applyAlignment="1">
      <alignment wrapText="1"/>
    </xf>
    <xf numFmtId="164" fontId="18" fillId="0" borderId="8" xfId="1" applyNumberFormat="1" applyFont="1" applyFill="1" applyBorder="1" applyAlignment="1">
      <alignment wrapText="1"/>
    </xf>
    <xf numFmtId="4" fontId="18" fillId="0" borderId="10" xfId="2" applyNumberFormat="1" applyFont="1" applyFill="1" applyBorder="1" applyAlignment="1">
      <alignment wrapText="1"/>
    </xf>
    <xf numFmtId="164" fontId="18" fillId="0" borderId="9" xfId="1" applyNumberFormat="1" applyFont="1" applyFill="1" applyBorder="1" applyAlignment="1">
      <alignment wrapText="1"/>
    </xf>
    <xf numFmtId="0" fontId="18" fillId="0" borderId="44" xfId="2" applyFont="1" applyFill="1" applyBorder="1" applyAlignment="1">
      <alignment wrapText="1"/>
    </xf>
    <xf numFmtId="0" fontId="18" fillId="0" borderId="31" xfId="2" applyFont="1" applyFill="1" applyBorder="1" applyAlignment="1">
      <alignment wrapText="1"/>
    </xf>
    <xf numFmtId="164" fontId="18" fillId="0" borderId="31" xfId="1" applyNumberFormat="1" applyFont="1" applyFill="1" applyBorder="1" applyAlignment="1">
      <alignment wrapText="1"/>
    </xf>
    <xf numFmtId="164" fontId="18" fillId="0" borderId="32" xfId="1" applyNumberFormat="1" applyFont="1" applyFill="1" applyBorder="1" applyAlignment="1">
      <alignment wrapText="1"/>
    </xf>
    <xf numFmtId="0" fontId="21" fillId="2" borderId="23" xfId="2" applyFont="1" applyFill="1" applyBorder="1" applyAlignment="1">
      <alignment wrapText="1"/>
    </xf>
    <xf numFmtId="0" fontId="21" fillId="0" borderId="51" xfId="2" applyFont="1" applyFill="1" applyBorder="1" applyAlignment="1">
      <alignment wrapText="1"/>
    </xf>
    <xf numFmtId="164" fontId="22" fillId="0" borderId="51" xfId="1" applyFont="1" applyFill="1" applyBorder="1" applyAlignment="1">
      <alignment wrapText="1"/>
    </xf>
    <xf numFmtId="4" fontId="21" fillId="0" borderId="52" xfId="2" applyNumberFormat="1" applyFont="1" applyFill="1" applyBorder="1" applyAlignment="1">
      <alignment wrapText="1"/>
    </xf>
    <xf numFmtId="164" fontId="22" fillId="0" borderId="55" xfId="1" applyFont="1" applyFill="1" applyBorder="1" applyAlignment="1">
      <alignment wrapText="1"/>
    </xf>
    <xf numFmtId="4" fontId="21" fillId="2" borderId="52" xfId="2" applyNumberFormat="1" applyFont="1" applyFill="1" applyBorder="1" applyAlignment="1">
      <alignment wrapText="1"/>
    </xf>
    <xf numFmtId="0" fontId="18" fillId="2" borderId="7" xfId="2" applyFont="1" applyFill="1" applyBorder="1" applyAlignment="1">
      <alignment wrapText="1"/>
    </xf>
    <xf numFmtId="4" fontId="18" fillId="2" borderId="10" xfId="2" applyNumberFormat="1" applyFont="1" applyFill="1" applyBorder="1" applyAlignment="1">
      <alignment wrapText="1"/>
    </xf>
    <xf numFmtId="0" fontId="18" fillId="2" borderId="20" xfId="2" applyFont="1" applyFill="1" applyBorder="1" applyAlignment="1">
      <alignment wrapText="1"/>
    </xf>
    <xf numFmtId="0" fontId="18" fillId="0" borderId="27" xfId="2" applyFont="1" applyFill="1" applyBorder="1" applyAlignment="1">
      <alignment wrapText="1"/>
    </xf>
    <xf numFmtId="4" fontId="18" fillId="0" borderId="22" xfId="2" applyNumberFormat="1" applyFont="1" applyFill="1" applyBorder="1" applyAlignment="1">
      <alignment wrapText="1"/>
    </xf>
    <xf numFmtId="0" fontId="18" fillId="0" borderId="20" xfId="2" applyFont="1" applyFill="1" applyBorder="1" applyAlignment="1">
      <alignment wrapText="1"/>
    </xf>
    <xf numFmtId="164" fontId="18" fillId="0" borderId="27" xfId="1" applyNumberFormat="1" applyFont="1" applyFill="1" applyBorder="1" applyAlignment="1">
      <alignment wrapText="1"/>
    </xf>
    <xf numFmtId="0" fontId="21" fillId="0" borderId="23" xfId="2" applyFont="1" applyFill="1" applyBorder="1" applyAlignment="1">
      <alignment wrapText="1"/>
    </xf>
    <xf numFmtId="0" fontId="6" fillId="0" borderId="58" xfId="2" applyFill="1" applyBorder="1"/>
    <xf numFmtId="164" fontId="18" fillId="0" borderId="51" xfId="1" applyFont="1" applyFill="1" applyBorder="1" applyAlignment="1">
      <alignment wrapText="1"/>
    </xf>
    <xf numFmtId="164" fontId="18" fillId="0" borderId="55" xfId="1" applyFont="1" applyFill="1" applyBorder="1" applyAlignment="1">
      <alignment wrapText="1"/>
    </xf>
    <xf numFmtId="0" fontId="21" fillId="0" borderId="46" xfId="2" applyFont="1" applyFill="1" applyBorder="1" applyAlignment="1">
      <alignment wrapText="1"/>
    </xf>
    <xf numFmtId="0" fontId="21" fillId="0" borderId="49" xfId="2" applyFont="1" applyFill="1" applyBorder="1" applyAlignment="1">
      <alignment wrapText="1"/>
    </xf>
    <xf numFmtId="164" fontId="22" fillId="0" borderId="49" xfId="1" applyFont="1" applyFill="1" applyBorder="1" applyAlignment="1">
      <alignment wrapText="1"/>
    </xf>
    <xf numFmtId="4" fontId="21" fillId="0" borderId="50" xfId="2" applyNumberFormat="1" applyFont="1" applyFill="1" applyBorder="1" applyAlignment="1">
      <alignment wrapText="1"/>
    </xf>
    <xf numFmtId="164" fontId="22" fillId="0" borderId="47" xfId="1" applyFont="1" applyFill="1" applyBorder="1" applyAlignment="1">
      <alignment wrapText="1"/>
    </xf>
    <xf numFmtId="4" fontId="18" fillId="0" borderId="8" xfId="1" applyNumberFormat="1" applyFont="1" applyFill="1" applyBorder="1" applyAlignment="1">
      <alignment wrapText="1"/>
    </xf>
    <xf numFmtId="4" fontId="18" fillId="0" borderId="10" xfId="1" applyNumberFormat="1" applyFont="1" applyFill="1" applyBorder="1" applyAlignment="1">
      <alignment wrapText="1"/>
    </xf>
    <xf numFmtId="4" fontId="18" fillId="0" borderId="27" xfId="1" applyNumberFormat="1" applyFont="1" applyFill="1" applyBorder="1" applyAlignment="1">
      <alignment wrapText="1"/>
    </xf>
    <xf numFmtId="4" fontId="18" fillId="0" borderId="22" xfId="1" applyNumberFormat="1" applyFont="1" applyFill="1" applyBorder="1" applyAlignment="1">
      <alignment wrapText="1"/>
    </xf>
    <xf numFmtId="0" fontId="6" fillId="0" borderId="53" xfId="2" applyFill="1" applyBorder="1"/>
    <xf numFmtId="4" fontId="18" fillId="0" borderId="8" xfId="2" applyNumberFormat="1" applyFont="1" applyFill="1" applyBorder="1" applyAlignment="1">
      <alignment wrapText="1"/>
    </xf>
    <xf numFmtId="0" fontId="6" fillId="0" borderId="8" xfId="2" applyFill="1" applyBorder="1"/>
    <xf numFmtId="4" fontId="18" fillId="0" borderId="27" xfId="2" applyNumberFormat="1" applyFont="1" applyFill="1" applyBorder="1" applyAlignment="1">
      <alignment wrapText="1"/>
    </xf>
    <xf numFmtId="0" fontId="6" fillId="0" borderId="27" xfId="2" applyFill="1" applyBorder="1"/>
    <xf numFmtId="4" fontId="21" fillId="0" borderId="51" xfId="2" applyNumberFormat="1" applyFont="1" applyFill="1" applyBorder="1" applyAlignment="1">
      <alignment wrapText="1"/>
    </xf>
    <xf numFmtId="0" fontId="6" fillId="0" borderId="51" xfId="2" applyFill="1" applyBorder="1"/>
    <xf numFmtId="0" fontId="18" fillId="0" borderId="12" xfId="2" applyFont="1" applyFill="1" applyBorder="1" applyAlignment="1">
      <alignment wrapText="1"/>
    </xf>
    <xf numFmtId="0" fontId="18" fillId="0" borderId="13" xfId="2" applyFont="1" applyFill="1" applyBorder="1" applyAlignment="1">
      <alignment wrapText="1"/>
    </xf>
    <xf numFmtId="4" fontId="18" fillId="0" borderId="15" xfId="2" applyNumberFormat="1" applyFont="1" applyFill="1" applyBorder="1" applyAlignment="1">
      <alignment wrapText="1"/>
    </xf>
    <xf numFmtId="0" fontId="18" fillId="3" borderId="7" xfId="2" applyFont="1" applyFill="1" applyBorder="1" applyAlignment="1">
      <alignment wrapText="1"/>
    </xf>
    <xf numFmtId="0" fontId="18" fillId="3" borderId="8" xfId="2" applyFont="1" applyFill="1" applyBorder="1" applyAlignment="1">
      <alignment wrapText="1"/>
    </xf>
    <xf numFmtId="164" fontId="18" fillId="3" borderId="8" xfId="1" applyNumberFormat="1" applyFont="1" applyFill="1" applyBorder="1" applyAlignment="1">
      <alignment wrapText="1"/>
    </xf>
    <xf numFmtId="4" fontId="18" fillId="3" borderId="10" xfId="2" applyNumberFormat="1" applyFont="1" applyFill="1" applyBorder="1" applyAlignment="1">
      <alignment wrapText="1"/>
    </xf>
    <xf numFmtId="0" fontId="6" fillId="3" borderId="0" xfId="2" applyFill="1" applyBorder="1"/>
    <xf numFmtId="164" fontId="18" fillId="3" borderId="35" xfId="1" applyNumberFormat="1" applyFont="1" applyFill="1" applyBorder="1" applyAlignment="1">
      <alignment wrapText="1"/>
    </xf>
    <xf numFmtId="164" fontId="18" fillId="3" borderId="32" xfId="1" applyNumberFormat="1" applyFont="1" applyFill="1" applyBorder="1" applyAlignment="1">
      <alignment wrapText="1"/>
    </xf>
    <xf numFmtId="0" fontId="6" fillId="0" borderId="48" xfId="2" applyFill="1" applyBorder="1"/>
    <xf numFmtId="4" fontId="6" fillId="0" borderId="0" xfId="2" applyNumberFormat="1" applyFill="1"/>
    <xf numFmtId="0" fontId="21" fillId="0" borderId="0" xfId="2" applyFont="1" applyFill="1" applyBorder="1" applyAlignment="1">
      <alignment wrapText="1"/>
    </xf>
    <xf numFmtId="4" fontId="21" fillId="0" borderId="0" xfId="2" applyNumberFormat="1" applyFont="1" applyFill="1" applyBorder="1" applyAlignment="1">
      <alignment wrapText="1"/>
    </xf>
    <xf numFmtId="0" fontId="18" fillId="0" borderId="0" xfId="2" applyFont="1" applyFill="1" applyBorder="1" applyAlignment="1">
      <alignment wrapText="1"/>
    </xf>
    <xf numFmtId="164" fontId="19" fillId="0" borderId="0" xfId="1" applyFont="1" applyFill="1" applyBorder="1" applyAlignment="1">
      <alignment wrapText="1"/>
    </xf>
    <xf numFmtId="4" fontId="18" fillId="0" borderId="26" xfId="2" applyNumberFormat="1" applyFont="1" applyFill="1" applyBorder="1" applyAlignment="1">
      <alignment horizontal="center" wrapText="1"/>
    </xf>
    <xf numFmtId="4" fontId="26" fillId="0" borderId="0" xfId="2" applyNumberFormat="1" applyFont="1" applyFill="1" applyBorder="1" applyAlignment="1">
      <alignment horizontal="center" wrapText="1"/>
    </xf>
    <xf numFmtId="164" fontId="22" fillId="0" borderId="0" xfId="1" applyFont="1" applyFill="1" applyBorder="1" applyAlignment="1">
      <alignment wrapText="1"/>
    </xf>
    <xf numFmtId="164" fontId="27" fillId="0" borderId="0" xfId="1" applyFont="1" applyFill="1"/>
    <xf numFmtId="4" fontId="18" fillId="0" borderId="0" xfId="2" applyNumberFormat="1" applyFont="1" applyFill="1" applyBorder="1" applyAlignment="1">
      <alignment wrapText="1"/>
    </xf>
    <xf numFmtId="164" fontId="6" fillId="0" borderId="0" xfId="1" applyFill="1"/>
    <xf numFmtId="0" fontId="18" fillId="3" borderId="20" xfId="2" applyFont="1" applyFill="1" applyBorder="1" applyAlignment="1">
      <alignment wrapText="1"/>
    </xf>
    <xf numFmtId="0" fontId="18" fillId="3" borderId="27" xfId="2" applyFont="1" applyFill="1" applyBorder="1" applyAlignment="1">
      <alignment wrapText="1"/>
    </xf>
    <xf numFmtId="164" fontId="18" fillId="3" borderId="27" xfId="1" applyNumberFormat="1" applyFont="1" applyFill="1" applyBorder="1" applyAlignment="1">
      <alignment wrapText="1"/>
    </xf>
    <xf numFmtId="4" fontId="18" fillId="3" borderId="22" xfId="2" applyNumberFormat="1" applyFont="1" applyFill="1" applyBorder="1" applyAlignment="1">
      <alignment wrapText="1"/>
    </xf>
    <xf numFmtId="0" fontId="3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13" fillId="2" borderId="9" xfId="3" applyFont="1" applyFill="1" applyBorder="1" applyAlignment="1">
      <alignment horizontal="center"/>
    </xf>
    <xf numFmtId="0" fontId="13" fillId="2" borderId="25" xfId="3" applyFont="1" applyFill="1" applyBorder="1" applyAlignment="1">
      <alignment horizontal="center"/>
    </xf>
    <xf numFmtId="0" fontId="13" fillId="2" borderId="37" xfId="3" applyFont="1" applyFill="1" applyBorder="1" applyAlignment="1">
      <alignment horizontal="center"/>
    </xf>
    <xf numFmtId="0" fontId="12" fillId="0" borderId="8" xfId="3" applyFont="1" applyBorder="1" applyAlignment="1">
      <alignment horizontal="left"/>
    </xf>
    <xf numFmtId="0" fontId="11" fillId="2" borderId="0" xfId="3" applyFont="1" applyFill="1" applyBorder="1" applyAlignment="1">
      <alignment horizontal="center" vertical="center" wrapText="1"/>
    </xf>
    <xf numFmtId="0" fontId="12" fillId="2" borderId="28" xfId="3" applyFont="1" applyFill="1" applyBorder="1" applyAlignment="1">
      <alignment horizontal="left"/>
    </xf>
    <xf numFmtId="0" fontId="10" fillId="2" borderId="29" xfId="3" applyFill="1" applyBorder="1" applyAlignment="1"/>
    <xf numFmtId="0" fontId="10" fillId="2" borderId="30" xfId="3" applyFill="1" applyBorder="1" applyAlignment="1"/>
    <xf numFmtId="0" fontId="12" fillId="2" borderId="32" xfId="3" applyFont="1" applyFill="1" applyBorder="1" applyAlignment="1">
      <alignment horizontal="left"/>
    </xf>
    <xf numFmtId="0" fontId="10" fillId="2" borderId="0" xfId="3" applyFill="1" applyBorder="1" applyAlignment="1"/>
    <xf numFmtId="0" fontId="10" fillId="2" borderId="33" xfId="3" applyFill="1" applyBorder="1" applyAlignment="1"/>
    <xf numFmtId="0" fontId="10" fillId="2" borderId="32" xfId="3" applyFill="1" applyBorder="1" applyAlignment="1"/>
    <xf numFmtId="0" fontId="10" fillId="2" borderId="0" xfId="3" applyFill="1" applyAlignment="1"/>
    <xf numFmtId="0" fontId="10" fillId="2" borderId="35" xfId="3" applyFill="1" applyBorder="1" applyAlignment="1"/>
    <xf numFmtId="0" fontId="10" fillId="2" borderId="26" xfId="3" applyFill="1" applyBorder="1" applyAlignment="1"/>
    <xf numFmtId="0" fontId="10" fillId="2" borderId="36" xfId="3" applyFill="1" applyBorder="1" applyAlignment="1"/>
    <xf numFmtId="3" fontId="14" fillId="2" borderId="8" xfId="3" applyNumberFormat="1" applyFont="1" applyFill="1" applyBorder="1" applyAlignment="1">
      <alignment horizontal="center" vertical="center" wrapText="1"/>
    </xf>
    <xf numFmtId="3" fontId="14" fillId="4" borderId="8" xfId="3" applyNumberFormat="1" applyFont="1" applyFill="1" applyBorder="1" applyAlignment="1">
      <alignment horizontal="center" vertical="center" wrapText="1"/>
    </xf>
    <xf numFmtId="3" fontId="11" fillId="2" borderId="27" xfId="3" applyNumberFormat="1" applyFont="1" applyFill="1" applyBorder="1" applyAlignment="1">
      <alignment horizontal="center" vertical="center" wrapText="1"/>
    </xf>
    <xf numFmtId="3" fontId="11" fillId="2" borderId="31" xfId="3" applyNumberFormat="1" applyFont="1" applyFill="1" applyBorder="1" applyAlignment="1">
      <alignment horizontal="center" vertical="center" wrapText="1"/>
    </xf>
    <xf numFmtId="3" fontId="11" fillId="2" borderId="34" xfId="3" applyNumberFormat="1" applyFont="1" applyFill="1" applyBorder="1" applyAlignment="1">
      <alignment horizontal="center" vertical="center" wrapText="1"/>
    </xf>
    <xf numFmtId="0" fontId="12" fillId="2" borderId="39" xfId="3" applyFont="1" applyFill="1" applyBorder="1" applyAlignment="1">
      <alignment horizontal="left"/>
    </xf>
    <xf numFmtId="0" fontId="10" fillId="2" borderId="40" xfId="3" applyFill="1" applyBorder="1" applyAlignment="1"/>
    <xf numFmtId="0" fontId="10" fillId="2" borderId="41" xfId="3" applyFill="1" applyBorder="1" applyAlignment="1"/>
    <xf numFmtId="3" fontId="14" fillId="2" borderId="3" xfId="3" applyNumberFormat="1" applyFont="1" applyFill="1" applyBorder="1" applyAlignment="1">
      <alignment horizontal="center" vertical="center" wrapText="1"/>
    </xf>
    <xf numFmtId="3" fontId="14" fillId="3" borderId="3" xfId="3" applyNumberFormat="1" applyFont="1" applyFill="1" applyBorder="1" applyAlignment="1">
      <alignment horizontal="center" vertical="center" wrapText="1"/>
    </xf>
    <xf numFmtId="3" fontId="14" fillId="3" borderId="8" xfId="3" applyNumberFormat="1" applyFont="1" applyFill="1" applyBorder="1" applyAlignment="1">
      <alignment horizontal="center" vertical="center" wrapText="1"/>
    </xf>
    <xf numFmtId="3" fontId="11" fillId="2" borderId="42" xfId="3" applyNumberFormat="1" applyFont="1" applyFill="1" applyBorder="1" applyAlignment="1">
      <alignment horizontal="center" vertical="center" wrapText="1"/>
    </xf>
    <xf numFmtId="3" fontId="11" fillId="2" borderId="43" xfId="3" applyNumberFormat="1" applyFont="1" applyFill="1" applyBorder="1" applyAlignment="1">
      <alignment horizontal="center" vertical="center" wrapText="1"/>
    </xf>
    <xf numFmtId="3" fontId="11" fillId="2" borderId="45" xfId="3" applyNumberFormat="1" applyFont="1" applyFill="1" applyBorder="1" applyAlignment="1">
      <alignment horizontal="center" vertical="center" wrapText="1"/>
    </xf>
    <xf numFmtId="3" fontId="11" fillId="2" borderId="18" xfId="3" applyNumberFormat="1" applyFont="1" applyFill="1" applyBorder="1" applyAlignment="1">
      <alignment horizontal="center" vertical="center" wrapText="1"/>
    </xf>
    <xf numFmtId="0" fontId="12" fillId="0" borderId="34" xfId="3" applyFont="1" applyBorder="1" applyAlignment="1">
      <alignment horizontal="left"/>
    </xf>
    <xf numFmtId="3" fontId="14" fillId="7" borderId="2" xfId="3" applyNumberFormat="1" applyFont="1" applyFill="1" applyBorder="1" applyAlignment="1">
      <alignment horizontal="center" vertical="center" wrapText="1"/>
    </xf>
    <xf numFmtId="3" fontId="14" fillId="7" borderId="7" xfId="3" applyNumberFormat="1" applyFont="1" applyFill="1" applyBorder="1" applyAlignment="1">
      <alignment horizontal="center" vertical="center" wrapText="1"/>
    </xf>
    <xf numFmtId="3" fontId="14" fillId="7" borderId="3" xfId="3" applyNumberFormat="1" applyFont="1" applyFill="1" applyBorder="1" applyAlignment="1">
      <alignment horizontal="center" vertical="center" wrapText="1"/>
    </xf>
    <xf numFmtId="3" fontId="14" fillId="7" borderId="8" xfId="3" applyNumberFormat="1" applyFont="1" applyFill="1" applyBorder="1" applyAlignment="1">
      <alignment horizontal="center" vertical="center" wrapText="1"/>
    </xf>
    <xf numFmtId="3" fontId="14" fillId="7" borderId="5" xfId="3" applyNumberFormat="1" applyFont="1" applyFill="1" applyBorder="1" applyAlignment="1">
      <alignment horizontal="center" vertical="center" wrapText="1"/>
    </xf>
    <xf numFmtId="3" fontId="14" fillId="7" borderId="10" xfId="3" applyNumberFormat="1" applyFont="1" applyFill="1" applyBorder="1" applyAlignment="1">
      <alignment horizontal="center" vertical="center" wrapText="1"/>
    </xf>
    <xf numFmtId="3" fontId="11" fillId="2" borderId="41" xfId="3" applyNumberFormat="1" applyFont="1" applyFill="1" applyBorder="1" applyAlignment="1">
      <alignment horizontal="center" vertical="center" wrapText="1"/>
    </xf>
    <xf numFmtId="3" fontId="11" fillId="2" borderId="33" xfId="3" applyNumberFormat="1" applyFont="1" applyFill="1" applyBorder="1" applyAlignment="1">
      <alignment horizontal="center" vertical="center" wrapText="1"/>
    </xf>
    <xf numFmtId="3" fontId="11" fillId="2" borderId="36" xfId="3" applyNumberFormat="1" applyFont="1" applyFill="1" applyBorder="1" applyAlignment="1">
      <alignment horizontal="center" vertical="center" wrapText="1"/>
    </xf>
    <xf numFmtId="0" fontId="23" fillId="0" borderId="57" xfId="2" applyFont="1" applyFill="1" applyBorder="1" applyAlignment="1">
      <alignment horizontal="center" vertical="center" wrapText="1"/>
    </xf>
    <xf numFmtId="0" fontId="23" fillId="0" borderId="0" xfId="2" applyFont="1" applyFill="1" applyBorder="1" applyAlignment="1">
      <alignment horizontal="center" vertical="center" wrapText="1"/>
    </xf>
    <xf numFmtId="0" fontId="23" fillId="0" borderId="53" xfId="2" applyFont="1" applyFill="1" applyBorder="1" applyAlignment="1">
      <alignment horizontal="center" vertical="center" wrapText="1"/>
    </xf>
    <xf numFmtId="0" fontId="18" fillId="0" borderId="0" xfId="2" applyFont="1" applyFill="1" applyAlignment="1">
      <alignment horizontal="center" wrapText="1"/>
    </xf>
    <xf numFmtId="0" fontId="21" fillId="2" borderId="57" xfId="2" applyFont="1" applyFill="1" applyBorder="1" applyAlignment="1">
      <alignment horizontal="center" vertical="center" wrapText="1"/>
    </xf>
    <xf numFmtId="0" fontId="21" fillId="2" borderId="0" xfId="2" applyFont="1" applyFill="1" applyBorder="1" applyAlignment="1">
      <alignment horizontal="center" vertical="center" wrapText="1"/>
    </xf>
    <xf numFmtId="0" fontId="21" fillId="2" borderId="53" xfId="2" applyFont="1" applyFill="1" applyBorder="1" applyAlignment="1">
      <alignment horizontal="center" vertical="center" wrapText="1"/>
    </xf>
    <xf numFmtId="0" fontId="21" fillId="0" borderId="57" xfId="2" applyFont="1" applyFill="1" applyBorder="1" applyAlignment="1">
      <alignment horizontal="center" vertical="center" wrapText="1"/>
    </xf>
    <xf numFmtId="0" fontId="21" fillId="0" borderId="0" xfId="2" applyFont="1" applyFill="1" applyBorder="1" applyAlignment="1">
      <alignment horizontal="center" vertical="center" wrapText="1"/>
    </xf>
    <xf numFmtId="0" fontId="21" fillId="0" borderId="53" xfId="2" applyFont="1" applyFill="1" applyBorder="1" applyAlignment="1">
      <alignment horizontal="center" vertical="center" wrapText="1"/>
    </xf>
    <xf numFmtId="0" fontId="24" fillId="0" borderId="61" xfId="2" applyFont="1" applyFill="1" applyBorder="1" applyAlignment="1">
      <alignment horizontal="left" vertical="center" wrapText="1"/>
    </xf>
    <xf numFmtId="0" fontId="24" fillId="0" borderId="48" xfId="2" applyFont="1" applyFill="1" applyBorder="1" applyAlignment="1">
      <alignment horizontal="left" vertical="center" wrapText="1"/>
    </xf>
    <xf numFmtId="0" fontId="24" fillId="0" borderId="54" xfId="2" applyFont="1" applyFill="1" applyBorder="1" applyAlignment="1">
      <alignment horizontal="left" vertical="center" wrapText="1"/>
    </xf>
    <xf numFmtId="0" fontId="21" fillId="0" borderId="57" xfId="2" applyFont="1" applyFill="1" applyBorder="1" applyAlignment="1">
      <alignment horizontal="center" wrapText="1"/>
    </xf>
    <xf numFmtId="0" fontId="21" fillId="0" borderId="0" xfId="2" applyFont="1" applyFill="1" applyBorder="1" applyAlignment="1">
      <alignment horizontal="center" wrapText="1"/>
    </xf>
    <xf numFmtId="0" fontId="21" fillId="0" borderId="53" xfId="2" applyFont="1" applyFill="1" applyBorder="1" applyAlignment="1">
      <alignment horizontal="center" wrapText="1"/>
    </xf>
    <xf numFmtId="0" fontId="23" fillId="0" borderId="57" xfId="2" applyFont="1" applyFill="1" applyBorder="1" applyAlignment="1">
      <alignment horizontal="center" wrapText="1"/>
    </xf>
    <xf numFmtId="0" fontId="23" fillId="0" borderId="0" xfId="2" applyFont="1" applyFill="1" applyBorder="1" applyAlignment="1">
      <alignment horizontal="center" wrapText="1"/>
    </xf>
    <xf numFmtId="0" fontId="23" fillId="0" borderId="53" xfId="2" applyFont="1" applyFill="1" applyBorder="1" applyAlignment="1">
      <alignment horizontal="center" wrapText="1"/>
    </xf>
    <xf numFmtId="0" fontId="24" fillId="0" borderId="59" xfId="2" applyFont="1" applyFill="1" applyBorder="1" applyAlignment="1">
      <alignment horizontal="left" wrapText="1"/>
    </xf>
    <xf numFmtId="0" fontId="24" fillId="0" borderId="40" xfId="2" applyFont="1" applyFill="1" applyBorder="1" applyAlignment="1">
      <alignment horizontal="left" wrapText="1"/>
    </xf>
    <xf numFmtId="0" fontId="24" fillId="0" borderId="60" xfId="2" applyFont="1" applyFill="1" applyBorder="1" applyAlignment="1">
      <alignment horizontal="left" wrapText="1"/>
    </xf>
    <xf numFmtId="0" fontId="25" fillId="0" borderId="59" xfId="2" applyFont="1" applyFill="1" applyBorder="1" applyAlignment="1">
      <alignment horizontal="center" vertical="center" wrapText="1"/>
    </xf>
    <xf numFmtId="0" fontId="25" fillId="0" borderId="40" xfId="2" applyFont="1" applyFill="1" applyBorder="1" applyAlignment="1">
      <alignment horizontal="center" vertical="center" wrapText="1"/>
    </xf>
    <xf numFmtId="0" fontId="25" fillId="0" borderId="6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3"/>
    <cellStyle name="Процентный 2" xfId="5"/>
    <cellStyle name="Финансовый" xfId="1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4"/>
  <sheetViews>
    <sheetView topLeftCell="T1" workbookViewId="0">
      <selection activeCell="AJ27" sqref="A1:AJ27"/>
    </sheetView>
  </sheetViews>
  <sheetFormatPr defaultColWidth="9.140625" defaultRowHeight="12.75" x14ac:dyDescent="0.2"/>
  <cols>
    <col min="1" max="1" width="53.42578125" style="1" customWidth="1"/>
    <col min="2" max="2" width="0" style="1" hidden="1" customWidth="1"/>
    <col min="3" max="3" width="12.140625" style="1" hidden="1" customWidth="1"/>
    <col min="4" max="4" width="16.140625" style="1" hidden="1" customWidth="1"/>
    <col min="5" max="5" width="10.7109375" style="1" hidden="1" customWidth="1"/>
    <col min="6" max="6" width="13.85546875" style="1" hidden="1" customWidth="1"/>
    <col min="7" max="7" width="15.85546875" style="1" hidden="1" customWidth="1"/>
    <col min="8" max="8" width="11.140625" style="1" hidden="1" customWidth="1"/>
    <col min="9" max="10" width="15.85546875" style="1" hidden="1" customWidth="1"/>
    <col min="11" max="11" width="11.28515625" style="1" customWidth="1"/>
    <col min="12" max="12" width="14.7109375" style="1" customWidth="1"/>
    <col min="13" max="13" width="16.140625" style="1" customWidth="1"/>
    <col min="14" max="14" width="12" style="1" customWidth="1"/>
    <col min="15" max="15" width="14" style="1" customWidth="1"/>
    <col min="16" max="16" width="16" style="1" customWidth="1"/>
    <col min="17" max="17" width="11.28515625" style="1" customWidth="1"/>
    <col min="18" max="18" width="14.7109375" style="1" customWidth="1"/>
    <col min="19" max="19" width="16.140625" style="1" customWidth="1"/>
    <col min="20" max="20" width="12" style="1" customWidth="1"/>
    <col min="21" max="21" width="14" style="1" customWidth="1"/>
    <col min="22" max="22" width="16" style="1" customWidth="1"/>
    <col min="23" max="23" width="12.42578125" style="1" customWidth="1"/>
    <col min="24" max="24" width="16.28515625" style="1" customWidth="1"/>
    <col min="25" max="25" width="9.42578125" style="1" customWidth="1"/>
    <col min="26" max="26" width="16.5703125" style="1" customWidth="1"/>
    <col min="27" max="27" width="10.42578125" style="1" bestFit="1" customWidth="1"/>
    <col min="28" max="28" width="12.7109375" style="1" customWidth="1"/>
    <col min="29" max="29" width="15.5703125" style="1" customWidth="1"/>
    <col min="30" max="30" width="9.140625" style="1"/>
    <col min="31" max="31" width="13" style="1" customWidth="1"/>
    <col min="32" max="32" width="16.85546875" style="1" customWidth="1"/>
    <col min="33" max="35" width="11.7109375" style="1" customWidth="1"/>
    <col min="36" max="36" width="14.85546875" style="1" customWidth="1"/>
    <col min="37" max="16384" width="9.140625" style="1"/>
  </cols>
  <sheetData>
    <row r="1" spans="1:36" ht="15.75" x14ac:dyDescent="0.25">
      <c r="Z1" s="2"/>
    </row>
    <row r="2" spans="1:36" ht="14.25" customHeight="1" x14ac:dyDescent="0.25">
      <c r="A2" s="238" t="s">
        <v>0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</row>
    <row r="3" spans="1:36" ht="15.7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36" ht="77.45" customHeight="1" x14ac:dyDescent="0.2">
      <c r="A4" s="239" t="s">
        <v>1</v>
      </c>
      <c r="B4" s="242" t="s">
        <v>2</v>
      </c>
      <c r="C4" s="243"/>
      <c r="D4" s="244"/>
      <c r="E4" s="242" t="s">
        <v>2</v>
      </c>
      <c r="F4" s="243"/>
      <c r="G4" s="244"/>
      <c r="H4" s="242" t="s">
        <v>3</v>
      </c>
      <c r="I4" s="243"/>
      <c r="J4" s="244"/>
      <c r="K4" s="242" t="s">
        <v>30</v>
      </c>
      <c r="L4" s="243"/>
      <c r="M4" s="244"/>
      <c r="N4" s="242" t="s">
        <v>31</v>
      </c>
      <c r="O4" s="243"/>
      <c r="P4" s="244"/>
      <c r="Q4" s="254" t="s">
        <v>32</v>
      </c>
      <c r="R4" s="255"/>
      <c r="S4" s="256"/>
      <c r="T4" s="254" t="s">
        <v>33</v>
      </c>
      <c r="U4" s="255"/>
      <c r="V4" s="256"/>
      <c r="W4" s="242" t="s">
        <v>34</v>
      </c>
      <c r="X4" s="245"/>
      <c r="Y4" s="242" t="s">
        <v>73</v>
      </c>
      <c r="Z4" s="245"/>
      <c r="AA4" s="257" t="s">
        <v>71</v>
      </c>
      <c r="AB4" s="258"/>
      <c r="AC4" s="259"/>
      <c r="AD4" s="257" t="s">
        <v>72</v>
      </c>
      <c r="AE4" s="258"/>
      <c r="AF4" s="259"/>
      <c r="AG4" s="242" t="s">
        <v>74</v>
      </c>
      <c r="AH4" s="245"/>
      <c r="AI4" s="242" t="s">
        <v>75</v>
      </c>
      <c r="AJ4" s="245"/>
    </row>
    <row r="5" spans="1:36" ht="24" customHeight="1" x14ac:dyDescent="0.2">
      <c r="A5" s="240"/>
      <c r="B5" s="248" t="s">
        <v>4</v>
      </c>
      <c r="C5" s="250" t="s">
        <v>5</v>
      </c>
      <c r="D5" s="246" t="s">
        <v>6</v>
      </c>
      <c r="E5" s="248" t="s">
        <v>4</v>
      </c>
      <c r="F5" s="250" t="s">
        <v>7</v>
      </c>
      <c r="G5" s="246" t="s">
        <v>6</v>
      </c>
      <c r="H5" s="248" t="s">
        <v>4</v>
      </c>
      <c r="I5" s="250" t="s">
        <v>8</v>
      </c>
      <c r="J5" s="246" t="s">
        <v>6</v>
      </c>
      <c r="K5" s="248" t="s">
        <v>4</v>
      </c>
      <c r="L5" s="250" t="s">
        <v>8</v>
      </c>
      <c r="M5" s="246" t="s">
        <v>6</v>
      </c>
      <c r="N5" s="248" t="s">
        <v>4</v>
      </c>
      <c r="O5" s="250" t="s">
        <v>7</v>
      </c>
      <c r="P5" s="246" t="s">
        <v>6</v>
      </c>
      <c r="Q5" s="248" t="s">
        <v>4</v>
      </c>
      <c r="R5" s="250" t="s">
        <v>8</v>
      </c>
      <c r="S5" s="246" t="s">
        <v>6</v>
      </c>
      <c r="T5" s="248" t="s">
        <v>4</v>
      </c>
      <c r="U5" s="250" t="s">
        <v>7</v>
      </c>
      <c r="V5" s="246" t="s">
        <v>6</v>
      </c>
      <c r="W5" s="248" t="s">
        <v>4</v>
      </c>
      <c r="X5" s="252" t="s">
        <v>6</v>
      </c>
      <c r="Y5" s="248" t="s">
        <v>4</v>
      </c>
      <c r="Z5" s="252" t="s">
        <v>6</v>
      </c>
      <c r="AA5" s="248" t="s">
        <v>4</v>
      </c>
      <c r="AB5" s="250" t="s">
        <v>8</v>
      </c>
      <c r="AC5" s="246" t="s">
        <v>6</v>
      </c>
      <c r="AD5" s="248" t="s">
        <v>4</v>
      </c>
      <c r="AE5" s="250" t="s">
        <v>7</v>
      </c>
      <c r="AF5" s="246" t="s">
        <v>6</v>
      </c>
      <c r="AG5" s="248" t="s">
        <v>4</v>
      </c>
      <c r="AH5" s="252" t="s">
        <v>6</v>
      </c>
      <c r="AI5" s="248" t="s">
        <v>4</v>
      </c>
      <c r="AJ5" s="252" t="s">
        <v>6</v>
      </c>
    </row>
    <row r="6" spans="1:36" ht="55.5" customHeight="1" thickBot="1" x14ac:dyDescent="0.25">
      <c r="A6" s="241"/>
      <c r="B6" s="249"/>
      <c r="C6" s="251"/>
      <c r="D6" s="247"/>
      <c r="E6" s="249"/>
      <c r="F6" s="251"/>
      <c r="G6" s="247"/>
      <c r="H6" s="249"/>
      <c r="I6" s="251"/>
      <c r="J6" s="247"/>
      <c r="K6" s="249"/>
      <c r="L6" s="251"/>
      <c r="M6" s="247"/>
      <c r="N6" s="249"/>
      <c r="O6" s="251"/>
      <c r="P6" s="247"/>
      <c r="Q6" s="249"/>
      <c r="R6" s="251"/>
      <c r="S6" s="247"/>
      <c r="T6" s="249"/>
      <c r="U6" s="251"/>
      <c r="V6" s="247"/>
      <c r="W6" s="249"/>
      <c r="X6" s="253"/>
      <c r="Y6" s="249"/>
      <c r="Z6" s="253"/>
      <c r="AA6" s="249"/>
      <c r="AB6" s="251"/>
      <c r="AC6" s="247"/>
      <c r="AD6" s="249"/>
      <c r="AE6" s="251"/>
      <c r="AF6" s="247"/>
      <c r="AG6" s="249"/>
      <c r="AH6" s="253"/>
      <c r="AI6" s="249"/>
      <c r="AJ6" s="253"/>
    </row>
    <row r="7" spans="1:36" ht="15" x14ac:dyDescent="0.25">
      <c r="A7" s="4" t="s">
        <v>9</v>
      </c>
      <c r="B7" s="5">
        <v>1</v>
      </c>
      <c r="C7" s="6">
        <v>30546.62</v>
      </c>
      <c r="D7" s="7">
        <f>B7*C7</f>
        <v>30546.62</v>
      </c>
      <c r="E7" s="5">
        <v>1</v>
      </c>
      <c r="F7" s="6">
        <v>31768.48</v>
      </c>
      <c r="G7" s="7">
        <f>F7*E7</f>
        <v>31768.48</v>
      </c>
      <c r="H7" s="5">
        <v>1</v>
      </c>
      <c r="I7" s="6">
        <v>30546.62</v>
      </c>
      <c r="J7" s="7">
        <f>I7*H7</f>
        <v>30546.62</v>
      </c>
      <c r="K7" s="5">
        <v>1</v>
      </c>
      <c r="L7" s="6">
        <v>30546.62</v>
      </c>
      <c r="M7" s="7">
        <f>L7*K7</f>
        <v>30546.62</v>
      </c>
      <c r="N7" s="5">
        <f>K7</f>
        <v>1</v>
      </c>
      <c r="O7" s="6">
        <v>31768.48</v>
      </c>
      <c r="P7" s="7">
        <f t="shared" ref="P7:P26" si="0">O7*N7</f>
        <v>31768.48</v>
      </c>
      <c r="Q7" s="5">
        <v>1</v>
      </c>
      <c r="R7" s="6">
        <v>31768.48</v>
      </c>
      <c r="S7" s="7">
        <f>R7*Q7</f>
        <v>31768.48</v>
      </c>
      <c r="T7" s="5">
        <f>Q7</f>
        <v>1</v>
      </c>
      <c r="U7" s="6">
        <v>33039.22</v>
      </c>
      <c r="V7" s="7">
        <f t="shared" ref="V7:V26" si="1">U7*T7</f>
        <v>33039.22</v>
      </c>
      <c r="W7" s="7">
        <f>Q7-N7</f>
        <v>0</v>
      </c>
      <c r="X7" s="7">
        <f>R7-O7</f>
        <v>0</v>
      </c>
      <c r="Y7" s="7">
        <f>T7-N7</f>
        <v>0</v>
      </c>
      <c r="Z7" s="7">
        <f>V7-S7</f>
        <v>1270.7400000000016</v>
      </c>
      <c r="AA7" s="5">
        <v>1</v>
      </c>
      <c r="AB7" s="6">
        <v>33039.22</v>
      </c>
      <c r="AC7" s="7">
        <f>AB7*AA7</f>
        <v>33039.22</v>
      </c>
      <c r="AD7" s="5">
        <f>AA7</f>
        <v>1</v>
      </c>
      <c r="AE7" s="6">
        <v>34360.79</v>
      </c>
      <c r="AF7" s="7">
        <f t="shared" ref="AF7:AF26" si="2">AE7*AD7</f>
        <v>34360.79</v>
      </c>
      <c r="AG7" s="7">
        <f>AA7-T7</f>
        <v>0</v>
      </c>
      <c r="AH7" s="7">
        <f>AC7-V7</f>
        <v>0</v>
      </c>
      <c r="AI7" s="7">
        <f>AD7-AA7</f>
        <v>0</v>
      </c>
      <c r="AJ7" s="7">
        <f>AF7-AC7</f>
        <v>1321.5699999999997</v>
      </c>
    </row>
    <row r="8" spans="1:36" ht="15" x14ac:dyDescent="0.25">
      <c r="A8" s="8" t="s">
        <v>10</v>
      </c>
      <c r="B8" s="9">
        <v>1</v>
      </c>
      <c r="C8" s="10">
        <v>29273.85</v>
      </c>
      <c r="D8" s="7">
        <f t="shared" ref="D8:D26" si="3">B8*C8</f>
        <v>29273.85</v>
      </c>
      <c r="E8" s="9">
        <v>1</v>
      </c>
      <c r="F8" s="10">
        <v>30444.799999999999</v>
      </c>
      <c r="G8" s="7">
        <f t="shared" ref="G8:G26" si="4">F8*E8</f>
        <v>30444.799999999999</v>
      </c>
      <c r="H8" s="11">
        <v>1</v>
      </c>
      <c r="I8" s="12">
        <v>29273.85</v>
      </c>
      <c r="J8" s="13">
        <f t="shared" ref="J8:J26" si="5">I8*H8</f>
        <v>29273.85</v>
      </c>
      <c r="K8" s="11">
        <v>0</v>
      </c>
      <c r="L8" s="11">
        <v>0</v>
      </c>
      <c r="M8" s="11">
        <v>0</v>
      </c>
      <c r="N8" s="14">
        <f t="shared" ref="N8:N26" si="6">K8</f>
        <v>0</v>
      </c>
      <c r="O8" s="9">
        <v>0</v>
      </c>
      <c r="P8" s="7">
        <f t="shared" si="0"/>
        <v>0</v>
      </c>
      <c r="Q8" s="11">
        <v>0</v>
      </c>
      <c r="R8" s="11">
        <v>0</v>
      </c>
      <c r="S8" s="11">
        <v>0</v>
      </c>
      <c r="T8" s="14">
        <f t="shared" ref="T8:T26" si="7">Q8</f>
        <v>0</v>
      </c>
      <c r="U8" s="9">
        <v>0</v>
      </c>
      <c r="V8" s="7">
        <f t="shared" si="1"/>
        <v>0</v>
      </c>
      <c r="W8" s="7">
        <f t="shared" ref="W8:W26" si="8">Q8-N8</f>
        <v>0</v>
      </c>
      <c r="X8" s="7">
        <f t="shared" ref="X8:X26" si="9">R8-O8</f>
        <v>0</v>
      </c>
      <c r="Y8" s="7">
        <f t="shared" ref="Y8:Y27" si="10">T8-N8</f>
        <v>0</v>
      </c>
      <c r="Z8" s="7">
        <f t="shared" ref="Z8:Z26" si="11">V8-S8</f>
        <v>0</v>
      </c>
      <c r="AA8" s="11">
        <v>0</v>
      </c>
      <c r="AB8" s="11">
        <v>0</v>
      </c>
      <c r="AC8" s="11">
        <v>0</v>
      </c>
      <c r="AD8" s="14">
        <f t="shared" ref="AD8:AD26" si="12">AA8</f>
        <v>0</v>
      </c>
      <c r="AE8" s="9">
        <v>0</v>
      </c>
      <c r="AF8" s="7">
        <f t="shared" si="2"/>
        <v>0</v>
      </c>
      <c r="AG8" s="7">
        <f t="shared" ref="AG8:AG26" si="13">AA8-T8</f>
        <v>0</v>
      </c>
      <c r="AH8" s="7">
        <f t="shared" ref="AH8:AH26" si="14">AC8-V8</f>
        <v>0</v>
      </c>
      <c r="AI8" s="7">
        <f t="shared" ref="AI8:AI27" si="15">AD8-AA8</f>
        <v>0</v>
      </c>
      <c r="AJ8" s="7">
        <f t="shared" ref="AJ8:AJ26" si="16">AF8-AC8</f>
        <v>0</v>
      </c>
    </row>
    <row r="9" spans="1:36" ht="15" x14ac:dyDescent="0.25">
      <c r="A9" s="8" t="s">
        <v>11</v>
      </c>
      <c r="B9" s="9">
        <v>1</v>
      </c>
      <c r="C9" s="10">
        <v>16546.099999999999</v>
      </c>
      <c r="D9" s="7">
        <f t="shared" si="3"/>
        <v>16546.099999999999</v>
      </c>
      <c r="E9" s="9">
        <v>1</v>
      </c>
      <c r="F9" s="10">
        <v>17207.939999999999</v>
      </c>
      <c r="G9" s="7">
        <f t="shared" si="4"/>
        <v>17207.939999999999</v>
      </c>
      <c r="H9" s="11">
        <v>1</v>
      </c>
      <c r="I9" s="12">
        <v>16546.099999999999</v>
      </c>
      <c r="J9" s="13">
        <f t="shared" si="5"/>
        <v>16546.099999999999</v>
      </c>
      <c r="K9" s="11">
        <v>1</v>
      </c>
      <c r="L9" s="12">
        <v>16546.099999999999</v>
      </c>
      <c r="M9" s="13">
        <f t="shared" ref="M9:M26" si="17">L9*K9</f>
        <v>16546.099999999999</v>
      </c>
      <c r="N9" s="14">
        <f t="shared" si="6"/>
        <v>1</v>
      </c>
      <c r="O9" s="10">
        <v>17207.939999999999</v>
      </c>
      <c r="P9" s="7">
        <f t="shared" si="0"/>
        <v>17207.939999999999</v>
      </c>
      <c r="Q9" s="11">
        <v>1</v>
      </c>
      <c r="R9" s="12">
        <v>17207.939999999999</v>
      </c>
      <c r="S9" s="13">
        <f t="shared" ref="S9:S26" si="18">R9*Q9</f>
        <v>17207.939999999999</v>
      </c>
      <c r="T9" s="14">
        <f t="shared" si="7"/>
        <v>1</v>
      </c>
      <c r="U9" s="10">
        <v>17896.259999999998</v>
      </c>
      <c r="V9" s="7">
        <f t="shared" si="1"/>
        <v>17896.259999999998</v>
      </c>
      <c r="W9" s="7">
        <f t="shared" si="8"/>
        <v>0</v>
      </c>
      <c r="X9" s="7">
        <f t="shared" si="9"/>
        <v>0</v>
      </c>
      <c r="Y9" s="7">
        <f t="shared" si="10"/>
        <v>0</v>
      </c>
      <c r="Z9" s="7">
        <f t="shared" si="11"/>
        <v>688.31999999999971</v>
      </c>
      <c r="AA9" s="11">
        <v>1</v>
      </c>
      <c r="AB9" s="12">
        <v>17896.259999999998</v>
      </c>
      <c r="AC9" s="13">
        <f t="shared" ref="AC9:AC26" si="19">AB9*AA9</f>
        <v>17896.259999999998</v>
      </c>
      <c r="AD9" s="14">
        <f t="shared" si="12"/>
        <v>1</v>
      </c>
      <c r="AE9" s="10">
        <v>18612.11</v>
      </c>
      <c r="AF9" s="7">
        <f t="shared" si="2"/>
        <v>18612.11</v>
      </c>
      <c r="AG9" s="7">
        <f t="shared" si="13"/>
        <v>0</v>
      </c>
      <c r="AH9" s="7">
        <f t="shared" si="14"/>
        <v>0</v>
      </c>
      <c r="AI9" s="7">
        <f t="shared" si="15"/>
        <v>0</v>
      </c>
      <c r="AJ9" s="7">
        <f t="shared" si="16"/>
        <v>715.85000000000218</v>
      </c>
    </row>
    <row r="10" spans="1:36" ht="15" x14ac:dyDescent="0.25">
      <c r="A10" s="8" t="s">
        <v>12</v>
      </c>
      <c r="B10" s="9">
        <v>1</v>
      </c>
      <c r="C10" s="10">
        <v>21637.17</v>
      </c>
      <c r="D10" s="7">
        <f t="shared" si="3"/>
        <v>21637.17</v>
      </c>
      <c r="E10" s="9">
        <v>1</v>
      </c>
      <c r="F10" s="10">
        <v>22502.66</v>
      </c>
      <c r="G10" s="7">
        <f t="shared" si="4"/>
        <v>22502.66</v>
      </c>
      <c r="H10" s="11">
        <v>1</v>
      </c>
      <c r="I10" s="12">
        <v>21637.17</v>
      </c>
      <c r="J10" s="13">
        <f t="shared" si="5"/>
        <v>21637.17</v>
      </c>
      <c r="K10" s="11">
        <v>1</v>
      </c>
      <c r="L10" s="12">
        <v>21637.17</v>
      </c>
      <c r="M10" s="13">
        <f t="shared" si="17"/>
        <v>21637.17</v>
      </c>
      <c r="N10" s="14">
        <f t="shared" si="6"/>
        <v>1</v>
      </c>
      <c r="O10" s="10">
        <v>22502.66</v>
      </c>
      <c r="P10" s="7">
        <f t="shared" si="0"/>
        <v>22502.66</v>
      </c>
      <c r="Q10" s="11">
        <v>1</v>
      </c>
      <c r="R10" s="12">
        <v>22502.66</v>
      </c>
      <c r="S10" s="13">
        <f t="shared" si="18"/>
        <v>22502.66</v>
      </c>
      <c r="T10" s="14">
        <f t="shared" si="7"/>
        <v>1</v>
      </c>
      <c r="U10" s="10">
        <v>23402.77</v>
      </c>
      <c r="V10" s="7">
        <f t="shared" si="1"/>
        <v>23402.77</v>
      </c>
      <c r="W10" s="7">
        <f t="shared" si="8"/>
        <v>0</v>
      </c>
      <c r="X10" s="7">
        <f t="shared" si="9"/>
        <v>0</v>
      </c>
      <c r="Y10" s="7">
        <f t="shared" si="10"/>
        <v>0</v>
      </c>
      <c r="Z10" s="7">
        <f t="shared" si="11"/>
        <v>900.11000000000058</v>
      </c>
      <c r="AA10" s="11">
        <v>1</v>
      </c>
      <c r="AB10" s="12">
        <v>23402.77</v>
      </c>
      <c r="AC10" s="13">
        <f t="shared" si="19"/>
        <v>23402.77</v>
      </c>
      <c r="AD10" s="14">
        <f t="shared" si="12"/>
        <v>1</v>
      </c>
      <c r="AE10" s="10">
        <v>24338.880000000001</v>
      </c>
      <c r="AF10" s="7">
        <f t="shared" si="2"/>
        <v>24338.880000000001</v>
      </c>
      <c r="AG10" s="7">
        <f t="shared" si="13"/>
        <v>0</v>
      </c>
      <c r="AH10" s="7">
        <f t="shared" si="14"/>
        <v>0</v>
      </c>
      <c r="AI10" s="7">
        <f t="shared" si="15"/>
        <v>0</v>
      </c>
      <c r="AJ10" s="7">
        <f t="shared" si="16"/>
        <v>936.11000000000058</v>
      </c>
    </row>
    <row r="11" spans="1:36" s="21" customFormat="1" ht="32.450000000000003" customHeight="1" x14ac:dyDescent="0.25">
      <c r="A11" s="8" t="s">
        <v>13</v>
      </c>
      <c r="B11" s="15">
        <v>2</v>
      </c>
      <c r="C11" s="16">
        <v>24437.31</v>
      </c>
      <c r="D11" s="17">
        <f t="shared" si="3"/>
        <v>48874.62</v>
      </c>
      <c r="E11" s="15">
        <v>2</v>
      </c>
      <c r="F11" s="16">
        <v>25414.799999999999</v>
      </c>
      <c r="G11" s="17">
        <f t="shared" si="4"/>
        <v>50829.599999999999</v>
      </c>
      <c r="H11" s="18">
        <v>2</v>
      </c>
      <c r="I11" s="19">
        <v>24437.31</v>
      </c>
      <c r="J11" s="20">
        <f t="shared" si="5"/>
        <v>48874.62</v>
      </c>
      <c r="K11" s="18">
        <v>2</v>
      </c>
      <c r="L11" s="19">
        <v>28001.06</v>
      </c>
      <c r="M11" s="20">
        <f t="shared" si="17"/>
        <v>56002.12</v>
      </c>
      <c r="N11" s="14">
        <f t="shared" si="6"/>
        <v>2</v>
      </c>
      <c r="O11" s="16">
        <v>29121.1</v>
      </c>
      <c r="P11" s="17">
        <f t="shared" si="0"/>
        <v>58242.2</v>
      </c>
      <c r="Q11" s="18">
        <v>2</v>
      </c>
      <c r="R11" s="19">
        <v>29121.1</v>
      </c>
      <c r="S11" s="20">
        <f t="shared" si="18"/>
        <v>58242.2</v>
      </c>
      <c r="T11" s="14">
        <f t="shared" si="7"/>
        <v>2</v>
      </c>
      <c r="U11" s="16">
        <v>30285.94</v>
      </c>
      <c r="V11" s="17">
        <f t="shared" si="1"/>
        <v>60571.88</v>
      </c>
      <c r="W11" s="7">
        <f t="shared" si="8"/>
        <v>0</v>
      </c>
      <c r="X11" s="7">
        <f t="shared" si="9"/>
        <v>0</v>
      </c>
      <c r="Y11" s="7">
        <f t="shared" si="10"/>
        <v>0</v>
      </c>
      <c r="Z11" s="7">
        <f t="shared" si="11"/>
        <v>2329.6800000000003</v>
      </c>
      <c r="AA11" s="18">
        <v>2</v>
      </c>
      <c r="AB11" s="19">
        <v>30285.94</v>
      </c>
      <c r="AC11" s="20">
        <f t="shared" si="19"/>
        <v>60571.88</v>
      </c>
      <c r="AD11" s="14">
        <f t="shared" si="12"/>
        <v>2</v>
      </c>
      <c r="AE11" s="16">
        <v>31497.38</v>
      </c>
      <c r="AF11" s="17">
        <f t="shared" si="2"/>
        <v>62994.76</v>
      </c>
      <c r="AG11" s="7">
        <f t="shared" si="13"/>
        <v>0</v>
      </c>
      <c r="AH11" s="7">
        <f t="shared" si="14"/>
        <v>0</v>
      </c>
      <c r="AI11" s="7">
        <f t="shared" si="15"/>
        <v>0</v>
      </c>
      <c r="AJ11" s="7">
        <f t="shared" si="16"/>
        <v>2422.8800000000047</v>
      </c>
    </row>
    <row r="12" spans="1:36" ht="15" x14ac:dyDescent="0.25">
      <c r="A12" s="8" t="s">
        <v>14</v>
      </c>
      <c r="B12" s="9">
        <v>9</v>
      </c>
      <c r="C12" s="10">
        <v>21637.17</v>
      </c>
      <c r="D12" s="7">
        <f t="shared" si="3"/>
        <v>194734.52999999997</v>
      </c>
      <c r="E12" s="9">
        <v>9</v>
      </c>
      <c r="F12" s="10">
        <v>22502.66</v>
      </c>
      <c r="G12" s="7">
        <f t="shared" si="4"/>
        <v>202523.94</v>
      </c>
      <c r="H12" s="11">
        <v>9</v>
      </c>
      <c r="I12" s="12">
        <v>21637.17</v>
      </c>
      <c r="J12" s="13">
        <f t="shared" si="5"/>
        <v>194734.52999999997</v>
      </c>
      <c r="K12" s="11">
        <v>9</v>
      </c>
      <c r="L12" s="12">
        <v>21637.17</v>
      </c>
      <c r="M12" s="13">
        <f t="shared" si="17"/>
        <v>194734.52999999997</v>
      </c>
      <c r="N12" s="14">
        <f t="shared" si="6"/>
        <v>9</v>
      </c>
      <c r="O12" s="10">
        <v>22502.66</v>
      </c>
      <c r="P12" s="7">
        <f t="shared" si="0"/>
        <v>202523.94</v>
      </c>
      <c r="Q12" s="11">
        <v>9</v>
      </c>
      <c r="R12" s="12">
        <v>22502.66</v>
      </c>
      <c r="S12" s="13">
        <f t="shared" si="18"/>
        <v>202523.94</v>
      </c>
      <c r="T12" s="14">
        <f t="shared" si="7"/>
        <v>9</v>
      </c>
      <c r="U12" s="10">
        <v>23402.77</v>
      </c>
      <c r="V12" s="7">
        <f t="shared" si="1"/>
        <v>210624.93</v>
      </c>
      <c r="W12" s="7">
        <f t="shared" si="8"/>
        <v>0</v>
      </c>
      <c r="X12" s="7">
        <f t="shared" si="9"/>
        <v>0</v>
      </c>
      <c r="Y12" s="7">
        <f t="shared" si="10"/>
        <v>0</v>
      </c>
      <c r="Z12" s="7">
        <f t="shared" si="11"/>
        <v>8100.9899999999907</v>
      </c>
      <c r="AA12" s="11">
        <v>9</v>
      </c>
      <c r="AB12" s="12">
        <v>23402.77</v>
      </c>
      <c r="AC12" s="13">
        <f t="shared" si="19"/>
        <v>210624.93</v>
      </c>
      <c r="AD12" s="14">
        <f t="shared" si="12"/>
        <v>9</v>
      </c>
      <c r="AE12" s="10">
        <v>24338.880000000001</v>
      </c>
      <c r="AF12" s="7">
        <f t="shared" si="2"/>
        <v>219049.92</v>
      </c>
      <c r="AG12" s="7">
        <f t="shared" si="13"/>
        <v>0</v>
      </c>
      <c r="AH12" s="7">
        <f t="shared" si="14"/>
        <v>0</v>
      </c>
      <c r="AI12" s="7">
        <f t="shared" si="15"/>
        <v>0</v>
      </c>
      <c r="AJ12" s="7">
        <f t="shared" si="16"/>
        <v>8424.9900000000198</v>
      </c>
    </row>
    <row r="13" spans="1:36" ht="15" x14ac:dyDescent="0.25">
      <c r="A13" s="8" t="s">
        <v>15</v>
      </c>
      <c r="B13" s="9">
        <v>1</v>
      </c>
      <c r="C13" s="10">
        <v>19600.740000000002</v>
      </c>
      <c r="D13" s="7">
        <f t="shared" si="3"/>
        <v>19600.740000000002</v>
      </c>
      <c r="E13" s="9">
        <v>1</v>
      </c>
      <c r="F13" s="10">
        <v>20384.77</v>
      </c>
      <c r="G13" s="7">
        <f t="shared" si="4"/>
        <v>20384.77</v>
      </c>
      <c r="H13" s="11">
        <v>1</v>
      </c>
      <c r="I13" s="12">
        <v>19600.740000000002</v>
      </c>
      <c r="J13" s="13">
        <f t="shared" si="5"/>
        <v>19600.740000000002</v>
      </c>
      <c r="K13" s="11">
        <v>1</v>
      </c>
      <c r="L13" s="12">
        <v>19600.740000000002</v>
      </c>
      <c r="M13" s="13">
        <f t="shared" si="17"/>
        <v>19600.740000000002</v>
      </c>
      <c r="N13" s="14">
        <f t="shared" si="6"/>
        <v>1</v>
      </c>
      <c r="O13" s="10">
        <v>20384.77</v>
      </c>
      <c r="P13" s="7">
        <f t="shared" si="0"/>
        <v>20384.77</v>
      </c>
      <c r="Q13" s="11">
        <v>1</v>
      </c>
      <c r="R13" s="12">
        <v>20384.77</v>
      </c>
      <c r="S13" s="13">
        <f t="shared" si="18"/>
        <v>20384.77</v>
      </c>
      <c r="T13" s="14">
        <f t="shared" si="7"/>
        <v>1</v>
      </c>
      <c r="U13" s="10">
        <v>21200.16</v>
      </c>
      <c r="V13" s="7">
        <f t="shared" si="1"/>
        <v>21200.16</v>
      </c>
      <c r="W13" s="7">
        <f t="shared" si="8"/>
        <v>0</v>
      </c>
      <c r="X13" s="7">
        <f t="shared" si="9"/>
        <v>0</v>
      </c>
      <c r="Y13" s="7">
        <f t="shared" si="10"/>
        <v>0</v>
      </c>
      <c r="Z13" s="7">
        <f t="shared" si="11"/>
        <v>815.38999999999942</v>
      </c>
      <c r="AA13" s="11">
        <v>1</v>
      </c>
      <c r="AB13" s="12">
        <v>21200.16</v>
      </c>
      <c r="AC13" s="13">
        <f t="shared" si="19"/>
        <v>21200.16</v>
      </c>
      <c r="AD13" s="14">
        <f t="shared" si="12"/>
        <v>1</v>
      </c>
      <c r="AE13" s="10">
        <v>22048.17</v>
      </c>
      <c r="AF13" s="7">
        <f t="shared" si="2"/>
        <v>22048.17</v>
      </c>
      <c r="AG13" s="7">
        <f t="shared" si="13"/>
        <v>0</v>
      </c>
      <c r="AH13" s="7">
        <f t="shared" si="14"/>
        <v>0</v>
      </c>
      <c r="AI13" s="7">
        <f t="shared" si="15"/>
        <v>0</v>
      </c>
      <c r="AJ13" s="7">
        <f t="shared" si="16"/>
        <v>848.0099999999984</v>
      </c>
    </row>
    <row r="14" spans="1:36" ht="15" x14ac:dyDescent="0.25">
      <c r="A14" s="8" t="s">
        <v>16</v>
      </c>
      <c r="B14" s="9">
        <v>2</v>
      </c>
      <c r="C14" s="10">
        <v>22146.33</v>
      </c>
      <c r="D14" s="7">
        <f t="shared" si="3"/>
        <v>44292.66</v>
      </c>
      <c r="E14" s="9">
        <v>2</v>
      </c>
      <c r="F14" s="10">
        <v>23032.18</v>
      </c>
      <c r="G14" s="7">
        <f t="shared" si="4"/>
        <v>46064.36</v>
      </c>
      <c r="H14" s="11">
        <v>2</v>
      </c>
      <c r="I14" s="12">
        <v>22146.33</v>
      </c>
      <c r="J14" s="13">
        <f t="shared" si="5"/>
        <v>44292.66</v>
      </c>
      <c r="K14" s="11">
        <v>2</v>
      </c>
      <c r="L14" s="12">
        <v>22146.33</v>
      </c>
      <c r="M14" s="13">
        <f t="shared" si="17"/>
        <v>44292.66</v>
      </c>
      <c r="N14" s="14">
        <f t="shared" si="6"/>
        <v>2</v>
      </c>
      <c r="O14" s="10">
        <v>23032.18</v>
      </c>
      <c r="P14" s="7">
        <f t="shared" si="0"/>
        <v>46064.36</v>
      </c>
      <c r="Q14" s="11">
        <v>2</v>
      </c>
      <c r="R14" s="12">
        <v>23032.18</v>
      </c>
      <c r="S14" s="13">
        <f t="shared" si="18"/>
        <v>46064.36</v>
      </c>
      <c r="T14" s="14">
        <f t="shared" si="7"/>
        <v>2</v>
      </c>
      <c r="U14" s="10">
        <v>23953.47</v>
      </c>
      <c r="V14" s="7">
        <f t="shared" si="1"/>
        <v>47906.94</v>
      </c>
      <c r="W14" s="7">
        <f t="shared" si="8"/>
        <v>0</v>
      </c>
      <c r="X14" s="7">
        <f t="shared" si="9"/>
        <v>0</v>
      </c>
      <c r="Y14" s="7">
        <f t="shared" si="10"/>
        <v>0</v>
      </c>
      <c r="Z14" s="7">
        <f t="shared" si="11"/>
        <v>1842.5800000000017</v>
      </c>
      <c r="AA14" s="11">
        <v>2</v>
      </c>
      <c r="AB14" s="12">
        <v>23953.47</v>
      </c>
      <c r="AC14" s="13">
        <f t="shared" si="19"/>
        <v>47906.94</v>
      </c>
      <c r="AD14" s="14">
        <f t="shared" si="12"/>
        <v>2</v>
      </c>
      <c r="AE14" s="10">
        <v>24911.61</v>
      </c>
      <c r="AF14" s="7">
        <f t="shared" si="2"/>
        <v>49823.22</v>
      </c>
      <c r="AG14" s="7">
        <f t="shared" si="13"/>
        <v>0</v>
      </c>
      <c r="AH14" s="7">
        <f t="shared" si="14"/>
        <v>0</v>
      </c>
      <c r="AI14" s="7">
        <f t="shared" si="15"/>
        <v>0</v>
      </c>
      <c r="AJ14" s="7">
        <f t="shared" si="16"/>
        <v>1916.2799999999988</v>
      </c>
    </row>
    <row r="15" spans="1:36" s="37" customFormat="1" ht="15" x14ac:dyDescent="0.25">
      <c r="A15" s="32" t="s">
        <v>17</v>
      </c>
      <c r="B15" s="33">
        <v>6</v>
      </c>
      <c r="C15" s="34">
        <v>19600.740000000002</v>
      </c>
      <c r="D15" s="35">
        <f t="shared" si="3"/>
        <v>117604.44</v>
      </c>
      <c r="E15" s="33">
        <v>6</v>
      </c>
      <c r="F15" s="34">
        <v>20384.77</v>
      </c>
      <c r="G15" s="35">
        <f t="shared" si="4"/>
        <v>122308.62</v>
      </c>
      <c r="H15" s="33">
        <v>6</v>
      </c>
      <c r="I15" s="34">
        <v>19600.740000000002</v>
      </c>
      <c r="J15" s="35">
        <f t="shared" si="5"/>
        <v>117604.44</v>
      </c>
      <c r="K15" s="33">
        <v>6</v>
      </c>
      <c r="L15" s="34">
        <v>19600.740000000002</v>
      </c>
      <c r="M15" s="35">
        <f t="shared" si="17"/>
        <v>117604.44</v>
      </c>
      <c r="N15" s="36">
        <f t="shared" si="6"/>
        <v>6</v>
      </c>
      <c r="O15" s="34">
        <v>20384.77</v>
      </c>
      <c r="P15" s="35">
        <f t="shared" si="0"/>
        <v>122308.62</v>
      </c>
      <c r="Q15" s="33">
        <f>7-1</f>
        <v>6</v>
      </c>
      <c r="R15" s="34">
        <v>20384.77</v>
      </c>
      <c r="S15" s="35">
        <f t="shared" si="18"/>
        <v>122308.62</v>
      </c>
      <c r="T15" s="36">
        <f t="shared" si="7"/>
        <v>6</v>
      </c>
      <c r="U15" s="34">
        <v>21200.16</v>
      </c>
      <c r="V15" s="35">
        <f t="shared" si="1"/>
        <v>127200.95999999999</v>
      </c>
      <c r="W15" s="35">
        <f t="shared" si="8"/>
        <v>0</v>
      </c>
      <c r="X15" s="35">
        <f t="shared" si="9"/>
        <v>0</v>
      </c>
      <c r="Y15" s="35">
        <f t="shared" si="10"/>
        <v>0</v>
      </c>
      <c r="Z15" s="35">
        <f t="shared" si="11"/>
        <v>4892.3399999999965</v>
      </c>
      <c r="AA15" s="33">
        <f>7-1</f>
        <v>6</v>
      </c>
      <c r="AB15" s="34">
        <v>21200.16</v>
      </c>
      <c r="AC15" s="35">
        <f t="shared" si="19"/>
        <v>127200.95999999999</v>
      </c>
      <c r="AD15" s="36">
        <f t="shared" si="12"/>
        <v>6</v>
      </c>
      <c r="AE15" s="34">
        <v>22048.17</v>
      </c>
      <c r="AF15" s="35">
        <f t="shared" si="2"/>
        <v>132289.01999999999</v>
      </c>
      <c r="AG15" s="35">
        <f t="shared" si="13"/>
        <v>0</v>
      </c>
      <c r="AH15" s="35">
        <f t="shared" si="14"/>
        <v>0</v>
      </c>
      <c r="AI15" s="35">
        <f t="shared" si="15"/>
        <v>0</v>
      </c>
      <c r="AJ15" s="35">
        <f t="shared" si="16"/>
        <v>5088.0599999999977</v>
      </c>
    </row>
    <row r="16" spans="1:36" ht="15" x14ac:dyDescent="0.25">
      <c r="A16" s="8" t="s">
        <v>18</v>
      </c>
      <c r="B16" s="9">
        <v>1</v>
      </c>
      <c r="C16" s="10">
        <v>19091.66</v>
      </c>
      <c r="D16" s="7">
        <f t="shared" si="3"/>
        <v>19091.66</v>
      </c>
      <c r="E16" s="9">
        <v>1</v>
      </c>
      <c r="F16" s="10">
        <v>19855.330000000002</v>
      </c>
      <c r="G16" s="7">
        <f t="shared" si="4"/>
        <v>19855.330000000002</v>
      </c>
      <c r="H16" s="11">
        <v>1</v>
      </c>
      <c r="I16" s="12">
        <v>19091.66</v>
      </c>
      <c r="J16" s="13">
        <f t="shared" si="5"/>
        <v>19091.66</v>
      </c>
      <c r="K16" s="11">
        <v>1</v>
      </c>
      <c r="L16" s="12">
        <v>19091.66</v>
      </c>
      <c r="M16" s="13">
        <f t="shared" si="17"/>
        <v>19091.66</v>
      </c>
      <c r="N16" s="14">
        <f t="shared" si="6"/>
        <v>1</v>
      </c>
      <c r="O16" s="10">
        <v>19855.330000000002</v>
      </c>
      <c r="P16" s="7">
        <f t="shared" si="0"/>
        <v>19855.330000000002</v>
      </c>
      <c r="Q16" s="11">
        <v>1</v>
      </c>
      <c r="R16" s="12">
        <v>19855.330000000002</v>
      </c>
      <c r="S16" s="13">
        <f t="shared" si="18"/>
        <v>19855.330000000002</v>
      </c>
      <c r="T16" s="14">
        <f t="shared" si="7"/>
        <v>1</v>
      </c>
      <c r="U16" s="10">
        <v>20649.54</v>
      </c>
      <c r="V16" s="7">
        <f t="shared" si="1"/>
        <v>20649.54</v>
      </c>
      <c r="W16" s="7">
        <f t="shared" si="8"/>
        <v>0</v>
      </c>
      <c r="X16" s="7">
        <f t="shared" si="9"/>
        <v>0</v>
      </c>
      <c r="Y16" s="7">
        <f t="shared" si="10"/>
        <v>0</v>
      </c>
      <c r="Z16" s="7">
        <f t="shared" si="11"/>
        <v>794.20999999999913</v>
      </c>
      <c r="AA16" s="11">
        <v>1</v>
      </c>
      <c r="AB16" s="12">
        <v>20649.54</v>
      </c>
      <c r="AC16" s="13">
        <f t="shared" si="19"/>
        <v>20649.54</v>
      </c>
      <c r="AD16" s="14">
        <f t="shared" si="12"/>
        <v>1</v>
      </c>
      <c r="AE16" s="10">
        <v>21475.52</v>
      </c>
      <c r="AF16" s="7">
        <f t="shared" si="2"/>
        <v>21475.52</v>
      </c>
      <c r="AG16" s="7">
        <f t="shared" si="13"/>
        <v>0</v>
      </c>
      <c r="AH16" s="7">
        <f t="shared" si="14"/>
        <v>0</v>
      </c>
      <c r="AI16" s="7">
        <f t="shared" si="15"/>
        <v>0</v>
      </c>
      <c r="AJ16" s="7">
        <f t="shared" si="16"/>
        <v>825.97999999999956</v>
      </c>
    </row>
    <row r="17" spans="1:36" s="22" customFormat="1" ht="15" x14ac:dyDescent="0.25">
      <c r="A17" s="8" t="s">
        <v>19</v>
      </c>
      <c r="B17" s="9">
        <v>30</v>
      </c>
      <c r="C17" s="10">
        <v>16546.099999999999</v>
      </c>
      <c r="D17" s="7">
        <f t="shared" si="3"/>
        <v>496382.99999999994</v>
      </c>
      <c r="E17" s="9">
        <v>30</v>
      </c>
      <c r="F17" s="10">
        <v>17207.939999999999</v>
      </c>
      <c r="G17" s="7">
        <f t="shared" si="4"/>
        <v>516238.19999999995</v>
      </c>
      <c r="H17" s="11">
        <v>30</v>
      </c>
      <c r="I17" s="12">
        <v>16546.099999999999</v>
      </c>
      <c r="J17" s="13">
        <f t="shared" si="5"/>
        <v>496382.99999999994</v>
      </c>
      <c r="K17" s="11">
        <v>34</v>
      </c>
      <c r="L17" s="12">
        <v>16546.099999999999</v>
      </c>
      <c r="M17" s="13">
        <f t="shared" si="17"/>
        <v>562567.39999999991</v>
      </c>
      <c r="N17" s="14">
        <f t="shared" si="6"/>
        <v>34</v>
      </c>
      <c r="O17" s="10">
        <v>17207.939999999999</v>
      </c>
      <c r="P17" s="7">
        <f t="shared" si="0"/>
        <v>585069.96</v>
      </c>
      <c r="Q17" s="11">
        <v>34</v>
      </c>
      <c r="R17" s="12">
        <v>17207.939999999999</v>
      </c>
      <c r="S17" s="13">
        <f t="shared" si="18"/>
        <v>585069.96</v>
      </c>
      <c r="T17" s="14">
        <f t="shared" si="7"/>
        <v>34</v>
      </c>
      <c r="U17" s="10">
        <v>17896.259999999998</v>
      </c>
      <c r="V17" s="7">
        <f t="shared" si="1"/>
        <v>608472.84</v>
      </c>
      <c r="W17" s="7">
        <f t="shared" si="8"/>
        <v>0</v>
      </c>
      <c r="X17" s="7">
        <f t="shared" si="9"/>
        <v>0</v>
      </c>
      <c r="Y17" s="7">
        <f t="shared" si="10"/>
        <v>0</v>
      </c>
      <c r="Z17" s="7">
        <f t="shared" si="11"/>
        <v>23402.880000000005</v>
      </c>
      <c r="AA17" s="11">
        <v>34</v>
      </c>
      <c r="AB17" s="12">
        <v>17896.259999999998</v>
      </c>
      <c r="AC17" s="13">
        <f t="shared" si="19"/>
        <v>608472.84</v>
      </c>
      <c r="AD17" s="14">
        <f t="shared" si="12"/>
        <v>34</v>
      </c>
      <c r="AE17" s="10">
        <v>18612.11</v>
      </c>
      <c r="AF17" s="7">
        <f t="shared" si="2"/>
        <v>632811.74</v>
      </c>
      <c r="AG17" s="7">
        <f t="shared" si="13"/>
        <v>0</v>
      </c>
      <c r="AH17" s="7">
        <f t="shared" si="14"/>
        <v>0</v>
      </c>
      <c r="AI17" s="7">
        <f t="shared" si="15"/>
        <v>0</v>
      </c>
      <c r="AJ17" s="7">
        <f t="shared" si="16"/>
        <v>24338.900000000023</v>
      </c>
    </row>
    <row r="18" spans="1:36" ht="15" x14ac:dyDescent="0.25">
      <c r="A18" s="8" t="s">
        <v>20</v>
      </c>
      <c r="B18" s="9">
        <v>1</v>
      </c>
      <c r="C18" s="10">
        <v>16546.099999999999</v>
      </c>
      <c r="D18" s="7">
        <f t="shared" si="3"/>
        <v>16546.099999999999</v>
      </c>
      <c r="E18" s="9">
        <v>1</v>
      </c>
      <c r="F18" s="10">
        <v>17207.939999999999</v>
      </c>
      <c r="G18" s="7">
        <f t="shared" si="4"/>
        <v>17207.939999999999</v>
      </c>
      <c r="H18" s="11">
        <v>1</v>
      </c>
      <c r="I18" s="12">
        <v>16546.099999999999</v>
      </c>
      <c r="J18" s="13">
        <f t="shared" si="5"/>
        <v>16546.099999999999</v>
      </c>
      <c r="K18" s="11">
        <v>1</v>
      </c>
      <c r="L18" s="12">
        <v>16546.099999999999</v>
      </c>
      <c r="M18" s="13">
        <f t="shared" si="17"/>
        <v>16546.099999999999</v>
      </c>
      <c r="N18" s="14">
        <f t="shared" si="6"/>
        <v>1</v>
      </c>
      <c r="O18" s="10">
        <v>17207.939999999999</v>
      </c>
      <c r="P18" s="7">
        <f t="shared" si="0"/>
        <v>17207.939999999999</v>
      </c>
      <c r="Q18" s="11">
        <v>1</v>
      </c>
      <c r="R18" s="12">
        <v>17207.939999999999</v>
      </c>
      <c r="S18" s="13">
        <f t="shared" si="18"/>
        <v>17207.939999999999</v>
      </c>
      <c r="T18" s="14">
        <f t="shared" si="7"/>
        <v>1</v>
      </c>
      <c r="U18" s="10">
        <v>17896.259999999998</v>
      </c>
      <c r="V18" s="7">
        <f t="shared" si="1"/>
        <v>17896.259999999998</v>
      </c>
      <c r="W18" s="7">
        <f t="shared" si="8"/>
        <v>0</v>
      </c>
      <c r="X18" s="7">
        <f t="shared" si="9"/>
        <v>0</v>
      </c>
      <c r="Y18" s="7">
        <f t="shared" si="10"/>
        <v>0</v>
      </c>
      <c r="Z18" s="7">
        <f t="shared" si="11"/>
        <v>688.31999999999971</v>
      </c>
      <c r="AA18" s="11">
        <v>1</v>
      </c>
      <c r="AB18" s="12">
        <v>17896.259999999998</v>
      </c>
      <c r="AC18" s="13">
        <f t="shared" si="19"/>
        <v>17896.259999999998</v>
      </c>
      <c r="AD18" s="14">
        <f t="shared" si="12"/>
        <v>1</v>
      </c>
      <c r="AE18" s="10">
        <v>18612.11</v>
      </c>
      <c r="AF18" s="7">
        <f t="shared" si="2"/>
        <v>18612.11</v>
      </c>
      <c r="AG18" s="7">
        <f t="shared" si="13"/>
        <v>0</v>
      </c>
      <c r="AH18" s="7">
        <f t="shared" si="14"/>
        <v>0</v>
      </c>
      <c r="AI18" s="7">
        <f t="shared" si="15"/>
        <v>0</v>
      </c>
      <c r="AJ18" s="7">
        <f t="shared" si="16"/>
        <v>715.85000000000218</v>
      </c>
    </row>
    <row r="19" spans="1:36" ht="15" x14ac:dyDescent="0.25">
      <c r="A19" s="8" t="s">
        <v>21</v>
      </c>
      <c r="B19" s="9">
        <v>8</v>
      </c>
      <c r="C19" s="10">
        <v>16546.099999999999</v>
      </c>
      <c r="D19" s="7">
        <f t="shared" si="3"/>
        <v>132368.79999999999</v>
      </c>
      <c r="E19" s="9">
        <v>8</v>
      </c>
      <c r="F19" s="10">
        <v>17207.939999999999</v>
      </c>
      <c r="G19" s="7">
        <f t="shared" si="4"/>
        <v>137663.51999999999</v>
      </c>
      <c r="H19" s="11">
        <v>8</v>
      </c>
      <c r="I19" s="12">
        <v>16546.099999999999</v>
      </c>
      <c r="J19" s="13">
        <f t="shared" si="5"/>
        <v>132368.79999999999</v>
      </c>
      <c r="K19" s="11">
        <v>8</v>
      </c>
      <c r="L19" s="12">
        <v>16546.099999999999</v>
      </c>
      <c r="M19" s="13">
        <f t="shared" si="17"/>
        <v>132368.79999999999</v>
      </c>
      <c r="N19" s="14">
        <f t="shared" si="6"/>
        <v>8</v>
      </c>
      <c r="O19" s="10">
        <v>17207.939999999999</v>
      </c>
      <c r="P19" s="7">
        <f t="shared" si="0"/>
        <v>137663.51999999999</v>
      </c>
      <c r="Q19" s="11">
        <v>8</v>
      </c>
      <c r="R19" s="12">
        <v>17207.939999999999</v>
      </c>
      <c r="S19" s="13">
        <f t="shared" si="18"/>
        <v>137663.51999999999</v>
      </c>
      <c r="T19" s="14">
        <f t="shared" si="7"/>
        <v>8</v>
      </c>
      <c r="U19" s="10">
        <v>17896.259999999998</v>
      </c>
      <c r="V19" s="7">
        <f t="shared" si="1"/>
        <v>143170.07999999999</v>
      </c>
      <c r="W19" s="7">
        <f t="shared" si="8"/>
        <v>0</v>
      </c>
      <c r="X19" s="7">
        <f t="shared" si="9"/>
        <v>0</v>
      </c>
      <c r="Y19" s="7">
        <f t="shared" si="10"/>
        <v>0</v>
      </c>
      <c r="Z19" s="7">
        <f t="shared" si="11"/>
        <v>5506.5599999999977</v>
      </c>
      <c r="AA19" s="11">
        <v>8</v>
      </c>
      <c r="AB19" s="12">
        <v>17896.259999999998</v>
      </c>
      <c r="AC19" s="13">
        <f t="shared" si="19"/>
        <v>143170.07999999999</v>
      </c>
      <c r="AD19" s="14">
        <f t="shared" si="12"/>
        <v>8</v>
      </c>
      <c r="AE19" s="10">
        <v>18612.11</v>
      </c>
      <c r="AF19" s="7">
        <f t="shared" si="2"/>
        <v>148896.88</v>
      </c>
      <c r="AG19" s="7">
        <f t="shared" si="13"/>
        <v>0</v>
      </c>
      <c r="AH19" s="7">
        <f t="shared" si="14"/>
        <v>0</v>
      </c>
      <c r="AI19" s="7">
        <f t="shared" si="15"/>
        <v>0</v>
      </c>
      <c r="AJ19" s="7">
        <f t="shared" si="16"/>
        <v>5726.8000000000175</v>
      </c>
    </row>
    <row r="20" spans="1:36" s="38" customFormat="1" ht="15" x14ac:dyDescent="0.25">
      <c r="A20" s="32" t="s">
        <v>22</v>
      </c>
      <c r="B20" s="33">
        <v>17</v>
      </c>
      <c r="C20" s="34">
        <v>14255.12</v>
      </c>
      <c r="D20" s="35">
        <f t="shared" si="3"/>
        <v>242337.04</v>
      </c>
      <c r="E20" s="33">
        <v>17</v>
      </c>
      <c r="F20" s="34">
        <v>14825.32</v>
      </c>
      <c r="G20" s="35">
        <f t="shared" si="4"/>
        <v>252030.44</v>
      </c>
      <c r="H20" s="33">
        <v>18</v>
      </c>
      <c r="I20" s="34">
        <v>14255.12</v>
      </c>
      <c r="J20" s="35">
        <f t="shared" si="5"/>
        <v>256592.16</v>
      </c>
      <c r="K20" s="33">
        <v>15</v>
      </c>
      <c r="L20" s="34">
        <v>14255.12</v>
      </c>
      <c r="M20" s="35">
        <f t="shared" si="17"/>
        <v>213826.80000000002</v>
      </c>
      <c r="N20" s="36">
        <f t="shared" si="6"/>
        <v>15</v>
      </c>
      <c r="O20" s="34">
        <v>14825.32</v>
      </c>
      <c r="P20" s="35">
        <f t="shared" si="0"/>
        <v>222379.8</v>
      </c>
      <c r="Q20" s="33">
        <f>14+1</f>
        <v>15</v>
      </c>
      <c r="R20" s="34">
        <v>14825.32</v>
      </c>
      <c r="S20" s="35">
        <f t="shared" si="18"/>
        <v>222379.8</v>
      </c>
      <c r="T20" s="36">
        <f t="shared" si="7"/>
        <v>15</v>
      </c>
      <c r="U20" s="34">
        <v>15418.33</v>
      </c>
      <c r="V20" s="35">
        <f t="shared" si="1"/>
        <v>231274.95</v>
      </c>
      <c r="W20" s="35">
        <f t="shared" si="8"/>
        <v>0</v>
      </c>
      <c r="X20" s="35">
        <f t="shared" si="9"/>
        <v>0</v>
      </c>
      <c r="Y20" s="35">
        <f t="shared" si="10"/>
        <v>0</v>
      </c>
      <c r="Z20" s="35">
        <f t="shared" si="11"/>
        <v>8895.1500000000233</v>
      </c>
      <c r="AA20" s="33">
        <f>1+14</f>
        <v>15</v>
      </c>
      <c r="AB20" s="34">
        <v>15418.33</v>
      </c>
      <c r="AC20" s="35">
        <f t="shared" si="19"/>
        <v>231274.95</v>
      </c>
      <c r="AD20" s="36">
        <f t="shared" si="12"/>
        <v>15</v>
      </c>
      <c r="AE20" s="34">
        <v>16035.06</v>
      </c>
      <c r="AF20" s="35">
        <f t="shared" si="2"/>
        <v>240525.9</v>
      </c>
      <c r="AG20" s="35">
        <f t="shared" si="13"/>
        <v>0</v>
      </c>
      <c r="AH20" s="35">
        <f t="shared" si="14"/>
        <v>0</v>
      </c>
      <c r="AI20" s="35">
        <f t="shared" si="15"/>
        <v>0</v>
      </c>
      <c r="AJ20" s="35">
        <f t="shared" si="16"/>
        <v>9250.9499999999825</v>
      </c>
    </row>
    <row r="21" spans="1:36" ht="15" x14ac:dyDescent="0.25">
      <c r="A21" s="8" t="s">
        <v>23</v>
      </c>
      <c r="B21" s="9">
        <v>6</v>
      </c>
      <c r="C21" s="10">
        <v>19091.66</v>
      </c>
      <c r="D21" s="7">
        <f t="shared" si="3"/>
        <v>114549.95999999999</v>
      </c>
      <c r="E21" s="9">
        <v>6</v>
      </c>
      <c r="F21" s="10">
        <v>19855.330000000002</v>
      </c>
      <c r="G21" s="7">
        <f t="shared" si="4"/>
        <v>119131.98000000001</v>
      </c>
      <c r="H21" s="11">
        <v>6</v>
      </c>
      <c r="I21" s="12">
        <v>19091.66</v>
      </c>
      <c r="J21" s="13">
        <f t="shared" si="5"/>
        <v>114549.95999999999</v>
      </c>
      <c r="K21" s="11">
        <v>6</v>
      </c>
      <c r="L21" s="12">
        <v>19091.66</v>
      </c>
      <c r="M21" s="13">
        <f t="shared" si="17"/>
        <v>114549.95999999999</v>
      </c>
      <c r="N21" s="14">
        <f t="shared" si="6"/>
        <v>6</v>
      </c>
      <c r="O21" s="10">
        <v>19855.330000000002</v>
      </c>
      <c r="P21" s="7">
        <f t="shared" si="0"/>
        <v>119131.98000000001</v>
      </c>
      <c r="Q21" s="11">
        <v>6</v>
      </c>
      <c r="R21" s="12">
        <v>19855.330000000002</v>
      </c>
      <c r="S21" s="13">
        <f t="shared" si="18"/>
        <v>119131.98000000001</v>
      </c>
      <c r="T21" s="14">
        <f t="shared" si="7"/>
        <v>6</v>
      </c>
      <c r="U21" s="10">
        <v>20649.54</v>
      </c>
      <c r="V21" s="7">
        <f t="shared" si="1"/>
        <v>123897.24</v>
      </c>
      <c r="W21" s="7">
        <f t="shared" si="8"/>
        <v>0</v>
      </c>
      <c r="X21" s="7">
        <f t="shared" si="9"/>
        <v>0</v>
      </c>
      <c r="Y21" s="7">
        <f t="shared" si="10"/>
        <v>0</v>
      </c>
      <c r="Z21" s="7">
        <f t="shared" si="11"/>
        <v>4765.2599999999948</v>
      </c>
      <c r="AA21" s="11">
        <v>6</v>
      </c>
      <c r="AB21" s="12">
        <v>20649.54</v>
      </c>
      <c r="AC21" s="13">
        <f t="shared" si="19"/>
        <v>123897.24</v>
      </c>
      <c r="AD21" s="14">
        <f t="shared" si="12"/>
        <v>6</v>
      </c>
      <c r="AE21" s="10">
        <v>21475.52</v>
      </c>
      <c r="AF21" s="7">
        <f t="shared" si="2"/>
        <v>128853.12</v>
      </c>
      <c r="AG21" s="7">
        <f t="shared" si="13"/>
        <v>0</v>
      </c>
      <c r="AH21" s="7">
        <f t="shared" si="14"/>
        <v>0</v>
      </c>
      <c r="AI21" s="7">
        <f t="shared" si="15"/>
        <v>0</v>
      </c>
      <c r="AJ21" s="7">
        <f t="shared" si="16"/>
        <v>4955.8799999999901</v>
      </c>
    </row>
    <row r="22" spans="1:36" ht="15" x14ac:dyDescent="0.25">
      <c r="A22" s="8" t="s">
        <v>24</v>
      </c>
      <c r="B22" s="9">
        <v>11</v>
      </c>
      <c r="C22" s="10">
        <v>15273.33</v>
      </c>
      <c r="D22" s="7">
        <f t="shared" si="3"/>
        <v>168006.63</v>
      </c>
      <c r="E22" s="9">
        <v>11</v>
      </c>
      <c r="F22" s="10">
        <v>15884.26</v>
      </c>
      <c r="G22" s="7">
        <f t="shared" si="4"/>
        <v>174726.86000000002</v>
      </c>
      <c r="H22" s="11">
        <v>11</v>
      </c>
      <c r="I22" s="12">
        <v>15273.33</v>
      </c>
      <c r="J22" s="13">
        <f t="shared" si="5"/>
        <v>168006.63</v>
      </c>
      <c r="K22" s="11">
        <v>11</v>
      </c>
      <c r="L22" s="12">
        <v>15273.33</v>
      </c>
      <c r="M22" s="13">
        <f t="shared" si="17"/>
        <v>168006.63</v>
      </c>
      <c r="N22" s="14">
        <f t="shared" si="6"/>
        <v>11</v>
      </c>
      <c r="O22" s="10">
        <v>15884.26</v>
      </c>
      <c r="P22" s="7">
        <f t="shared" si="0"/>
        <v>174726.86000000002</v>
      </c>
      <c r="Q22" s="11">
        <v>11</v>
      </c>
      <c r="R22" s="12">
        <v>15884.26</v>
      </c>
      <c r="S22" s="13">
        <f t="shared" si="18"/>
        <v>174726.86000000002</v>
      </c>
      <c r="T22" s="14">
        <f t="shared" si="7"/>
        <v>11</v>
      </c>
      <c r="U22" s="10">
        <v>16519.63</v>
      </c>
      <c r="V22" s="7">
        <f t="shared" si="1"/>
        <v>181715.93000000002</v>
      </c>
      <c r="W22" s="7">
        <f t="shared" si="8"/>
        <v>0</v>
      </c>
      <c r="X22" s="7">
        <f t="shared" si="9"/>
        <v>0</v>
      </c>
      <c r="Y22" s="7">
        <f t="shared" si="10"/>
        <v>0</v>
      </c>
      <c r="Z22" s="7">
        <f t="shared" si="11"/>
        <v>6989.070000000007</v>
      </c>
      <c r="AA22" s="11">
        <v>11</v>
      </c>
      <c r="AB22" s="12">
        <v>16519.63</v>
      </c>
      <c r="AC22" s="13">
        <f t="shared" si="19"/>
        <v>181715.93000000002</v>
      </c>
      <c r="AD22" s="14">
        <f t="shared" si="12"/>
        <v>11</v>
      </c>
      <c r="AE22" s="10">
        <v>17180.419999999998</v>
      </c>
      <c r="AF22" s="7">
        <f t="shared" si="2"/>
        <v>188984.62</v>
      </c>
      <c r="AG22" s="7">
        <f t="shared" si="13"/>
        <v>0</v>
      </c>
      <c r="AH22" s="7">
        <f t="shared" si="14"/>
        <v>0</v>
      </c>
      <c r="AI22" s="7">
        <f t="shared" si="15"/>
        <v>0</v>
      </c>
      <c r="AJ22" s="7">
        <f t="shared" si="16"/>
        <v>7268.6899999999732</v>
      </c>
    </row>
    <row r="23" spans="1:36" ht="16.5" customHeight="1" x14ac:dyDescent="0.25">
      <c r="A23" s="8" t="s">
        <v>25</v>
      </c>
      <c r="B23" s="9">
        <v>6</v>
      </c>
      <c r="C23" s="10">
        <v>15273.33</v>
      </c>
      <c r="D23" s="7">
        <f t="shared" si="3"/>
        <v>91639.98</v>
      </c>
      <c r="E23" s="9">
        <v>6</v>
      </c>
      <c r="F23" s="10">
        <v>15884.26</v>
      </c>
      <c r="G23" s="7">
        <f t="shared" si="4"/>
        <v>95305.56</v>
      </c>
      <c r="H23" s="11">
        <v>5</v>
      </c>
      <c r="I23" s="12">
        <v>15273.33</v>
      </c>
      <c r="J23" s="13">
        <f t="shared" si="5"/>
        <v>76366.649999999994</v>
      </c>
      <c r="K23" s="11">
        <v>5</v>
      </c>
      <c r="L23" s="12">
        <v>15273.33</v>
      </c>
      <c r="M23" s="13">
        <f t="shared" si="17"/>
        <v>76366.649999999994</v>
      </c>
      <c r="N23" s="14">
        <f t="shared" si="6"/>
        <v>5</v>
      </c>
      <c r="O23" s="10">
        <v>15884.26</v>
      </c>
      <c r="P23" s="7">
        <f t="shared" si="0"/>
        <v>79421.3</v>
      </c>
      <c r="Q23" s="11">
        <v>5</v>
      </c>
      <c r="R23" s="12">
        <v>15884.26</v>
      </c>
      <c r="S23" s="13">
        <f t="shared" si="18"/>
        <v>79421.3</v>
      </c>
      <c r="T23" s="14">
        <f t="shared" si="7"/>
        <v>5</v>
      </c>
      <c r="U23" s="10">
        <v>16519.63</v>
      </c>
      <c r="V23" s="7">
        <f t="shared" si="1"/>
        <v>82598.150000000009</v>
      </c>
      <c r="W23" s="7">
        <f t="shared" si="8"/>
        <v>0</v>
      </c>
      <c r="X23" s="7">
        <f t="shared" si="9"/>
        <v>0</v>
      </c>
      <c r="Y23" s="7">
        <f t="shared" si="10"/>
        <v>0</v>
      </c>
      <c r="Z23" s="7">
        <f t="shared" si="11"/>
        <v>3176.8500000000058</v>
      </c>
      <c r="AA23" s="11">
        <v>5</v>
      </c>
      <c r="AB23" s="12">
        <v>16519.63</v>
      </c>
      <c r="AC23" s="13">
        <f t="shared" si="19"/>
        <v>82598.150000000009</v>
      </c>
      <c r="AD23" s="14">
        <f t="shared" si="12"/>
        <v>5</v>
      </c>
      <c r="AE23" s="10">
        <v>17180.419999999998</v>
      </c>
      <c r="AF23" s="7">
        <f t="shared" si="2"/>
        <v>85902.099999999991</v>
      </c>
      <c r="AG23" s="7">
        <f t="shared" si="13"/>
        <v>0</v>
      </c>
      <c r="AH23" s="7">
        <f t="shared" si="14"/>
        <v>0</v>
      </c>
      <c r="AI23" s="7">
        <f t="shared" si="15"/>
        <v>0</v>
      </c>
      <c r="AJ23" s="7">
        <f t="shared" si="16"/>
        <v>3303.9499999999825</v>
      </c>
    </row>
    <row r="24" spans="1:36" ht="15" x14ac:dyDescent="0.25">
      <c r="A24" s="8" t="s">
        <v>26</v>
      </c>
      <c r="B24" s="9">
        <v>9</v>
      </c>
      <c r="C24" s="10">
        <v>12727.76</v>
      </c>
      <c r="D24" s="7">
        <f t="shared" si="3"/>
        <v>114549.84</v>
      </c>
      <c r="E24" s="9">
        <v>9</v>
      </c>
      <c r="F24" s="10">
        <v>13236.87</v>
      </c>
      <c r="G24" s="7">
        <f t="shared" si="4"/>
        <v>119131.83</v>
      </c>
      <c r="H24" s="11">
        <v>9</v>
      </c>
      <c r="I24" s="12">
        <v>12727.76</v>
      </c>
      <c r="J24" s="13">
        <f t="shared" si="5"/>
        <v>114549.84</v>
      </c>
      <c r="K24" s="11">
        <v>9</v>
      </c>
      <c r="L24" s="12">
        <v>12727.76</v>
      </c>
      <c r="M24" s="13">
        <f t="shared" si="17"/>
        <v>114549.84</v>
      </c>
      <c r="N24" s="14">
        <f t="shared" si="6"/>
        <v>9</v>
      </c>
      <c r="O24" s="10">
        <v>13236.87</v>
      </c>
      <c r="P24" s="7">
        <f t="shared" si="0"/>
        <v>119131.83</v>
      </c>
      <c r="Q24" s="11">
        <v>9</v>
      </c>
      <c r="R24" s="12">
        <v>13236.87</v>
      </c>
      <c r="S24" s="13">
        <f t="shared" si="18"/>
        <v>119131.83</v>
      </c>
      <c r="T24" s="14">
        <f t="shared" si="7"/>
        <v>9</v>
      </c>
      <c r="U24" s="10">
        <v>13766.34</v>
      </c>
      <c r="V24" s="7">
        <f t="shared" si="1"/>
        <v>123897.06</v>
      </c>
      <c r="W24" s="7">
        <f t="shared" si="8"/>
        <v>0</v>
      </c>
      <c r="X24" s="7">
        <f t="shared" si="9"/>
        <v>0</v>
      </c>
      <c r="Y24" s="7">
        <f t="shared" si="10"/>
        <v>0</v>
      </c>
      <c r="Z24" s="7">
        <f t="shared" si="11"/>
        <v>4765.2299999999959</v>
      </c>
      <c r="AA24" s="11">
        <v>9</v>
      </c>
      <c r="AB24" s="12">
        <v>13766.34</v>
      </c>
      <c r="AC24" s="13">
        <f t="shared" si="19"/>
        <v>123897.06</v>
      </c>
      <c r="AD24" s="14">
        <f t="shared" si="12"/>
        <v>9</v>
      </c>
      <c r="AE24" s="10">
        <v>14316.99</v>
      </c>
      <c r="AF24" s="7">
        <f t="shared" si="2"/>
        <v>128852.91</v>
      </c>
      <c r="AG24" s="7">
        <f t="shared" si="13"/>
        <v>0</v>
      </c>
      <c r="AH24" s="7">
        <f t="shared" si="14"/>
        <v>0</v>
      </c>
      <c r="AI24" s="7">
        <f t="shared" si="15"/>
        <v>0</v>
      </c>
      <c r="AJ24" s="7">
        <f t="shared" si="16"/>
        <v>4955.8500000000058</v>
      </c>
    </row>
    <row r="25" spans="1:36" ht="15" x14ac:dyDescent="0.25">
      <c r="A25" s="8" t="s">
        <v>27</v>
      </c>
      <c r="B25" s="9">
        <v>1</v>
      </c>
      <c r="C25" s="10">
        <v>11455</v>
      </c>
      <c r="D25" s="7">
        <f t="shared" si="3"/>
        <v>11455</v>
      </c>
      <c r="E25" s="9">
        <v>1</v>
      </c>
      <c r="F25" s="10">
        <v>11913.2</v>
      </c>
      <c r="G25" s="7">
        <f t="shared" si="4"/>
        <v>11913.2</v>
      </c>
      <c r="H25" s="9">
        <v>1</v>
      </c>
      <c r="I25" s="10">
        <v>11455</v>
      </c>
      <c r="J25" s="7">
        <f t="shared" si="5"/>
        <v>11455</v>
      </c>
      <c r="K25" s="9">
        <v>1</v>
      </c>
      <c r="L25" s="10">
        <v>11455</v>
      </c>
      <c r="M25" s="7">
        <f t="shared" si="17"/>
        <v>11455</v>
      </c>
      <c r="N25" s="5">
        <f t="shared" si="6"/>
        <v>1</v>
      </c>
      <c r="O25" s="10">
        <v>11913.2</v>
      </c>
      <c r="P25" s="7">
        <f t="shared" si="0"/>
        <v>11913.2</v>
      </c>
      <c r="Q25" s="9">
        <v>1</v>
      </c>
      <c r="R25" s="10">
        <v>11913.2</v>
      </c>
      <c r="S25" s="7">
        <f t="shared" si="18"/>
        <v>11913.2</v>
      </c>
      <c r="T25" s="5">
        <f t="shared" si="7"/>
        <v>1</v>
      </c>
      <c r="U25" s="10">
        <v>12389.73</v>
      </c>
      <c r="V25" s="7">
        <f t="shared" si="1"/>
        <v>12389.73</v>
      </c>
      <c r="W25" s="7">
        <f t="shared" si="8"/>
        <v>0</v>
      </c>
      <c r="X25" s="7">
        <f t="shared" si="9"/>
        <v>0</v>
      </c>
      <c r="Y25" s="7">
        <f t="shared" si="10"/>
        <v>0</v>
      </c>
      <c r="Z25" s="7">
        <f t="shared" si="11"/>
        <v>476.52999999999884</v>
      </c>
      <c r="AA25" s="9">
        <v>1</v>
      </c>
      <c r="AB25" s="10">
        <v>12389.73</v>
      </c>
      <c r="AC25" s="7">
        <f t="shared" si="19"/>
        <v>12389.73</v>
      </c>
      <c r="AD25" s="5">
        <f t="shared" si="12"/>
        <v>1</v>
      </c>
      <c r="AE25" s="10">
        <v>12885.32</v>
      </c>
      <c r="AF25" s="7">
        <f t="shared" si="2"/>
        <v>12885.32</v>
      </c>
      <c r="AG25" s="7">
        <f t="shared" si="13"/>
        <v>0</v>
      </c>
      <c r="AH25" s="7">
        <f t="shared" si="14"/>
        <v>0</v>
      </c>
      <c r="AI25" s="7">
        <f t="shared" si="15"/>
        <v>0</v>
      </c>
      <c r="AJ25" s="7">
        <f t="shared" si="16"/>
        <v>495.59000000000015</v>
      </c>
    </row>
    <row r="26" spans="1:36" ht="15.75" thickBot="1" x14ac:dyDescent="0.3">
      <c r="A26" s="23" t="s">
        <v>28</v>
      </c>
      <c r="B26" s="24">
        <v>9</v>
      </c>
      <c r="C26" s="25">
        <v>11455</v>
      </c>
      <c r="D26" s="7">
        <f t="shared" si="3"/>
        <v>103095</v>
      </c>
      <c r="E26" s="24">
        <v>9</v>
      </c>
      <c r="F26" s="25">
        <v>11913.2</v>
      </c>
      <c r="G26" s="26">
        <f t="shared" si="4"/>
        <v>107218.8</v>
      </c>
      <c r="H26" s="24">
        <v>9</v>
      </c>
      <c r="I26" s="25">
        <v>11455</v>
      </c>
      <c r="J26" s="7">
        <f t="shared" si="5"/>
        <v>103095</v>
      </c>
      <c r="K26" s="24">
        <v>9</v>
      </c>
      <c r="L26" s="25">
        <v>11455</v>
      </c>
      <c r="M26" s="26">
        <f t="shared" si="17"/>
        <v>103095</v>
      </c>
      <c r="N26" s="5">
        <f t="shared" si="6"/>
        <v>9</v>
      </c>
      <c r="O26" s="25">
        <v>11913.2</v>
      </c>
      <c r="P26" s="26">
        <f t="shared" si="0"/>
        <v>107218.8</v>
      </c>
      <c r="Q26" s="24">
        <v>9</v>
      </c>
      <c r="R26" s="25">
        <v>11913.2</v>
      </c>
      <c r="S26" s="26">
        <f t="shared" si="18"/>
        <v>107218.8</v>
      </c>
      <c r="T26" s="5">
        <f t="shared" si="7"/>
        <v>9</v>
      </c>
      <c r="U26" s="25">
        <v>12389.73</v>
      </c>
      <c r="V26" s="26">
        <f t="shared" si="1"/>
        <v>111507.56999999999</v>
      </c>
      <c r="W26" s="7">
        <f t="shared" si="8"/>
        <v>0</v>
      </c>
      <c r="X26" s="26">
        <f t="shared" si="9"/>
        <v>0</v>
      </c>
      <c r="Y26" s="26">
        <f t="shared" si="10"/>
        <v>0</v>
      </c>
      <c r="Z26" s="7">
        <f t="shared" si="11"/>
        <v>4288.7699999999895</v>
      </c>
      <c r="AA26" s="24">
        <v>9</v>
      </c>
      <c r="AB26" s="25">
        <v>12389.73</v>
      </c>
      <c r="AC26" s="26">
        <f t="shared" si="19"/>
        <v>111507.56999999999</v>
      </c>
      <c r="AD26" s="5">
        <f t="shared" si="12"/>
        <v>9</v>
      </c>
      <c r="AE26" s="25">
        <v>12885.32</v>
      </c>
      <c r="AF26" s="26">
        <f t="shared" si="2"/>
        <v>115967.88</v>
      </c>
      <c r="AG26" s="26">
        <f t="shared" si="13"/>
        <v>0</v>
      </c>
      <c r="AH26" s="26">
        <f t="shared" si="14"/>
        <v>0</v>
      </c>
      <c r="AI26" s="26">
        <f t="shared" si="15"/>
        <v>0</v>
      </c>
      <c r="AJ26" s="26">
        <f t="shared" si="16"/>
        <v>4460.3100000000122</v>
      </c>
    </row>
    <row r="27" spans="1:36" ht="15.75" thickBot="1" x14ac:dyDescent="0.3">
      <c r="A27" s="27" t="s">
        <v>29</v>
      </c>
      <c r="B27" s="28">
        <v>123</v>
      </c>
      <c r="C27" s="28"/>
      <c r="D27" s="29">
        <f>SUM(D7:D26)</f>
        <v>2033133.74</v>
      </c>
      <c r="E27" s="28">
        <f>SUM(E7:E26)</f>
        <v>123</v>
      </c>
      <c r="F27" s="28"/>
      <c r="G27" s="29">
        <f>SUM(G7:G26)</f>
        <v>2114458.83</v>
      </c>
      <c r="H27" s="28">
        <v>123</v>
      </c>
      <c r="I27" s="28"/>
      <c r="J27" s="29">
        <f>SUM(J7:J26)</f>
        <v>2032115.53</v>
      </c>
      <c r="K27" s="28">
        <f>SUM(K7:K26)</f>
        <v>123</v>
      </c>
      <c r="L27" s="28"/>
      <c r="M27" s="29">
        <f>SUM(M7:M26)</f>
        <v>2033388.22</v>
      </c>
      <c r="N27" s="28">
        <f>SUM(N7:N26)</f>
        <v>123</v>
      </c>
      <c r="O27" s="28"/>
      <c r="P27" s="29">
        <f>SUM(P7:P26)</f>
        <v>2114723.4899999998</v>
      </c>
      <c r="Q27" s="28">
        <f>SUM(Q7:Q26)</f>
        <v>123</v>
      </c>
      <c r="R27" s="28"/>
      <c r="S27" s="29">
        <f>SUM(S7:S26)</f>
        <v>2114723.4899999998</v>
      </c>
      <c r="T27" s="28">
        <f>SUM(T7:T26)</f>
        <v>123</v>
      </c>
      <c r="U27" s="28"/>
      <c r="V27" s="29">
        <f>SUM(V7:V26)</f>
        <v>2199312.4699999997</v>
      </c>
      <c r="W27" s="29">
        <f t="shared" ref="W27" si="20">Q27-N27</f>
        <v>0</v>
      </c>
      <c r="X27" s="29">
        <f t="shared" ref="X27" si="21">R27-O27</f>
        <v>0</v>
      </c>
      <c r="Y27" s="39">
        <f t="shared" si="10"/>
        <v>0</v>
      </c>
      <c r="Z27" s="39">
        <f>V27-S27</f>
        <v>84588.979999999981</v>
      </c>
      <c r="AA27" s="28">
        <f>SUM(AA7:AA26)</f>
        <v>123</v>
      </c>
      <c r="AB27" s="28"/>
      <c r="AC27" s="29">
        <f>SUM(AC7:AC26)</f>
        <v>2199312.4699999997</v>
      </c>
      <c r="AD27" s="28">
        <f>SUM(AD7:AD26)</f>
        <v>123</v>
      </c>
      <c r="AE27" s="28"/>
      <c r="AF27" s="29">
        <f>SUM(AF7:AF26)</f>
        <v>2287284.9700000002</v>
      </c>
      <c r="AG27" s="39">
        <f>AA27-T27</f>
        <v>0</v>
      </c>
      <c r="AH27" s="39">
        <f>AC27-V27</f>
        <v>0</v>
      </c>
      <c r="AI27" s="39">
        <f t="shared" si="15"/>
        <v>0</v>
      </c>
      <c r="AJ27" s="29">
        <f>AF27-AC27</f>
        <v>87972.500000000466</v>
      </c>
    </row>
    <row r="29" spans="1:36" x14ac:dyDescent="0.2">
      <c r="C29" s="30"/>
      <c r="J29" s="31"/>
      <c r="M29" s="31"/>
      <c r="O29" s="30"/>
      <c r="P29" s="31"/>
      <c r="S29" s="31"/>
      <c r="U29" s="30"/>
      <c r="V29" s="31"/>
      <c r="W29" s="31"/>
      <c r="X29" s="31"/>
      <c r="Y29" s="31"/>
      <c r="Z29" s="31"/>
    </row>
    <row r="30" spans="1:36" x14ac:dyDescent="0.2">
      <c r="F30" s="31"/>
      <c r="J30" s="31"/>
      <c r="L30" s="31"/>
      <c r="M30" s="31"/>
      <c r="P30" s="31"/>
      <c r="R30" s="31"/>
      <c r="S30" s="31"/>
      <c r="V30" s="31"/>
      <c r="W30" s="31"/>
      <c r="X30" s="31"/>
    </row>
    <row r="31" spans="1:36" x14ac:dyDescent="0.2">
      <c r="I31" s="31"/>
      <c r="P31" s="31"/>
      <c r="V31" s="31"/>
      <c r="W31" s="31"/>
      <c r="X31" s="31"/>
    </row>
    <row r="32" spans="1:36" x14ac:dyDescent="0.2">
      <c r="F32" s="31"/>
      <c r="M32" s="31"/>
      <c r="P32" s="31"/>
      <c r="S32" s="31"/>
      <c r="V32" s="31"/>
      <c r="W32" s="31"/>
      <c r="X32" s="31"/>
    </row>
    <row r="33" spans="13:24" x14ac:dyDescent="0.2">
      <c r="P33" s="31"/>
      <c r="V33" s="31"/>
      <c r="W33" s="31"/>
      <c r="X33" s="31"/>
    </row>
    <row r="35" spans="13:24" x14ac:dyDescent="0.2">
      <c r="M35" s="31"/>
      <c r="N35" s="31"/>
      <c r="S35" s="31"/>
      <c r="T35" s="31"/>
    </row>
    <row r="36" spans="13:24" x14ac:dyDescent="0.2">
      <c r="N36" s="31"/>
      <c r="T36" s="31"/>
    </row>
    <row r="37" spans="13:24" x14ac:dyDescent="0.2">
      <c r="N37" s="31"/>
      <c r="T37" s="31"/>
    </row>
    <row r="38" spans="13:24" x14ac:dyDescent="0.2">
      <c r="N38" s="31"/>
      <c r="T38" s="31"/>
    </row>
    <row r="39" spans="13:24" x14ac:dyDescent="0.2">
      <c r="N39" s="31"/>
      <c r="T39" s="31"/>
    </row>
    <row r="40" spans="13:24" x14ac:dyDescent="0.2">
      <c r="N40" s="31"/>
      <c r="T40" s="31"/>
    </row>
    <row r="41" spans="13:24" x14ac:dyDescent="0.2">
      <c r="N41" s="31"/>
      <c r="T41" s="31"/>
    </row>
    <row r="42" spans="13:24" x14ac:dyDescent="0.2">
      <c r="N42" s="31"/>
      <c r="T42" s="31"/>
    </row>
    <row r="43" spans="13:24" x14ac:dyDescent="0.2">
      <c r="N43" s="31"/>
      <c r="T43" s="31"/>
    </row>
    <row r="44" spans="13:24" x14ac:dyDescent="0.2">
      <c r="N44" s="31"/>
      <c r="T44" s="31"/>
    </row>
    <row r="45" spans="13:24" x14ac:dyDescent="0.2">
      <c r="N45" s="31"/>
      <c r="T45" s="31"/>
    </row>
    <row r="46" spans="13:24" x14ac:dyDescent="0.2">
      <c r="N46" s="31"/>
      <c r="T46" s="31"/>
    </row>
    <row r="47" spans="13:24" x14ac:dyDescent="0.2">
      <c r="N47" s="31"/>
      <c r="T47" s="31"/>
    </row>
    <row r="48" spans="13:24" x14ac:dyDescent="0.2">
      <c r="N48" s="31"/>
      <c r="T48" s="31"/>
    </row>
    <row r="49" spans="14:20" x14ac:dyDescent="0.2">
      <c r="N49" s="31"/>
      <c r="T49" s="31"/>
    </row>
    <row r="50" spans="14:20" x14ac:dyDescent="0.2">
      <c r="N50" s="31"/>
      <c r="T50" s="31"/>
    </row>
    <row r="51" spans="14:20" x14ac:dyDescent="0.2">
      <c r="N51" s="31"/>
      <c r="T51" s="31"/>
    </row>
    <row r="52" spans="14:20" x14ac:dyDescent="0.2">
      <c r="N52" s="31"/>
      <c r="T52" s="31"/>
    </row>
    <row r="53" spans="14:20" x14ac:dyDescent="0.2">
      <c r="N53" s="31"/>
      <c r="T53" s="31"/>
    </row>
    <row r="54" spans="14:20" x14ac:dyDescent="0.2">
      <c r="N54" s="31"/>
      <c r="T54" s="31"/>
    </row>
  </sheetData>
  <mergeCells count="50">
    <mergeCell ref="AG4:AH4"/>
    <mergeCell ref="AI4:AJ4"/>
    <mergeCell ref="AG5:AG6"/>
    <mergeCell ref="AH5:AH6"/>
    <mergeCell ref="AI5:AI6"/>
    <mergeCell ref="AJ5:AJ6"/>
    <mergeCell ref="AA4:AC4"/>
    <mergeCell ref="AD4:AF4"/>
    <mergeCell ref="AA5:AA6"/>
    <mergeCell ref="AB5:AB6"/>
    <mergeCell ref="AC5:AC6"/>
    <mergeCell ref="AD5:AD6"/>
    <mergeCell ref="AE5:AE6"/>
    <mergeCell ref="AF5:AF6"/>
    <mergeCell ref="Z5:Z6"/>
    <mergeCell ref="Q4:S4"/>
    <mergeCell ref="T4:V4"/>
    <mergeCell ref="Q5:Q6"/>
    <mergeCell ref="R5:R6"/>
    <mergeCell ref="S5:S6"/>
    <mergeCell ref="T5:T6"/>
    <mergeCell ref="U5:U6"/>
    <mergeCell ref="Y5:Y6"/>
    <mergeCell ref="N5:N6"/>
    <mergeCell ref="O5:O6"/>
    <mergeCell ref="P5:P6"/>
    <mergeCell ref="W5:W6"/>
    <mergeCell ref="X5:X6"/>
    <mergeCell ref="V5:V6"/>
    <mergeCell ref="H5:H6"/>
    <mergeCell ref="I5:I6"/>
    <mergeCell ref="J5:J6"/>
    <mergeCell ref="K5:K6"/>
    <mergeCell ref="L5:L6"/>
    <mergeCell ref="A2:Z2"/>
    <mergeCell ref="A4:A6"/>
    <mergeCell ref="B4:D4"/>
    <mergeCell ref="E4:G4"/>
    <mergeCell ref="H4:J4"/>
    <mergeCell ref="K4:M4"/>
    <mergeCell ref="N4:P4"/>
    <mergeCell ref="W4:X4"/>
    <mergeCell ref="Y4:Z4"/>
    <mergeCell ref="M5:M6"/>
    <mergeCell ref="B5:B6"/>
    <mergeCell ref="C5:C6"/>
    <mergeCell ref="D5:D6"/>
    <mergeCell ref="E5:E6"/>
    <mergeCell ref="F5:F6"/>
    <mergeCell ref="G5:G6"/>
  </mergeCells>
  <pageMargins left="0.11811023622047245" right="0.11811023622047245" top="0.15748031496062992" bottom="0.15748031496062992" header="0.31496062992125984" footer="0.31496062992125984"/>
  <pageSetup paperSize="9"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"/>
  <sheetViews>
    <sheetView workbookViewId="0">
      <selection activeCell="L15" sqref="L15"/>
    </sheetView>
  </sheetViews>
  <sheetFormatPr defaultColWidth="9.140625" defaultRowHeight="12.75" x14ac:dyDescent="0.2"/>
  <cols>
    <col min="1" max="6" width="9.140625" style="42"/>
    <col min="7" max="7" width="12.85546875" style="42" bestFit="1" customWidth="1"/>
    <col min="8" max="8" width="11.85546875" style="42" bestFit="1" customWidth="1"/>
    <col min="9" max="9" width="26.5703125" style="42" customWidth="1"/>
    <col min="10" max="10" width="24" style="42" customWidth="1"/>
    <col min="11" max="11" width="26.140625" style="42" customWidth="1"/>
    <col min="12" max="12" width="22.85546875" style="42" customWidth="1"/>
    <col min="13" max="14" width="20.5703125" style="42" hidden="1" customWidth="1"/>
    <col min="15" max="15" width="9.140625" style="42"/>
    <col min="16" max="16" width="13.42578125" style="42" bestFit="1" customWidth="1"/>
    <col min="17" max="16384" width="9.140625" style="42"/>
  </cols>
  <sheetData>
    <row r="1" spans="1:16" ht="15.75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1" t="s">
        <v>35</v>
      </c>
    </row>
    <row r="2" spans="1:16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6" ht="48" customHeight="1" x14ac:dyDescent="0.2">
      <c r="A3" s="264" t="s">
        <v>36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</row>
    <row r="4" spans="1:16" x14ac:dyDescent="0.2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6" ht="13.5" customHeight="1" x14ac:dyDescent="0.2">
      <c r="A5" s="44"/>
      <c r="B5" s="45"/>
      <c r="C5" s="45"/>
      <c r="D5" s="45"/>
      <c r="E5" s="45"/>
      <c r="F5" s="45"/>
      <c r="G5" s="45"/>
      <c r="H5" s="45"/>
      <c r="I5" s="46"/>
      <c r="J5" s="46"/>
      <c r="K5" s="46"/>
      <c r="L5" s="46"/>
      <c r="M5" s="46"/>
      <c r="N5" s="47" t="s">
        <v>37</v>
      </c>
    </row>
    <row r="6" spans="1:16" ht="15.75" customHeight="1" x14ac:dyDescent="0.2">
      <c r="A6" s="48"/>
      <c r="B6" s="265"/>
      <c r="C6" s="266"/>
      <c r="D6" s="266"/>
      <c r="E6" s="266"/>
      <c r="F6" s="266"/>
      <c r="G6" s="266"/>
      <c r="H6" s="267"/>
      <c r="I6" s="276" t="s">
        <v>38</v>
      </c>
      <c r="J6" s="277" t="s">
        <v>39</v>
      </c>
      <c r="K6" s="277" t="s">
        <v>40</v>
      </c>
      <c r="L6" s="277" t="s">
        <v>41</v>
      </c>
      <c r="M6" s="278" t="s">
        <v>42</v>
      </c>
      <c r="N6" s="278" t="s">
        <v>43</v>
      </c>
    </row>
    <row r="7" spans="1:16" ht="14.25" customHeight="1" x14ac:dyDescent="0.2">
      <c r="A7" s="49"/>
      <c r="B7" s="268"/>
      <c r="C7" s="269"/>
      <c r="D7" s="269"/>
      <c r="E7" s="269"/>
      <c r="F7" s="269"/>
      <c r="G7" s="269"/>
      <c r="H7" s="270"/>
      <c r="I7" s="276"/>
      <c r="J7" s="277"/>
      <c r="K7" s="277"/>
      <c r="L7" s="277"/>
      <c r="M7" s="279"/>
      <c r="N7" s="279"/>
    </row>
    <row r="8" spans="1:16" ht="25.5" customHeight="1" x14ac:dyDescent="0.2">
      <c r="A8" s="49"/>
      <c r="B8" s="271"/>
      <c r="C8" s="272"/>
      <c r="D8" s="272"/>
      <c r="E8" s="272"/>
      <c r="F8" s="272"/>
      <c r="G8" s="272"/>
      <c r="H8" s="270"/>
      <c r="I8" s="276"/>
      <c r="J8" s="277"/>
      <c r="K8" s="277"/>
      <c r="L8" s="277"/>
      <c r="M8" s="279"/>
      <c r="N8" s="279"/>
    </row>
    <row r="9" spans="1:16" ht="12.75" customHeight="1" x14ac:dyDescent="0.2">
      <c r="A9" s="49"/>
      <c r="B9" s="271"/>
      <c r="C9" s="272"/>
      <c r="D9" s="272"/>
      <c r="E9" s="272"/>
      <c r="F9" s="272"/>
      <c r="G9" s="272"/>
      <c r="H9" s="270"/>
      <c r="I9" s="276"/>
      <c r="J9" s="277"/>
      <c r="K9" s="277"/>
      <c r="L9" s="277"/>
      <c r="M9" s="279"/>
      <c r="N9" s="279"/>
    </row>
    <row r="10" spans="1:16" ht="44.25" customHeight="1" x14ac:dyDescent="0.2">
      <c r="A10" s="50"/>
      <c r="B10" s="273"/>
      <c r="C10" s="274"/>
      <c r="D10" s="274"/>
      <c r="E10" s="274"/>
      <c r="F10" s="274"/>
      <c r="G10" s="274"/>
      <c r="H10" s="275"/>
      <c r="I10" s="276"/>
      <c r="J10" s="277"/>
      <c r="K10" s="277"/>
      <c r="L10" s="277"/>
      <c r="M10" s="280"/>
      <c r="N10" s="280"/>
    </row>
    <row r="11" spans="1:16" ht="12.75" customHeight="1" x14ac:dyDescent="0.2">
      <c r="A11" s="51">
        <v>1</v>
      </c>
      <c r="B11" s="260">
        <v>2</v>
      </c>
      <c r="C11" s="261"/>
      <c r="D11" s="261"/>
      <c r="E11" s="261"/>
      <c r="F11" s="261"/>
      <c r="G11" s="261"/>
      <c r="H11" s="262"/>
      <c r="I11" s="52">
        <v>3</v>
      </c>
      <c r="J11" s="53">
        <v>4</v>
      </c>
      <c r="K11" s="53">
        <v>5</v>
      </c>
      <c r="L11" s="53" t="s">
        <v>44</v>
      </c>
      <c r="M11" s="52" t="s">
        <v>45</v>
      </c>
      <c r="N11" s="54" t="s">
        <v>46</v>
      </c>
    </row>
    <row r="12" spans="1:16" ht="14.25" x14ac:dyDescent="0.2">
      <c r="A12" s="55"/>
      <c r="B12" s="56" t="s">
        <v>29</v>
      </c>
      <c r="C12" s="57"/>
      <c r="D12" s="57"/>
      <c r="E12" s="57"/>
      <c r="F12" s="57"/>
      <c r="G12" s="57"/>
      <c r="H12" s="57"/>
      <c r="I12" s="58">
        <f t="shared" ref="I12:J12" si="0">I14</f>
        <v>97774714</v>
      </c>
      <c r="J12" s="59">
        <f t="shared" si="0"/>
        <v>70040727.333333343</v>
      </c>
      <c r="K12" s="59">
        <f>K14</f>
        <v>36421178.86666666</v>
      </c>
      <c r="L12" s="59">
        <f>L14</f>
        <v>106461906.19999999</v>
      </c>
      <c r="M12" s="58">
        <f>L12-I12</f>
        <v>8687192.1999999881</v>
      </c>
      <c r="N12" s="60">
        <f>L12/I12</f>
        <v>1.088849067868406</v>
      </c>
      <c r="P12" s="61"/>
    </row>
    <row r="13" spans="1:16" x14ac:dyDescent="0.2">
      <c r="A13" s="49"/>
      <c r="B13" s="62"/>
      <c r="C13" s="63"/>
      <c r="D13" s="63"/>
      <c r="E13" s="64"/>
      <c r="F13" s="63"/>
      <c r="G13" s="63"/>
      <c r="H13" s="64"/>
      <c r="I13" s="65"/>
      <c r="J13" s="66"/>
      <c r="K13" s="66"/>
      <c r="L13" s="66"/>
      <c r="M13" s="65"/>
      <c r="N13" s="65"/>
      <c r="P13" s="61"/>
    </row>
    <row r="14" spans="1:16" x14ac:dyDescent="0.2">
      <c r="A14" s="67" t="s">
        <v>47</v>
      </c>
      <c r="B14" s="62" t="s">
        <v>48</v>
      </c>
      <c r="C14" s="63"/>
      <c r="D14" s="63"/>
      <c r="E14" s="63"/>
      <c r="F14" s="63"/>
      <c r="G14" s="63"/>
      <c r="H14" s="63"/>
      <c r="I14" s="65">
        <f t="shared" ref="I14:J14" si="1">I16+I23</f>
        <v>97774714</v>
      </c>
      <c r="J14" s="66">
        <f t="shared" si="1"/>
        <v>70040727.333333343</v>
      </c>
      <c r="K14" s="66">
        <f>K16+K23</f>
        <v>36421178.86666666</v>
      </c>
      <c r="L14" s="66">
        <f>L16+L23</f>
        <v>106461906.19999999</v>
      </c>
      <c r="M14" s="65">
        <f>L14-I14</f>
        <v>8687192.1999999881</v>
      </c>
      <c r="N14" s="68">
        <f>L14/I14</f>
        <v>1.088849067868406</v>
      </c>
      <c r="P14" s="61"/>
    </row>
    <row r="15" spans="1:16" x14ac:dyDescent="0.2">
      <c r="A15" s="67"/>
      <c r="B15" s="62"/>
      <c r="C15" s="64"/>
      <c r="D15" s="64"/>
      <c r="E15" s="64"/>
      <c r="F15" s="64"/>
      <c r="G15" s="64"/>
      <c r="H15" s="64"/>
      <c r="I15" s="69"/>
      <c r="J15" s="70"/>
      <c r="K15" s="70"/>
      <c r="L15" s="70"/>
      <c r="M15" s="69"/>
      <c r="N15" s="71"/>
      <c r="P15" s="61"/>
    </row>
    <row r="16" spans="1:16" ht="13.5" x14ac:dyDescent="0.25">
      <c r="A16" s="67" t="s">
        <v>49</v>
      </c>
      <c r="B16" s="72" t="s">
        <v>50</v>
      </c>
      <c r="C16" s="73"/>
      <c r="D16" s="73"/>
      <c r="E16" s="73"/>
      <c r="F16" s="63"/>
      <c r="G16" s="64"/>
      <c r="H16" s="64"/>
      <c r="I16" s="65">
        <f t="shared" ref="I16:J16" si="2">I20</f>
        <v>23685867.359999999</v>
      </c>
      <c r="J16" s="66">
        <f t="shared" si="2"/>
        <v>16962263.52</v>
      </c>
      <c r="K16" s="66">
        <f>K20</f>
        <v>8820377.1999999993</v>
      </c>
      <c r="L16" s="66">
        <f>L20</f>
        <v>25782640.719999999</v>
      </c>
      <c r="M16" s="65">
        <f>L16-I16</f>
        <v>2096773.3599999994</v>
      </c>
      <c r="N16" s="68">
        <f>L16/I16</f>
        <v>1.0885242380247797</v>
      </c>
      <c r="P16" s="61"/>
    </row>
    <row r="17" spans="1:16" x14ac:dyDescent="0.2">
      <c r="A17" s="49"/>
      <c r="B17" s="74"/>
      <c r="C17" s="64"/>
      <c r="D17" s="64"/>
      <c r="E17" s="64"/>
      <c r="F17" s="64"/>
      <c r="G17" s="64"/>
      <c r="H17" s="64"/>
      <c r="I17" s="69"/>
      <c r="J17" s="70"/>
      <c r="K17" s="70"/>
      <c r="L17" s="70"/>
      <c r="M17" s="69"/>
      <c r="N17" s="71"/>
      <c r="P17" s="61"/>
    </row>
    <row r="18" spans="1:16" x14ac:dyDescent="0.2">
      <c r="A18" s="49"/>
      <c r="B18" s="74" t="s">
        <v>51</v>
      </c>
      <c r="C18" s="46"/>
      <c r="D18" s="64"/>
      <c r="E18" s="46"/>
      <c r="F18" s="64"/>
      <c r="G18" s="64"/>
      <c r="H18" s="64"/>
      <c r="I18" s="69">
        <v>1973822.28</v>
      </c>
      <c r="J18" s="70">
        <v>2120282.94</v>
      </c>
      <c r="K18" s="70">
        <v>2205094.2999999998</v>
      </c>
      <c r="L18" s="70"/>
      <c r="M18" s="69"/>
      <c r="N18" s="71"/>
      <c r="P18" s="61"/>
    </row>
    <row r="19" spans="1:16" x14ac:dyDescent="0.2">
      <c r="A19" s="49"/>
      <c r="B19" s="74"/>
      <c r="C19" s="46"/>
      <c r="D19" s="64"/>
      <c r="E19" s="46"/>
      <c r="F19" s="64"/>
      <c r="G19" s="64"/>
      <c r="H19" s="64"/>
      <c r="I19" s="69"/>
      <c r="J19" s="70"/>
      <c r="K19" s="70"/>
      <c r="L19" s="70"/>
      <c r="M19" s="69"/>
      <c r="N19" s="71"/>
      <c r="P19" s="61"/>
    </row>
    <row r="20" spans="1:16" x14ac:dyDescent="0.2">
      <c r="A20" s="49"/>
      <c r="B20" s="74" t="s">
        <v>52</v>
      </c>
      <c r="C20" s="64"/>
      <c r="D20" s="64"/>
      <c r="E20" s="64"/>
      <c r="F20" s="64"/>
      <c r="G20" s="64"/>
      <c r="H20" s="64"/>
      <c r="I20" s="69">
        <f t="shared" ref="I20" si="3">I18*12</f>
        <v>23685867.359999999</v>
      </c>
      <c r="J20" s="70">
        <f>J18*8</f>
        <v>16962263.52</v>
      </c>
      <c r="K20" s="70">
        <f>K18*4</f>
        <v>8820377.1999999993</v>
      </c>
      <c r="L20" s="70">
        <f>J20+K20</f>
        <v>25782640.719999999</v>
      </c>
      <c r="M20" s="69">
        <f>L20-I20</f>
        <v>2096773.3599999994</v>
      </c>
      <c r="N20" s="71">
        <f>L20/I20</f>
        <v>1.0885242380247797</v>
      </c>
      <c r="P20" s="61"/>
    </row>
    <row r="21" spans="1:16" x14ac:dyDescent="0.2">
      <c r="A21" s="49"/>
      <c r="B21" s="74"/>
      <c r="C21" s="64"/>
      <c r="D21" s="64"/>
      <c r="E21" s="64"/>
      <c r="F21" s="64"/>
      <c r="G21" s="64"/>
      <c r="H21" s="64"/>
      <c r="I21" s="69"/>
      <c r="J21" s="70"/>
      <c r="K21" s="70"/>
      <c r="L21" s="70"/>
      <c r="M21" s="69"/>
      <c r="N21" s="71"/>
      <c r="P21" s="61"/>
    </row>
    <row r="22" spans="1:16" x14ac:dyDescent="0.2">
      <c r="A22" s="67" t="s">
        <v>53</v>
      </c>
      <c r="B22" s="62" t="s">
        <v>54</v>
      </c>
      <c r="C22" s="64"/>
      <c r="D22" s="64"/>
      <c r="E22" s="64"/>
      <c r="F22" s="64"/>
      <c r="G22" s="64"/>
      <c r="H22" s="64"/>
      <c r="I22" s="69"/>
      <c r="J22" s="70"/>
      <c r="K22" s="70"/>
      <c r="L22" s="70"/>
      <c r="M22" s="69"/>
      <c r="N22" s="71"/>
      <c r="P22" s="61"/>
    </row>
    <row r="23" spans="1:16" x14ac:dyDescent="0.2">
      <c r="A23" s="49"/>
      <c r="B23" s="62" t="s">
        <v>55</v>
      </c>
      <c r="C23" s="64"/>
      <c r="D23" s="64"/>
      <c r="E23" s="75"/>
      <c r="F23" s="75"/>
      <c r="G23" s="64"/>
      <c r="H23" s="64"/>
      <c r="I23" s="65">
        <f t="shared" ref="I23" si="4">I25+I29+I33+I38+I42</f>
        <v>74088846.640000001</v>
      </c>
      <c r="J23" s="66">
        <f>J25+J29+J33+J38+J42</f>
        <v>53078463.81333334</v>
      </c>
      <c r="K23" s="66">
        <f>K25+K29+K33+K38+K42</f>
        <v>27600801.666666664</v>
      </c>
      <c r="L23" s="66">
        <f>L25+L29+L33+L38+L42</f>
        <v>80679265.479999989</v>
      </c>
      <c r="M23" s="65">
        <f>L23-I23</f>
        <v>6590418.8399999887</v>
      </c>
      <c r="N23" s="68">
        <f>L23/I23</f>
        <v>1.0889529144922856</v>
      </c>
      <c r="P23" s="61"/>
    </row>
    <row r="24" spans="1:16" x14ac:dyDescent="0.2">
      <c r="A24" s="49"/>
      <c r="B24" s="62"/>
      <c r="C24" s="64"/>
      <c r="D24" s="64"/>
      <c r="E24" s="63"/>
      <c r="F24" s="64"/>
      <c r="G24" s="64"/>
      <c r="H24" s="64"/>
      <c r="I24" s="69"/>
      <c r="J24" s="70"/>
      <c r="K24" s="70"/>
      <c r="L24" s="70"/>
      <c r="M24" s="69"/>
      <c r="N24" s="71"/>
      <c r="P24" s="61"/>
    </row>
    <row r="25" spans="1:16" ht="13.5" x14ac:dyDescent="0.25">
      <c r="A25" s="67"/>
      <c r="B25" s="72" t="s">
        <v>56</v>
      </c>
      <c r="C25" s="73"/>
      <c r="D25" s="73"/>
      <c r="E25" s="64"/>
      <c r="F25" s="64"/>
      <c r="G25" s="64"/>
      <c r="H25" s="64"/>
      <c r="I25" s="65">
        <f t="shared" ref="I25:J25" si="5">I27</f>
        <v>27633511.920000002</v>
      </c>
      <c r="J25" s="66">
        <f t="shared" si="5"/>
        <v>19789307.440000001</v>
      </c>
      <c r="K25" s="66">
        <f>K27</f>
        <v>10290440.066666665</v>
      </c>
      <c r="L25" s="66">
        <f>L27</f>
        <v>30079747.506666668</v>
      </c>
      <c r="M25" s="65">
        <f>L25-I25</f>
        <v>2446235.586666666</v>
      </c>
      <c r="N25" s="68">
        <f>L25/I25</f>
        <v>1.0885242380247797</v>
      </c>
      <c r="P25" s="61"/>
    </row>
    <row r="26" spans="1:16" x14ac:dyDescent="0.2">
      <c r="A26" s="49"/>
      <c r="B26" s="74"/>
      <c r="C26" s="64"/>
      <c r="D26" s="64"/>
      <c r="E26" s="64"/>
      <c r="F26" s="64"/>
      <c r="G26" s="64"/>
      <c r="H26" s="64"/>
      <c r="I26" s="69"/>
      <c r="J26" s="70"/>
      <c r="K26" s="70"/>
      <c r="L26" s="70"/>
      <c r="M26" s="69"/>
      <c r="N26" s="71"/>
      <c r="P26" s="61"/>
    </row>
    <row r="27" spans="1:16" x14ac:dyDescent="0.2">
      <c r="A27" s="49"/>
      <c r="B27" s="74" t="s">
        <v>57</v>
      </c>
      <c r="C27" s="64"/>
      <c r="D27" s="64"/>
      <c r="E27" s="64"/>
      <c r="F27" s="64"/>
      <c r="G27" s="64"/>
      <c r="H27" s="64"/>
      <c r="I27" s="69">
        <f t="shared" ref="I27" si="6">(I18*14)</f>
        <v>27633511.920000002</v>
      </c>
      <c r="J27" s="70">
        <f>(J18*14)/12*8</f>
        <v>19789307.440000001</v>
      </c>
      <c r="K27" s="70">
        <f>(K18*14)/12*4</f>
        <v>10290440.066666665</v>
      </c>
      <c r="L27" s="70">
        <f>J27+K27</f>
        <v>30079747.506666668</v>
      </c>
      <c r="M27" s="69">
        <f>L27-I27</f>
        <v>2446235.586666666</v>
      </c>
      <c r="N27" s="71">
        <f>L27/I27</f>
        <v>1.0885242380247797</v>
      </c>
      <c r="P27" s="61"/>
    </row>
    <row r="28" spans="1:16" x14ac:dyDescent="0.2">
      <c r="A28" s="49"/>
      <c r="B28" s="74"/>
      <c r="C28" s="64"/>
      <c r="D28" s="64"/>
      <c r="E28" s="64"/>
      <c r="F28" s="64"/>
      <c r="G28" s="64"/>
      <c r="H28" s="64"/>
      <c r="I28" s="69"/>
      <c r="J28" s="70"/>
      <c r="K28" s="70"/>
      <c r="L28" s="70"/>
      <c r="M28" s="69"/>
      <c r="N28" s="71"/>
      <c r="P28" s="61"/>
    </row>
    <row r="29" spans="1:16" ht="13.5" x14ac:dyDescent="0.25">
      <c r="A29" s="49"/>
      <c r="B29" s="72" t="s">
        <v>58</v>
      </c>
      <c r="C29" s="73"/>
      <c r="D29" s="73"/>
      <c r="E29" s="73"/>
      <c r="F29" s="64"/>
      <c r="G29" s="64"/>
      <c r="H29" s="64"/>
      <c r="I29" s="65">
        <f t="shared" ref="I29:J29" si="7">I31</f>
        <v>5577816.8399999999</v>
      </c>
      <c r="J29" s="66">
        <f t="shared" si="7"/>
        <v>4002301.8800000004</v>
      </c>
      <c r="K29" s="66">
        <f>K31</f>
        <v>2081196.9999999998</v>
      </c>
      <c r="L29" s="66">
        <f>L31</f>
        <v>6083498.8799999999</v>
      </c>
      <c r="M29" s="65">
        <f>L29-I29</f>
        <v>505682.04000000004</v>
      </c>
      <c r="N29" s="68">
        <f>L29/I29</f>
        <v>1.0906594917878301</v>
      </c>
      <c r="P29" s="61"/>
    </row>
    <row r="30" spans="1:16" x14ac:dyDescent="0.2">
      <c r="A30" s="49"/>
      <c r="B30" s="74"/>
      <c r="C30" s="64"/>
      <c r="D30" s="64"/>
      <c r="E30" s="64"/>
      <c r="F30" s="64"/>
      <c r="G30" s="64"/>
      <c r="H30" s="64"/>
      <c r="I30" s="69"/>
      <c r="J30" s="70"/>
      <c r="K30" s="70"/>
      <c r="L30" s="70"/>
      <c r="M30" s="69"/>
      <c r="N30" s="71"/>
      <c r="P30" s="61"/>
    </row>
    <row r="31" spans="1:16" x14ac:dyDescent="0.2">
      <c r="A31" s="49"/>
      <c r="B31" s="74" t="s">
        <v>59</v>
      </c>
      <c r="C31" s="64"/>
      <c r="D31" s="64"/>
      <c r="E31" s="64"/>
      <c r="F31" s="64"/>
      <c r="G31" s="64"/>
      <c r="H31" s="64"/>
      <c r="I31" s="69">
        <f>((I18-114550)*3)</f>
        <v>5577816.8399999999</v>
      </c>
      <c r="J31" s="70">
        <f>(((J18-11913.2*10)*3))/12*8</f>
        <v>4002301.8800000004</v>
      </c>
      <c r="K31" s="70">
        <f>((K18-12389.73*10)*3)/12*4</f>
        <v>2081196.9999999998</v>
      </c>
      <c r="L31" s="70">
        <f>K31+J31</f>
        <v>6083498.8799999999</v>
      </c>
      <c r="M31" s="69">
        <f>L31-I31</f>
        <v>505682.04000000004</v>
      </c>
      <c r="N31" s="71">
        <f>L31/I31</f>
        <v>1.0906594917878301</v>
      </c>
      <c r="P31" s="61"/>
    </row>
    <row r="32" spans="1:16" x14ac:dyDescent="0.2">
      <c r="A32" s="49"/>
      <c r="B32" s="74"/>
      <c r="C32" s="64"/>
      <c r="D32" s="64"/>
      <c r="E32" s="64"/>
      <c r="F32" s="64"/>
      <c r="G32" s="64"/>
      <c r="H32" s="64"/>
      <c r="I32" s="69"/>
      <c r="J32" s="70"/>
      <c r="K32" s="70"/>
      <c r="L32" s="70"/>
      <c r="M32" s="69"/>
      <c r="N32" s="71"/>
      <c r="P32" s="61"/>
    </row>
    <row r="33" spans="1:16" ht="13.5" x14ac:dyDescent="0.25">
      <c r="A33" s="49"/>
      <c r="B33" s="72" t="s">
        <v>60</v>
      </c>
      <c r="C33" s="64"/>
      <c r="D33" s="64"/>
      <c r="E33" s="64"/>
      <c r="F33" s="64"/>
      <c r="G33" s="64"/>
      <c r="H33" s="64"/>
      <c r="I33" s="65">
        <f t="shared" ref="I33:K33" si="8">I35+I36</f>
        <v>31008406.48</v>
      </c>
      <c r="J33" s="66">
        <f t="shared" si="8"/>
        <v>22219244.693333335</v>
      </c>
      <c r="K33" s="66">
        <f t="shared" si="8"/>
        <v>11554007.433333332</v>
      </c>
      <c r="L33" s="66">
        <f>L35+L36</f>
        <v>33773252.126666665</v>
      </c>
      <c r="M33" s="65">
        <f>L33-I33</f>
        <v>2764845.6466666646</v>
      </c>
      <c r="N33" s="68">
        <f>L33/I33</f>
        <v>1.089164389935676</v>
      </c>
      <c r="P33" s="61"/>
    </row>
    <row r="34" spans="1:16" ht="13.5" x14ac:dyDescent="0.25">
      <c r="A34" s="49"/>
      <c r="B34" s="72"/>
      <c r="C34" s="64"/>
      <c r="D34" s="64"/>
      <c r="E34" s="64"/>
      <c r="F34" s="64"/>
      <c r="G34" s="64"/>
      <c r="H34" s="64"/>
      <c r="I34" s="65"/>
      <c r="J34" s="66"/>
      <c r="K34" s="66"/>
      <c r="L34" s="66"/>
      <c r="M34" s="65"/>
      <c r="N34" s="68"/>
      <c r="P34" s="61"/>
    </row>
    <row r="35" spans="1:16" x14ac:dyDescent="0.2">
      <c r="A35" s="49"/>
      <c r="B35" s="74" t="s">
        <v>61</v>
      </c>
      <c r="C35" s="64"/>
      <c r="D35" s="64"/>
      <c r="E35" s="64"/>
      <c r="F35" s="64"/>
      <c r="G35" s="64"/>
      <c r="H35" s="64"/>
      <c r="I35" s="76">
        <f>(I18-114550)*16</f>
        <v>29748356.48</v>
      </c>
      <c r="J35" s="77">
        <f>((J18-11913.2*10)*16)/12*8</f>
        <v>21345610.026666667</v>
      </c>
      <c r="K35" s="77">
        <f>((K18-12389.73*10)*16)/12*4</f>
        <v>11099717.333333332</v>
      </c>
      <c r="L35" s="77">
        <f>J35+K35</f>
        <v>32445327.359999999</v>
      </c>
      <c r="M35" s="76">
        <f>L35-I35</f>
        <v>2696970.879999999</v>
      </c>
      <c r="N35" s="78">
        <f>L35/I35</f>
        <v>1.0906594917878301</v>
      </c>
      <c r="P35" s="61"/>
    </row>
    <row r="36" spans="1:16" x14ac:dyDescent="0.2">
      <c r="A36" s="49"/>
      <c r="B36" s="74" t="s">
        <v>62</v>
      </c>
      <c r="C36" s="64"/>
      <c r="D36" s="64"/>
      <c r="E36" s="64"/>
      <c r="F36" s="64"/>
      <c r="G36" s="64"/>
      <c r="H36" s="64"/>
      <c r="I36" s="76">
        <f>114550*11</f>
        <v>1260050</v>
      </c>
      <c r="J36" s="77">
        <f>(11913.2*10*11)/12*8</f>
        <v>873634.66666666663</v>
      </c>
      <c r="K36" s="77">
        <f>(12389.73*10*11)/12*4</f>
        <v>454290.09999999992</v>
      </c>
      <c r="L36" s="77">
        <f>J36+K36</f>
        <v>1327924.7666666666</v>
      </c>
      <c r="M36" s="76">
        <f>L36-I36</f>
        <v>67874.766666666605</v>
      </c>
      <c r="N36" s="78">
        <f>L36/I36</f>
        <v>1.0538667248654154</v>
      </c>
      <c r="P36" s="61"/>
    </row>
    <row r="37" spans="1:16" ht="13.5" x14ac:dyDescent="0.25">
      <c r="A37" s="49"/>
      <c r="B37" s="72"/>
      <c r="C37" s="64"/>
      <c r="D37" s="64"/>
      <c r="E37" s="64"/>
      <c r="F37" s="64"/>
      <c r="G37" s="64"/>
      <c r="H37" s="64"/>
      <c r="I37" s="69"/>
      <c r="J37" s="70"/>
      <c r="K37" s="70"/>
      <c r="L37" s="70"/>
      <c r="M37" s="69"/>
      <c r="N37" s="71"/>
      <c r="P37" s="61"/>
    </row>
    <row r="38" spans="1:16" ht="13.5" x14ac:dyDescent="0.25">
      <c r="A38" s="49"/>
      <c r="B38" s="72" t="s">
        <v>63</v>
      </c>
      <c r="C38" s="64"/>
      <c r="D38" s="64"/>
      <c r="E38" s="64"/>
      <c r="F38" s="64"/>
      <c r="G38" s="64"/>
      <c r="H38" s="64"/>
      <c r="I38" s="65">
        <f t="shared" ref="I38:J38" si="9">I40</f>
        <v>3947644.56</v>
      </c>
      <c r="J38" s="66">
        <f t="shared" si="9"/>
        <v>2827043.92</v>
      </c>
      <c r="K38" s="66">
        <f>K40</f>
        <v>1470062.8666666665</v>
      </c>
      <c r="L38" s="66">
        <f>L40</f>
        <v>4297106.7866666662</v>
      </c>
      <c r="M38" s="65">
        <f>L38-I38</f>
        <v>349462.2266666661</v>
      </c>
      <c r="N38" s="68">
        <f>L38/I38</f>
        <v>1.0885242380247795</v>
      </c>
      <c r="P38" s="61"/>
    </row>
    <row r="39" spans="1:16" x14ac:dyDescent="0.2">
      <c r="A39" s="49"/>
      <c r="B39" s="74"/>
      <c r="C39" s="64"/>
      <c r="D39" s="64"/>
      <c r="E39" s="64"/>
      <c r="F39" s="64"/>
      <c r="G39" s="64"/>
      <c r="H39" s="64"/>
      <c r="I39" s="69"/>
      <c r="J39" s="70"/>
      <c r="K39" s="70"/>
      <c r="L39" s="70"/>
      <c r="M39" s="69"/>
      <c r="N39" s="71"/>
      <c r="P39" s="61"/>
    </row>
    <row r="40" spans="1:16" x14ac:dyDescent="0.2">
      <c r="A40" s="49"/>
      <c r="B40" s="74" t="s">
        <v>64</v>
      </c>
      <c r="C40" s="64"/>
      <c r="D40" s="64"/>
      <c r="E40" s="64"/>
      <c r="F40" s="64"/>
      <c r="G40" s="64"/>
      <c r="H40" s="64"/>
      <c r="I40" s="69">
        <f t="shared" ref="I40" si="10">I18*2</f>
        <v>3947644.56</v>
      </c>
      <c r="J40" s="70">
        <f>(J18*2)/12*8</f>
        <v>2827043.92</v>
      </c>
      <c r="K40" s="70">
        <f>(K18*2)/12*4</f>
        <v>1470062.8666666665</v>
      </c>
      <c r="L40" s="70">
        <f>J40+K40</f>
        <v>4297106.7866666662</v>
      </c>
      <c r="M40" s="69">
        <f>L40-I40</f>
        <v>349462.2266666661</v>
      </c>
      <c r="N40" s="71">
        <f>L40/I40</f>
        <v>1.0885242380247795</v>
      </c>
      <c r="P40" s="61"/>
    </row>
    <row r="41" spans="1:16" x14ac:dyDescent="0.2">
      <c r="A41" s="49"/>
      <c r="B41" s="74"/>
      <c r="C41" s="64"/>
      <c r="D41" s="64"/>
      <c r="E41" s="64"/>
      <c r="F41" s="64"/>
      <c r="G41" s="64"/>
      <c r="H41" s="64"/>
      <c r="I41" s="69"/>
      <c r="J41" s="70"/>
      <c r="K41" s="70"/>
      <c r="L41" s="70"/>
      <c r="M41" s="69"/>
      <c r="N41" s="71"/>
      <c r="P41" s="61"/>
    </row>
    <row r="42" spans="1:16" ht="13.5" x14ac:dyDescent="0.25">
      <c r="A42" s="49"/>
      <c r="B42" s="72" t="s">
        <v>65</v>
      </c>
      <c r="C42" s="64"/>
      <c r="D42" s="64"/>
      <c r="E42" s="64"/>
      <c r="F42" s="64"/>
      <c r="G42" s="64"/>
      <c r="H42" s="64"/>
      <c r="I42" s="65">
        <f t="shared" ref="I42:J42" si="11">I45</f>
        <v>5921466.8399999999</v>
      </c>
      <c r="J42" s="66">
        <f t="shared" si="11"/>
        <v>4240565.88</v>
      </c>
      <c r="K42" s="66">
        <f>K45</f>
        <v>2205094.2999999998</v>
      </c>
      <c r="L42" s="66">
        <f>L45</f>
        <v>6445660.1799999997</v>
      </c>
      <c r="M42" s="65">
        <f>L42-I42</f>
        <v>524193.33999999985</v>
      </c>
      <c r="N42" s="68">
        <f>L42/I42</f>
        <v>1.0885242380247797</v>
      </c>
      <c r="P42" s="61"/>
    </row>
    <row r="43" spans="1:16" ht="13.5" x14ac:dyDescent="0.25">
      <c r="A43" s="49"/>
      <c r="B43" s="79" t="s">
        <v>66</v>
      </c>
      <c r="C43" s="64"/>
      <c r="D43" s="64"/>
      <c r="E43" s="64"/>
      <c r="F43" s="64"/>
      <c r="G43" s="64"/>
      <c r="H43" s="64"/>
      <c r="I43" s="69"/>
      <c r="J43" s="70"/>
      <c r="K43" s="70"/>
      <c r="L43" s="70"/>
      <c r="M43" s="69"/>
      <c r="N43" s="71"/>
      <c r="P43" s="61"/>
    </row>
    <row r="44" spans="1:16" x14ac:dyDescent="0.2">
      <c r="A44" s="49"/>
      <c r="B44" s="74"/>
      <c r="C44" s="64"/>
      <c r="D44" s="64"/>
      <c r="E44" s="64"/>
      <c r="F44" s="64"/>
      <c r="G44" s="64"/>
      <c r="H44" s="64"/>
      <c r="I44" s="69"/>
      <c r="J44" s="70"/>
      <c r="K44" s="70"/>
      <c r="L44" s="70"/>
      <c r="M44" s="69"/>
      <c r="N44" s="71"/>
      <c r="P44" s="61"/>
    </row>
    <row r="45" spans="1:16" x14ac:dyDescent="0.2">
      <c r="A45" s="49"/>
      <c r="B45" s="74" t="s">
        <v>59</v>
      </c>
      <c r="C45" s="64"/>
      <c r="D45" s="64"/>
      <c r="E45" s="64"/>
      <c r="F45" s="64"/>
      <c r="G45" s="64"/>
      <c r="H45" s="64"/>
      <c r="I45" s="69">
        <f t="shared" ref="I45" si="12">I18*3</f>
        <v>5921466.8399999999</v>
      </c>
      <c r="J45" s="70">
        <f>(J18*3)/12*8</f>
        <v>4240565.88</v>
      </c>
      <c r="K45" s="70">
        <f>(K18*3)/12*4</f>
        <v>2205094.2999999998</v>
      </c>
      <c r="L45" s="70">
        <f>K45+J45</f>
        <v>6445660.1799999997</v>
      </c>
      <c r="M45" s="69">
        <f>L45-I45</f>
        <v>524193.33999999985</v>
      </c>
      <c r="N45" s="71">
        <f>L45/I45</f>
        <v>1.0885242380247797</v>
      </c>
      <c r="P45" s="61"/>
    </row>
    <row r="46" spans="1:16" x14ac:dyDescent="0.2">
      <c r="A46" s="50"/>
      <c r="B46" s="80"/>
      <c r="C46" s="81"/>
      <c r="D46" s="81"/>
      <c r="E46" s="81"/>
      <c r="F46" s="81"/>
      <c r="G46" s="81"/>
      <c r="H46" s="81"/>
      <c r="I46" s="82"/>
      <c r="J46" s="83"/>
      <c r="K46" s="83"/>
      <c r="L46" s="83"/>
      <c r="M46" s="82"/>
      <c r="N46" s="84"/>
      <c r="P46" s="61"/>
    </row>
    <row r="47" spans="1:16" x14ac:dyDescent="0.2">
      <c r="A47" s="85" t="s">
        <v>67</v>
      </c>
      <c r="B47" s="263" t="s">
        <v>68</v>
      </c>
      <c r="C47" s="263"/>
      <c r="D47" s="263"/>
      <c r="E47" s="263"/>
      <c r="F47" s="263"/>
      <c r="G47" s="263"/>
      <c r="H47" s="263"/>
      <c r="I47" s="86">
        <f t="shared" ref="I47:L47" si="13">I12*30.2%</f>
        <v>29527963.627999999</v>
      </c>
      <c r="J47" s="87">
        <f t="shared" si="13"/>
        <v>21152299.65466667</v>
      </c>
      <c r="K47" s="87">
        <f t="shared" si="13"/>
        <v>10999196.017733332</v>
      </c>
      <c r="L47" s="87">
        <f t="shared" si="13"/>
        <v>32151495.672399994</v>
      </c>
      <c r="M47" s="86">
        <f>L47-I47</f>
        <v>2623532.0443999954</v>
      </c>
      <c r="N47" s="88">
        <f>L47/I47</f>
        <v>1.088849067868406</v>
      </c>
      <c r="P47" s="61"/>
    </row>
    <row r="48" spans="1:16" ht="14.25" x14ac:dyDescent="0.2">
      <c r="A48" s="85" t="s">
        <v>69</v>
      </c>
      <c r="B48" s="263" t="s">
        <v>70</v>
      </c>
      <c r="C48" s="263"/>
      <c r="D48" s="263"/>
      <c r="E48" s="263"/>
      <c r="F48" s="263"/>
      <c r="G48" s="263"/>
      <c r="H48" s="263"/>
      <c r="I48" s="58">
        <f t="shared" ref="I48:L48" si="14">I47+I12</f>
        <v>127302677.62799999</v>
      </c>
      <c r="J48" s="59">
        <f t="shared" si="14"/>
        <v>91193026.988000005</v>
      </c>
      <c r="K48" s="59">
        <f t="shared" si="14"/>
        <v>47420374.884399995</v>
      </c>
      <c r="L48" s="59">
        <f t="shared" si="14"/>
        <v>138613401.87239999</v>
      </c>
      <c r="M48" s="58">
        <f>L48-I48</f>
        <v>11310724.244399995</v>
      </c>
      <c r="N48" s="60">
        <f>L48/I48</f>
        <v>1.0888490678684062</v>
      </c>
      <c r="P48" s="61"/>
    </row>
    <row r="49" spans="1:16" x14ac:dyDescent="0.2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P49" s="61"/>
    </row>
    <row r="50" spans="1:16" x14ac:dyDescent="0.2">
      <c r="P50" s="61"/>
    </row>
    <row r="51" spans="1:16" x14ac:dyDescent="0.2">
      <c r="I51" s="91"/>
      <c r="J51" s="91"/>
      <c r="K51" s="91"/>
      <c r="L51" s="91"/>
      <c r="M51" s="91"/>
      <c r="N51" s="91"/>
    </row>
    <row r="53" spans="1:16" x14ac:dyDescent="0.2">
      <c r="I53" s="92"/>
      <c r="J53" s="92"/>
      <c r="K53" s="92"/>
      <c r="L53" s="92"/>
      <c r="M53" s="92"/>
      <c r="N53" s="92"/>
    </row>
    <row r="54" spans="1:16" x14ac:dyDescent="0.2">
      <c r="G54" s="91"/>
      <c r="I54" s="92"/>
      <c r="J54" s="92"/>
      <c r="K54" s="92"/>
      <c r="L54" s="92"/>
      <c r="M54" s="92"/>
      <c r="N54" s="92"/>
    </row>
    <row r="55" spans="1:16" x14ac:dyDescent="0.2">
      <c r="G55" s="91"/>
      <c r="I55" s="92"/>
      <c r="J55" s="92"/>
      <c r="K55" s="92"/>
      <c r="L55" s="92"/>
      <c r="M55" s="92"/>
      <c r="N55" s="92"/>
    </row>
    <row r="56" spans="1:16" x14ac:dyDescent="0.2">
      <c r="G56" s="91"/>
      <c r="H56" s="92"/>
    </row>
    <row r="57" spans="1:16" x14ac:dyDescent="0.2">
      <c r="G57" s="91"/>
    </row>
    <row r="58" spans="1:16" x14ac:dyDescent="0.2">
      <c r="I58" s="91"/>
      <c r="J58" s="91"/>
      <c r="K58" s="91"/>
      <c r="L58" s="91"/>
      <c r="M58" s="91"/>
      <c r="N58" s="91"/>
    </row>
  </sheetData>
  <mergeCells count="11">
    <mergeCell ref="B11:H11"/>
    <mergeCell ref="B47:H47"/>
    <mergeCell ref="B48:H48"/>
    <mergeCell ref="A3:N3"/>
    <mergeCell ref="B6:H10"/>
    <mergeCell ref="I6:I10"/>
    <mergeCell ref="J6:J10"/>
    <mergeCell ref="K6:K10"/>
    <mergeCell ref="L6:L10"/>
    <mergeCell ref="M6:M10"/>
    <mergeCell ref="N6:N10"/>
  </mergeCells>
  <pageMargins left="0.7" right="0.7" top="0.75" bottom="0.75" header="0.3" footer="0.3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8"/>
  <sheetViews>
    <sheetView workbookViewId="0">
      <pane xSplit="8" ySplit="11" topLeftCell="R36" activePane="bottomRight" state="frozen"/>
      <selection pane="topRight" activeCell="I1" sqref="I1"/>
      <selection pane="bottomLeft" activeCell="A12" sqref="A12"/>
      <selection pane="bottomRight" activeCell="Z48" sqref="A1:Z48"/>
    </sheetView>
  </sheetViews>
  <sheetFormatPr defaultColWidth="9.140625" defaultRowHeight="12.75" outlineLevelRow="1" x14ac:dyDescent="0.2"/>
  <cols>
    <col min="1" max="1" width="5.140625" style="42" customWidth="1"/>
    <col min="2" max="6" width="9.140625" style="42"/>
    <col min="7" max="7" width="7.5703125" style="42" customWidth="1"/>
    <col min="8" max="8" width="9.140625" style="42" customWidth="1"/>
    <col min="9" max="9" width="25.28515625" style="42" hidden="1" customWidth="1"/>
    <col min="10" max="11" width="23.42578125" style="42" hidden="1" customWidth="1"/>
    <col min="12" max="12" width="21" style="42" hidden="1" customWidth="1"/>
    <col min="13" max="13" width="21" style="42" customWidth="1"/>
    <col min="14" max="19" width="22.85546875" style="42" customWidth="1"/>
    <col min="20" max="21" width="20.5703125" style="42" customWidth="1"/>
    <col min="22" max="26" width="19.85546875" style="42" customWidth="1"/>
    <col min="27" max="16384" width="9.140625" style="42"/>
  </cols>
  <sheetData>
    <row r="1" spans="1:26" ht="15.75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1" t="s">
        <v>35</v>
      </c>
    </row>
    <row r="2" spans="1:26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26" ht="48" customHeight="1" x14ac:dyDescent="0.2">
      <c r="A3" s="264" t="s">
        <v>89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</row>
    <row r="4" spans="1:26" x14ac:dyDescent="0.2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6" ht="13.5" customHeight="1" thickBot="1" x14ac:dyDescent="0.25">
      <c r="A5" s="44"/>
      <c r="B5" s="93"/>
      <c r="C5" s="93"/>
      <c r="D5" s="93"/>
      <c r="E5" s="93"/>
      <c r="F5" s="93"/>
      <c r="G5" s="93"/>
      <c r="H5" s="93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7" t="s">
        <v>37</v>
      </c>
    </row>
    <row r="6" spans="1:26" ht="15.75" customHeight="1" x14ac:dyDescent="0.2">
      <c r="A6" s="94"/>
      <c r="B6" s="281"/>
      <c r="C6" s="282"/>
      <c r="D6" s="282"/>
      <c r="E6" s="282"/>
      <c r="F6" s="282"/>
      <c r="G6" s="282"/>
      <c r="H6" s="283"/>
      <c r="I6" s="284" t="s">
        <v>76</v>
      </c>
      <c r="J6" s="284" t="s">
        <v>77</v>
      </c>
      <c r="K6" s="284" t="s">
        <v>78</v>
      </c>
      <c r="L6" s="284" t="s">
        <v>79</v>
      </c>
      <c r="M6" s="285" t="s">
        <v>82</v>
      </c>
      <c r="N6" s="285" t="s">
        <v>83</v>
      </c>
      <c r="O6" s="285" t="s">
        <v>84</v>
      </c>
      <c r="P6" s="285" t="s">
        <v>85</v>
      </c>
      <c r="Q6" s="277" t="s">
        <v>39</v>
      </c>
      <c r="R6" s="277" t="s">
        <v>40</v>
      </c>
      <c r="S6" s="277" t="s">
        <v>41</v>
      </c>
      <c r="T6" s="287" t="s">
        <v>88</v>
      </c>
      <c r="U6" s="288" t="s">
        <v>43</v>
      </c>
      <c r="V6" s="292" t="s">
        <v>90</v>
      </c>
      <c r="W6" s="294" t="s">
        <v>91</v>
      </c>
      <c r="X6" s="296" t="s">
        <v>92</v>
      </c>
      <c r="Y6" s="298" t="s">
        <v>93</v>
      </c>
      <c r="Z6" s="288" t="s">
        <v>43</v>
      </c>
    </row>
    <row r="7" spans="1:26" ht="14.25" customHeight="1" x14ac:dyDescent="0.2">
      <c r="A7" s="95"/>
      <c r="B7" s="268"/>
      <c r="C7" s="269"/>
      <c r="D7" s="269"/>
      <c r="E7" s="269"/>
      <c r="F7" s="269"/>
      <c r="G7" s="269"/>
      <c r="H7" s="270"/>
      <c r="I7" s="276"/>
      <c r="J7" s="276"/>
      <c r="K7" s="276"/>
      <c r="L7" s="276"/>
      <c r="M7" s="286"/>
      <c r="N7" s="286"/>
      <c r="O7" s="286"/>
      <c r="P7" s="286"/>
      <c r="Q7" s="277"/>
      <c r="R7" s="277"/>
      <c r="S7" s="277"/>
      <c r="T7" s="279"/>
      <c r="U7" s="289"/>
      <c r="V7" s="293"/>
      <c r="W7" s="295"/>
      <c r="X7" s="297"/>
      <c r="Y7" s="299"/>
      <c r="Z7" s="289"/>
    </row>
    <row r="8" spans="1:26" ht="25.5" customHeight="1" x14ac:dyDescent="0.2">
      <c r="A8" s="95"/>
      <c r="B8" s="271"/>
      <c r="C8" s="269"/>
      <c r="D8" s="269"/>
      <c r="E8" s="269"/>
      <c r="F8" s="269"/>
      <c r="G8" s="269"/>
      <c r="H8" s="270"/>
      <c r="I8" s="276"/>
      <c r="J8" s="276"/>
      <c r="K8" s="276"/>
      <c r="L8" s="276"/>
      <c r="M8" s="286"/>
      <c r="N8" s="286"/>
      <c r="O8" s="286"/>
      <c r="P8" s="286"/>
      <c r="Q8" s="277"/>
      <c r="R8" s="277"/>
      <c r="S8" s="277"/>
      <c r="T8" s="279"/>
      <c r="U8" s="289"/>
      <c r="V8" s="293"/>
      <c r="W8" s="295"/>
      <c r="X8" s="297"/>
      <c r="Y8" s="299"/>
      <c r="Z8" s="289"/>
    </row>
    <row r="9" spans="1:26" ht="12.75" customHeight="1" x14ac:dyDescent="0.2">
      <c r="A9" s="95"/>
      <c r="B9" s="271"/>
      <c r="C9" s="269"/>
      <c r="D9" s="269"/>
      <c r="E9" s="269"/>
      <c r="F9" s="269"/>
      <c r="G9" s="269"/>
      <c r="H9" s="270"/>
      <c r="I9" s="276"/>
      <c r="J9" s="276"/>
      <c r="K9" s="276"/>
      <c r="L9" s="276"/>
      <c r="M9" s="286"/>
      <c r="N9" s="286"/>
      <c r="O9" s="286"/>
      <c r="P9" s="286"/>
      <c r="Q9" s="277"/>
      <c r="R9" s="277"/>
      <c r="S9" s="277"/>
      <c r="T9" s="279"/>
      <c r="U9" s="289"/>
      <c r="V9" s="293"/>
      <c r="W9" s="295"/>
      <c r="X9" s="297"/>
      <c r="Y9" s="299"/>
      <c r="Z9" s="289"/>
    </row>
    <row r="10" spans="1:26" ht="98.25" customHeight="1" x14ac:dyDescent="0.2">
      <c r="A10" s="96"/>
      <c r="B10" s="273"/>
      <c r="C10" s="274"/>
      <c r="D10" s="274"/>
      <c r="E10" s="274"/>
      <c r="F10" s="274"/>
      <c r="G10" s="274"/>
      <c r="H10" s="275"/>
      <c r="I10" s="276"/>
      <c r="J10" s="276"/>
      <c r="K10" s="276"/>
      <c r="L10" s="276"/>
      <c r="M10" s="286"/>
      <c r="N10" s="286"/>
      <c r="O10" s="286"/>
      <c r="P10" s="286"/>
      <c r="Q10" s="277"/>
      <c r="R10" s="277"/>
      <c r="S10" s="277"/>
      <c r="T10" s="280"/>
      <c r="U10" s="290"/>
      <c r="V10" s="293"/>
      <c r="W10" s="295"/>
      <c r="X10" s="297"/>
      <c r="Y10" s="300"/>
      <c r="Z10" s="290"/>
    </row>
    <row r="11" spans="1:26" ht="12.75" customHeight="1" thickBot="1" x14ac:dyDescent="0.25">
      <c r="A11" s="97">
        <v>1</v>
      </c>
      <c r="B11" s="260">
        <v>2</v>
      </c>
      <c r="C11" s="261"/>
      <c r="D11" s="261"/>
      <c r="E11" s="261"/>
      <c r="F11" s="261"/>
      <c r="G11" s="261"/>
      <c r="H11" s="262"/>
      <c r="I11" s="52">
        <v>3</v>
      </c>
      <c r="J11" s="52">
        <v>3</v>
      </c>
      <c r="K11" s="52">
        <v>4</v>
      </c>
      <c r="L11" s="52" t="s">
        <v>80</v>
      </c>
      <c r="M11" s="52">
        <v>6</v>
      </c>
      <c r="N11" s="52">
        <v>7</v>
      </c>
      <c r="O11" s="52">
        <v>8</v>
      </c>
      <c r="P11" s="52" t="s">
        <v>81</v>
      </c>
      <c r="Q11" s="52">
        <v>10</v>
      </c>
      <c r="R11" s="52">
        <v>11</v>
      </c>
      <c r="S11" s="52">
        <v>12</v>
      </c>
      <c r="T11" s="112" t="s">
        <v>86</v>
      </c>
      <c r="U11" s="113" t="s">
        <v>87</v>
      </c>
      <c r="V11" s="131">
        <v>15</v>
      </c>
      <c r="W11" s="122">
        <v>16</v>
      </c>
      <c r="X11" s="132">
        <v>17</v>
      </c>
      <c r="Y11" s="130" t="s">
        <v>94</v>
      </c>
      <c r="Z11" s="113" t="s">
        <v>95</v>
      </c>
    </row>
    <row r="12" spans="1:26" ht="15" thickBot="1" x14ac:dyDescent="0.25">
      <c r="A12" s="98"/>
      <c r="B12" s="56" t="s">
        <v>29</v>
      </c>
      <c r="C12" s="57"/>
      <c r="D12" s="57"/>
      <c r="E12" s="57"/>
      <c r="F12" s="57"/>
      <c r="G12" s="57"/>
      <c r="H12" s="57"/>
      <c r="I12" s="58">
        <f t="shared" ref="I12:J12" si="0">I14</f>
        <v>97774714</v>
      </c>
      <c r="J12" s="58">
        <f t="shared" si="0"/>
        <v>67160191.333333328</v>
      </c>
      <c r="K12" s="58">
        <f>K14</f>
        <v>34923295.166666664</v>
      </c>
      <c r="L12" s="58">
        <f>L14</f>
        <v>102083486.5</v>
      </c>
      <c r="M12" s="58">
        <f t="shared" ref="M12:N12" si="1">M14</f>
        <v>25172344.125000004</v>
      </c>
      <c r="N12" s="58">
        <f t="shared" si="1"/>
        <v>41980421.25</v>
      </c>
      <c r="O12" s="58">
        <f>O14</f>
        <v>34927706.166666664</v>
      </c>
      <c r="P12" s="58">
        <f>P14</f>
        <v>102080471.54166666</v>
      </c>
      <c r="Q12" s="59">
        <f t="shared" ref="Q12" si="2">Q14</f>
        <v>69855412.333333328</v>
      </c>
      <c r="R12" s="59">
        <f>R14</f>
        <v>36324815.033333331</v>
      </c>
      <c r="S12" s="108">
        <f>S14</f>
        <v>106180227.36666664</v>
      </c>
      <c r="T12" s="120">
        <f>S12-P12</f>
        <v>4099755.8249999881</v>
      </c>
      <c r="U12" s="121">
        <f>S12/P12-1</f>
        <v>4.0161999284325178E-2</v>
      </c>
      <c r="V12" s="123">
        <f t="shared" ref="V12" si="3">V14</f>
        <v>72649630.066666663</v>
      </c>
      <c r="W12" s="124">
        <f>W14</f>
        <v>37777807.633333333</v>
      </c>
      <c r="X12" s="137">
        <f>X14</f>
        <v>110427437.7</v>
      </c>
      <c r="Y12" s="141">
        <f>X12-S12</f>
        <v>4247210.3333333582</v>
      </c>
      <c r="Z12" s="121">
        <f>X12/S12-1</f>
        <v>4.0000011665700219E-2</v>
      </c>
    </row>
    <row r="13" spans="1:26" ht="14.25" x14ac:dyDescent="0.2">
      <c r="A13" s="95"/>
      <c r="B13" s="62"/>
      <c r="C13" s="63"/>
      <c r="D13" s="63"/>
      <c r="E13" s="64"/>
      <c r="F13" s="63"/>
      <c r="G13" s="63"/>
      <c r="H13" s="64"/>
      <c r="I13" s="65"/>
      <c r="J13" s="65"/>
      <c r="K13" s="65"/>
      <c r="L13" s="65"/>
      <c r="M13" s="65"/>
      <c r="N13" s="65"/>
      <c r="O13" s="65"/>
      <c r="P13" s="65"/>
      <c r="Q13" s="66"/>
      <c r="R13" s="66"/>
      <c r="S13" s="109"/>
      <c r="T13" s="118"/>
      <c r="U13" s="115"/>
      <c r="V13" s="133"/>
      <c r="W13" s="125"/>
      <c r="X13" s="138"/>
      <c r="Y13" s="117"/>
      <c r="Z13" s="115"/>
    </row>
    <row r="14" spans="1:26" ht="14.25" x14ac:dyDescent="0.2">
      <c r="A14" s="99" t="s">
        <v>47</v>
      </c>
      <c r="B14" s="62" t="s">
        <v>48</v>
      </c>
      <c r="C14" s="63"/>
      <c r="D14" s="63"/>
      <c r="E14" s="63"/>
      <c r="F14" s="63"/>
      <c r="G14" s="63"/>
      <c r="H14" s="63"/>
      <c r="I14" s="65">
        <f t="shared" ref="I14:J14" si="4">I16+I23</f>
        <v>97774714</v>
      </c>
      <c r="J14" s="65">
        <f t="shared" si="4"/>
        <v>67160191.333333328</v>
      </c>
      <c r="K14" s="65">
        <f>K16+K23</f>
        <v>34923295.166666664</v>
      </c>
      <c r="L14" s="65">
        <f>L16+L23</f>
        <v>102083486.5</v>
      </c>
      <c r="M14" s="65">
        <f t="shared" ref="M14:N14" si="5">M16+M23</f>
        <v>25172344.125000004</v>
      </c>
      <c r="N14" s="65">
        <f t="shared" si="5"/>
        <v>41980421.25</v>
      </c>
      <c r="O14" s="65">
        <f>O16+O23</f>
        <v>34927706.166666664</v>
      </c>
      <c r="P14" s="65">
        <f>P16+P23</f>
        <v>102080471.54166666</v>
      </c>
      <c r="Q14" s="66">
        <f t="shared" ref="Q14" si="6">Q16+Q23</f>
        <v>69855412.333333328</v>
      </c>
      <c r="R14" s="66">
        <f>R16+R23</f>
        <v>36324815.033333331</v>
      </c>
      <c r="S14" s="109">
        <f>S16+S23</f>
        <v>106180227.36666664</v>
      </c>
      <c r="T14" s="118">
        <f t="shared" ref="T14:T45" si="7">S14-P14</f>
        <v>4099755.8249999881</v>
      </c>
      <c r="U14" s="115">
        <f t="shared" ref="U14:U45" si="8">S14/P14-1</f>
        <v>4.0161999284325178E-2</v>
      </c>
      <c r="V14" s="133">
        <f t="shared" ref="V14" si="9">V16+V23</f>
        <v>72649630.066666663</v>
      </c>
      <c r="W14" s="125">
        <f>W16+W23</f>
        <v>37777807.633333333</v>
      </c>
      <c r="X14" s="138">
        <f>X16+X23</f>
        <v>110427437.7</v>
      </c>
      <c r="Y14" s="118">
        <f t="shared" ref="Y14:Y45" si="10">X14-S14</f>
        <v>4247210.3333333582</v>
      </c>
      <c r="Z14" s="115">
        <f t="shared" ref="Z14:Z45" si="11">X14/S14-1</f>
        <v>4.0000011665700219E-2</v>
      </c>
    </row>
    <row r="15" spans="1:26" ht="14.25" x14ac:dyDescent="0.2">
      <c r="A15" s="99"/>
      <c r="B15" s="62"/>
      <c r="C15" s="64"/>
      <c r="D15" s="64"/>
      <c r="E15" s="64"/>
      <c r="F15" s="64"/>
      <c r="G15" s="64"/>
      <c r="H15" s="64"/>
      <c r="I15" s="69"/>
      <c r="J15" s="69"/>
      <c r="K15" s="69"/>
      <c r="L15" s="69"/>
      <c r="M15" s="69"/>
      <c r="N15" s="69"/>
      <c r="O15" s="69"/>
      <c r="P15" s="69"/>
      <c r="Q15" s="70"/>
      <c r="R15" s="70"/>
      <c r="S15" s="110"/>
      <c r="T15" s="118"/>
      <c r="U15" s="115"/>
      <c r="V15" s="134"/>
      <c r="W15" s="126"/>
      <c r="X15" s="139"/>
      <c r="Y15" s="118"/>
      <c r="Z15" s="115"/>
    </row>
    <row r="16" spans="1:26" ht="15" x14ac:dyDescent="0.25">
      <c r="A16" s="99" t="s">
        <v>49</v>
      </c>
      <c r="B16" s="72" t="s">
        <v>50</v>
      </c>
      <c r="C16" s="73"/>
      <c r="D16" s="73"/>
      <c r="E16" s="73"/>
      <c r="F16" s="63"/>
      <c r="G16" s="64"/>
      <c r="H16" s="64"/>
      <c r="I16" s="65">
        <f t="shared" ref="I16:J16" si="12">I20</f>
        <v>23685867.359999999</v>
      </c>
      <c r="J16" s="65">
        <f t="shared" si="12"/>
        <v>16265069.92</v>
      </c>
      <c r="K16" s="65">
        <f>K20</f>
        <v>8457835.3200000003</v>
      </c>
      <c r="L16" s="65">
        <f>L20</f>
        <v>24722905.240000002</v>
      </c>
      <c r="M16" s="65">
        <f t="shared" ref="M16:N16" si="13">M20</f>
        <v>6096346.5899999999</v>
      </c>
      <c r="N16" s="65">
        <f t="shared" si="13"/>
        <v>10166941.1</v>
      </c>
      <c r="O16" s="65">
        <f>O20</f>
        <v>8458893.959999999</v>
      </c>
      <c r="P16" s="65">
        <f>P20</f>
        <v>24722181.649999999</v>
      </c>
      <c r="Q16" s="66">
        <f t="shared" ref="Q16" si="14">Q20</f>
        <v>16917787.919999998</v>
      </c>
      <c r="R16" s="66">
        <f>R20</f>
        <v>8797249.879999999</v>
      </c>
      <c r="S16" s="109">
        <f>S20</f>
        <v>25715037.799999997</v>
      </c>
      <c r="T16" s="118">
        <f t="shared" si="7"/>
        <v>992856.14999999851</v>
      </c>
      <c r="U16" s="115">
        <f t="shared" si="8"/>
        <v>4.0160539391554728E-2</v>
      </c>
      <c r="V16" s="133">
        <f t="shared" ref="V16" si="15">V20</f>
        <v>17594499.759999998</v>
      </c>
      <c r="W16" s="125">
        <f>W20</f>
        <v>9149139.8800000008</v>
      </c>
      <c r="X16" s="138">
        <f>X20</f>
        <v>26743639.640000001</v>
      </c>
      <c r="Y16" s="118">
        <f t="shared" si="10"/>
        <v>1028601.8400000036</v>
      </c>
      <c r="Z16" s="115">
        <f t="shared" si="11"/>
        <v>4.0000012755182723E-2</v>
      </c>
    </row>
    <row r="17" spans="1:26" ht="14.25" x14ac:dyDescent="0.2">
      <c r="A17" s="95"/>
      <c r="B17" s="74"/>
      <c r="C17" s="64"/>
      <c r="D17" s="64"/>
      <c r="E17" s="64"/>
      <c r="F17" s="64"/>
      <c r="G17" s="64"/>
      <c r="H17" s="64"/>
      <c r="I17" s="69"/>
      <c r="J17" s="69"/>
      <c r="K17" s="69"/>
      <c r="L17" s="69"/>
      <c r="M17" s="69"/>
      <c r="N17" s="69"/>
      <c r="O17" s="69"/>
      <c r="P17" s="69"/>
      <c r="Q17" s="70"/>
      <c r="R17" s="70"/>
      <c r="S17" s="110"/>
      <c r="T17" s="118"/>
      <c r="U17" s="115"/>
      <c r="V17" s="134"/>
      <c r="W17" s="126"/>
      <c r="X17" s="139"/>
      <c r="Y17" s="118"/>
      <c r="Z17" s="115"/>
    </row>
    <row r="18" spans="1:26" ht="14.25" x14ac:dyDescent="0.2">
      <c r="A18" s="95"/>
      <c r="B18" s="74" t="s">
        <v>51</v>
      </c>
      <c r="C18" s="46"/>
      <c r="D18" s="64"/>
      <c r="E18" s="46"/>
      <c r="F18" s="64"/>
      <c r="G18" s="64"/>
      <c r="H18" s="64"/>
      <c r="I18" s="69">
        <v>1973822.28</v>
      </c>
      <c r="J18" s="69">
        <v>2033133.74</v>
      </c>
      <c r="K18" s="69">
        <v>2114458.83</v>
      </c>
      <c r="L18" s="69"/>
      <c r="M18" s="100">
        <v>2032115.53</v>
      </c>
      <c r="N18" s="100">
        <v>2033388.22</v>
      </c>
      <c r="O18" s="100">
        <v>2114723.4899999998</v>
      </c>
      <c r="P18" s="69"/>
      <c r="Q18" s="70">
        <f>'Кол-во штатных единиц'!S27</f>
        <v>2114723.4899999998</v>
      </c>
      <c r="R18" s="70">
        <f>'Кол-во штатных единиц'!V27</f>
        <v>2199312.4699999997</v>
      </c>
      <c r="S18" s="110"/>
      <c r="T18" s="118"/>
      <c r="U18" s="115"/>
      <c r="V18" s="134">
        <f>'Кол-во штатных единиц'!AC27</f>
        <v>2199312.4699999997</v>
      </c>
      <c r="W18" s="126">
        <f>'Кол-во штатных единиц'!AF27</f>
        <v>2287284.9700000002</v>
      </c>
      <c r="X18" s="139"/>
      <c r="Y18" s="118"/>
      <c r="Z18" s="115"/>
    </row>
    <row r="19" spans="1:26" ht="14.25" x14ac:dyDescent="0.2">
      <c r="A19" s="95"/>
      <c r="B19" s="74"/>
      <c r="C19" s="46"/>
      <c r="D19" s="64"/>
      <c r="E19" s="46"/>
      <c r="F19" s="64"/>
      <c r="G19" s="64"/>
      <c r="H19" s="64"/>
      <c r="I19" s="69"/>
      <c r="J19" s="69"/>
      <c r="K19" s="69"/>
      <c r="L19" s="69"/>
      <c r="M19" s="69"/>
      <c r="N19" s="69"/>
      <c r="O19" s="69"/>
      <c r="P19" s="69"/>
      <c r="Q19" s="70"/>
      <c r="R19" s="70"/>
      <c r="S19" s="110"/>
      <c r="T19" s="118"/>
      <c r="U19" s="115"/>
      <c r="V19" s="134"/>
      <c r="W19" s="126"/>
      <c r="X19" s="139"/>
      <c r="Y19" s="118"/>
      <c r="Z19" s="115"/>
    </row>
    <row r="20" spans="1:26" ht="14.25" x14ac:dyDescent="0.2">
      <c r="A20" s="95"/>
      <c r="B20" s="74" t="s">
        <v>52</v>
      </c>
      <c r="C20" s="64"/>
      <c r="D20" s="64"/>
      <c r="E20" s="64"/>
      <c r="F20" s="64"/>
      <c r="G20" s="64"/>
      <c r="H20" s="64"/>
      <c r="I20" s="69">
        <f t="shared" ref="I20" si="16">I18*12</f>
        <v>23685867.359999999</v>
      </c>
      <c r="J20" s="69">
        <f>J18*8</f>
        <v>16265069.92</v>
      </c>
      <c r="K20" s="69">
        <f>K18*4</f>
        <v>8457835.3200000003</v>
      </c>
      <c r="L20" s="69">
        <f>J20+K20</f>
        <v>24722905.240000002</v>
      </c>
      <c r="M20" s="69">
        <f>M18*3</f>
        <v>6096346.5899999999</v>
      </c>
      <c r="N20" s="69">
        <f>N18*5</f>
        <v>10166941.1</v>
      </c>
      <c r="O20" s="69">
        <f>O18*4</f>
        <v>8458893.959999999</v>
      </c>
      <c r="P20" s="69">
        <f>N20+O20+M20</f>
        <v>24722181.649999999</v>
      </c>
      <c r="Q20" s="70">
        <f>Q18*8</f>
        <v>16917787.919999998</v>
      </c>
      <c r="R20" s="70">
        <f>R18*4</f>
        <v>8797249.879999999</v>
      </c>
      <c r="S20" s="110">
        <f>Q20+R20</f>
        <v>25715037.799999997</v>
      </c>
      <c r="T20" s="118">
        <f t="shared" si="7"/>
        <v>992856.14999999851</v>
      </c>
      <c r="U20" s="115">
        <f t="shared" si="8"/>
        <v>4.0160539391554728E-2</v>
      </c>
      <c r="V20" s="134">
        <f>V18*8</f>
        <v>17594499.759999998</v>
      </c>
      <c r="W20" s="126">
        <f>W18*4</f>
        <v>9149139.8800000008</v>
      </c>
      <c r="X20" s="139">
        <f>V20+W20</f>
        <v>26743639.640000001</v>
      </c>
      <c r="Y20" s="118">
        <f t="shared" si="10"/>
        <v>1028601.8400000036</v>
      </c>
      <c r="Z20" s="115">
        <f t="shared" si="11"/>
        <v>4.0000012755182723E-2</v>
      </c>
    </row>
    <row r="21" spans="1:26" ht="14.25" x14ac:dyDescent="0.2">
      <c r="A21" s="95"/>
      <c r="B21" s="74"/>
      <c r="C21" s="64"/>
      <c r="D21" s="64"/>
      <c r="E21" s="64"/>
      <c r="F21" s="64"/>
      <c r="G21" s="64"/>
      <c r="H21" s="64"/>
      <c r="I21" s="69"/>
      <c r="J21" s="69"/>
      <c r="K21" s="69"/>
      <c r="L21" s="69"/>
      <c r="M21" s="69"/>
      <c r="N21" s="69"/>
      <c r="O21" s="69"/>
      <c r="P21" s="69"/>
      <c r="Q21" s="70"/>
      <c r="R21" s="70"/>
      <c r="S21" s="110"/>
      <c r="T21" s="118"/>
      <c r="U21" s="115"/>
      <c r="V21" s="134"/>
      <c r="W21" s="126"/>
      <c r="X21" s="139"/>
      <c r="Y21" s="118"/>
      <c r="Z21" s="115"/>
    </row>
    <row r="22" spans="1:26" ht="14.25" x14ac:dyDescent="0.2">
      <c r="A22" s="99" t="s">
        <v>53</v>
      </c>
      <c r="B22" s="62" t="s">
        <v>54</v>
      </c>
      <c r="C22" s="64"/>
      <c r="D22" s="64"/>
      <c r="E22" s="64"/>
      <c r="F22" s="64"/>
      <c r="G22" s="64"/>
      <c r="H22" s="64"/>
      <c r="I22" s="69"/>
      <c r="J22" s="69"/>
      <c r="K22" s="69"/>
      <c r="L22" s="69"/>
      <c r="M22" s="69"/>
      <c r="N22" s="69"/>
      <c r="O22" s="69"/>
      <c r="P22" s="69"/>
      <c r="Q22" s="70"/>
      <c r="R22" s="70"/>
      <c r="S22" s="110"/>
      <c r="T22" s="118"/>
      <c r="U22" s="115"/>
      <c r="V22" s="134"/>
      <c r="W22" s="126"/>
      <c r="X22" s="139"/>
      <c r="Y22" s="118"/>
      <c r="Z22" s="115"/>
    </row>
    <row r="23" spans="1:26" ht="14.25" x14ac:dyDescent="0.2">
      <c r="A23" s="95"/>
      <c r="B23" s="62" t="s">
        <v>55</v>
      </c>
      <c r="C23" s="64"/>
      <c r="D23" s="64"/>
      <c r="E23" s="75"/>
      <c r="F23" s="75"/>
      <c r="G23" s="64"/>
      <c r="H23" s="64"/>
      <c r="I23" s="65">
        <f t="shared" ref="I23:J23" si="17">I25+I29+I33+I38+I42</f>
        <v>74088846.640000001</v>
      </c>
      <c r="J23" s="65">
        <f t="shared" si="17"/>
        <v>50895121.413333327</v>
      </c>
      <c r="K23" s="65">
        <f>K25+K29+K33+K38+K42</f>
        <v>26465459.846666664</v>
      </c>
      <c r="L23" s="65">
        <f>L25+L29+L33+L38+L42</f>
        <v>77360581.260000005</v>
      </c>
      <c r="M23" s="65">
        <f t="shared" ref="M23:N23" si="18">M25+M29+M33+M38+M42</f>
        <v>19075997.535000004</v>
      </c>
      <c r="N23" s="65">
        <f t="shared" si="18"/>
        <v>31813480.149999999</v>
      </c>
      <c r="O23" s="65">
        <f>O25+O29+O33+O38+O42</f>
        <v>26468812.206666663</v>
      </c>
      <c r="P23" s="65">
        <f>P25+P29+P33+P38+P42</f>
        <v>77358289.891666651</v>
      </c>
      <c r="Q23" s="66">
        <f>Q25+Q29+Q33+Q38+Q42</f>
        <v>52937624.413333327</v>
      </c>
      <c r="R23" s="66">
        <f>R25+R29+R33+R38+R42</f>
        <v>27527565.153333329</v>
      </c>
      <c r="S23" s="109">
        <f>S25+S29+S33+S38+S42</f>
        <v>80465189.566666648</v>
      </c>
      <c r="T23" s="118">
        <f t="shared" si="7"/>
        <v>3106899.674999997</v>
      </c>
      <c r="U23" s="115">
        <f t="shared" si="8"/>
        <v>4.0162465837222161E-2</v>
      </c>
      <c r="V23" s="133">
        <f t="shared" ref="V23" si="19">V25+V29+V33+V38+V42</f>
        <v>55055130.306666657</v>
      </c>
      <c r="W23" s="125">
        <f>W25+W29+W33+W38+W42</f>
        <v>28628667.753333334</v>
      </c>
      <c r="X23" s="138">
        <f>X25+X29+X33+X38+X42</f>
        <v>83683798.060000002</v>
      </c>
      <c r="Y23" s="118">
        <f t="shared" si="10"/>
        <v>3218608.4933333546</v>
      </c>
      <c r="Z23" s="115">
        <f t="shared" si="11"/>
        <v>4.000001131752362E-2</v>
      </c>
    </row>
    <row r="24" spans="1:26" ht="14.25" x14ac:dyDescent="0.2">
      <c r="A24" s="95"/>
      <c r="B24" s="62"/>
      <c r="C24" s="64"/>
      <c r="D24" s="64"/>
      <c r="E24" s="63"/>
      <c r="F24" s="64"/>
      <c r="G24" s="64"/>
      <c r="H24" s="64"/>
      <c r="I24" s="69"/>
      <c r="J24" s="69"/>
      <c r="K24" s="69"/>
      <c r="L24" s="69"/>
      <c r="M24" s="69"/>
      <c r="N24" s="69"/>
      <c r="O24" s="69"/>
      <c r="P24" s="69"/>
      <c r="Q24" s="70"/>
      <c r="R24" s="70"/>
      <c r="S24" s="110"/>
      <c r="T24" s="118"/>
      <c r="U24" s="115"/>
      <c r="V24" s="134"/>
      <c r="W24" s="126"/>
      <c r="X24" s="139"/>
      <c r="Y24" s="118"/>
      <c r="Z24" s="115"/>
    </row>
    <row r="25" spans="1:26" ht="15" x14ac:dyDescent="0.25">
      <c r="A25" s="99"/>
      <c r="B25" s="72" t="s">
        <v>56</v>
      </c>
      <c r="C25" s="73"/>
      <c r="D25" s="73"/>
      <c r="E25" s="64"/>
      <c r="F25" s="64"/>
      <c r="G25" s="64"/>
      <c r="H25" s="64"/>
      <c r="I25" s="65">
        <f t="shared" ref="I25:J25" si="20">I27</f>
        <v>27633511.920000002</v>
      </c>
      <c r="J25" s="65">
        <f t="shared" si="20"/>
        <v>18975914.906666666</v>
      </c>
      <c r="K25" s="65">
        <f>K27</f>
        <v>9867474.540000001</v>
      </c>
      <c r="L25" s="65">
        <f>L27</f>
        <v>28843389.446666665</v>
      </c>
      <c r="M25" s="65">
        <f t="shared" ref="M25:N25" si="21">M27</f>
        <v>7112404.3550000004</v>
      </c>
      <c r="N25" s="65">
        <f t="shared" si="21"/>
        <v>11861431.283333331</v>
      </c>
      <c r="O25" s="65">
        <f>O27</f>
        <v>9868709.6199999992</v>
      </c>
      <c r="P25" s="65">
        <f>P27</f>
        <v>28842545.258333329</v>
      </c>
      <c r="Q25" s="66">
        <f t="shared" ref="Q25" si="22">Q27</f>
        <v>19737419.239999998</v>
      </c>
      <c r="R25" s="66">
        <f>R27</f>
        <v>10263458.193333333</v>
      </c>
      <c r="S25" s="109">
        <f>S27</f>
        <v>30000877.43333333</v>
      </c>
      <c r="T25" s="118">
        <f t="shared" si="7"/>
        <v>1158332.1750000007</v>
      </c>
      <c r="U25" s="115">
        <f t="shared" si="8"/>
        <v>4.016053939155495E-2</v>
      </c>
      <c r="V25" s="133">
        <f t="shared" ref="V25" si="23">V27</f>
        <v>20526916.386666667</v>
      </c>
      <c r="W25" s="125">
        <f>W27</f>
        <v>10673996.526666667</v>
      </c>
      <c r="X25" s="138">
        <f>X27</f>
        <v>31200912.913333334</v>
      </c>
      <c r="Y25" s="118">
        <f t="shared" si="10"/>
        <v>1200035.4800000042</v>
      </c>
      <c r="Z25" s="115">
        <f t="shared" si="11"/>
        <v>4.0000012755182723E-2</v>
      </c>
    </row>
    <row r="26" spans="1:26" ht="14.25" x14ac:dyDescent="0.2">
      <c r="A26" s="95"/>
      <c r="B26" s="74"/>
      <c r="C26" s="64"/>
      <c r="D26" s="64"/>
      <c r="E26" s="64"/>
      <c r="F26" s="64"/>
      <c r="G26" s="64"/>
      <c r="H26" s="64"/>
      <c r="I26" s="69"/>
      <c r="J26" s="69"/>
      <c r="K26" s="69"/>
      <c r="L26" s="69"/>
      <c r="M26" s="69"/>
      <c r="N26" s="69"/>
      <c r="O26" s="69"/>
      <c r="P26" s="69"/>
      <c r="Q26" s="70"/>
      <c r="R26" s="70"/>
      <c r="S26" s="110"/>
      <c r="T26" s="118"/>
      <c r="U26" s="115"/>
      <c r="V26" s="134"/>
      <c r="W26" s="126"/>
      <c r="X26" s="139"/>
      <c r="Y26" s="118"/>
      <c r="Z26" s="115"/>
    </row>
    <row r="27" spans="1:26" ht="14.25" x14ac:dyDescent="0.2">
      <c r="A27" s="95"/>
      <c r="B27" s="74" t="s">
        <v>57</v>
      </c>
      <c r="C27" s="64"/>
      <c r="D27" s="64"/>
      <c r="E27" s="64"/>
      <c r="F27" s="64"/>
      <c r="G27" s="64"/>
      <c r="H27" s="64"/>
      <c r="I27" s="69">
        <f t="shared" ref="I27" si="24">(I18*14)</f>
        <v>27633511.920000002</v>
      </c>
      <c r="J27" s="69">
        <f>(J18*14)/12*8</f>
        <v>18975914.906666666</v>
      </c>
      <c r="K27" s="69">
        <f>(K18*14)/12*4</f>
        <v>9867474.540000001</v>
      </c>
      <c r="L27" s="69">
        <f>J27+K27</f>
        <v>28843389.446666665</v>
      </c>
      <c r="M27" s="69">
        <f>(M18*14)/12*3</f>
        <v>7112404.3550000004</v>
      </c>
      <c r="N27" s="69">
        <f>(N18*14)/12*5</f>
        <v>11861431.283333331</v>
      </c>
      <c r="O27" s="69">
        <f>(O18*14)/12*4</f>
        <v>9868709.6199999992</v>
      </c>
      <c r="P27" s="69">
        <f>N27+O27+M27</f>
        <v>28842545.258333329</v>
      </c>
      <c r="Q27" s="70">
        <f>(Q18*14)/12*8</f>
        <v>19737419.239999998</v>
      </c>
      <c r="R27" s="70">
        <f>(R18*14)/12*4</f>
        <v>10263458.193333333</v>
      </c>
      <c r="S27" s="110">
        <f>Q27+R27</f>
        <v>30000877.43333333</v>
      </c>
      <c r="T27" s="118">
        <f t="shared" si="7"/>
        <v>1158332.1750000007</v>
      </c>
      <c r="U27" s="115">
        <f t="shared" si="8"/>
        <v>4.016053939155495E-2</v>
      </c>
      <c r="V27" s="134">
        <f>(V18*14)/12*8</f>
        <v>20526916.386666667</v>
      </c>
      <c r="W27" s="126">
        <f>(W18*14)/12*4</f>
        <v>10673996.526666667</v>
      </c>
      <c r="X27" s="139">
        <f>V27+W27</f>
        <v>31200912.913333334</v>
      </c>
      <c r="Y27" s="118">
        <f t="shared" si="10"/>
        <v>1200035.4800000042</v>
      </c>
      <c r="Z27" s="115">
        <f t="shared" si="11"/>
        <v>4.0000012755182723E-2</v>
      </c>
    </row>
    <row r="28" spans="1:26" ht="14.25" x14ac:dyDescent="0.2">
      <c r="A28" s="95"/>
      <c r="B28" s="74"/>
      <c r="C28" s="64"/>
      <c r="D28" s="64"/>
      <c r="E28" s="64"/>
      <c r="F28" s="64"/>
      <c r="G28" s="64"/>
      <c r="H28" s="64"/>
      <c r="I28" s="69"/>
      <c r="J28" s="69"/>
      <c r="K28" s="69"/>
      <c r="L28" s="69"/>
      <c r="M28" s="69"/>
      <c r="N28" s="69"/>
      <c r="O28" s="69"/>
      <c r="P28" s="69"/>
      <c r="Q28" s="70"/>
      <c r="R28" s="70"/>
      <c r="S28" s="110"/>
      <c r="T28" s="118"/>
      <c r="U28" s="115"/>
      <c r="V28" s="134"/>
      <c r="W28" s="126"/>
      <c r="X28" s="139"/>
      <c r="Y28" s="118"/>
      <c r="Z28" s="115"/>
    </row>
    <row r="29" spans="1:26" ht="15" x14ac:dyDescent="0.25">
      <c r="A29" s="95"/>
      <c r="B29" s="72" t="s">
        <v>58</v>
      </c>
      <c r="C29" s="73"/>
      <c r="D29" s="73"/>
      <c r="E29" s="73"/>
      <c r="F29" s="64"/>
      <c r="G29" s="64"/>
      <c r="H29" s="64"/>
      <c r="I29" s="65">
        <f t="shared" ref="I29:J29" si="25">I31</f>
        <v>5577816.8399999999</v>
      </c>
      <c r="J29" s="65">
        <f t="shared" si="25"/>
        <v>3837167.48</v>
      </c>
      <c r="K29" s="65">
        <f>K31</f>
        <v>1995326.83</v>
      </c>
      <c r="L29" s="65">
        <f>L31</f>
        <v>5832494.3100000005</v>
      </c>
      <c r="M29" s="65">
        <f t="shared" ref="M29:N29" si="26">M31</f>
        <v>1438174.1475</v>
      </c>
      <c r="N29" s="65">
        <f t="shared" si="26"/>
        <v>2398547.7749999999</v>
      </c>
      <c r="O29" s="65">
        <f>O31</f>
        <v>1995591.4899999995</v>
      </c>
      <c r="P29" s="65">
        <f>P31</f>
        <v>5832313.4124999996</v>
      </c>
      <c r="Q29" s="66">
        <f t="shared" ref="Q29" si="27">Q31</f>
        <v>3991182.9799999991</v>
      </c>
      <c r="R29" s="66">
        <f>R31</f>
        <v>2075415.1699999997</v>
      </c>
      <c r="S29" s="109">
        <f>S31</f>
        <v>6066598.1499999985</v>
      </c>
      <c r="T29" s="118">
        <f t="shared" si="7"/>
        <v>234284.73749999888</v>
      </c>
      <c r="U29" s="115">
        <f>S29/P29-1</f>
        <v>4.0170121344623277E-2</v>
      </c>
      <c r="V29" s="133">
        <f t="shared" ref="V29" si="28">V31</f>
        <v>4150830.3399999994</v>
      </c>
      <c r="W29" s="125">
        <f>W31</f>
        <v>2158431.77</v>
      </c>
      <c r="X29" s="138">
        <f>X31</f>
        <v>6309262.1099999994</v>
      </c>
      <c r="Y29" s="118">
        <f t="shared" si="10"/>
        <v>242663.96000000089</v>
      </c>
      <c r="Z29" s="115">
        <f t="shared" si="11"/>
        <v>4.0000005604459155E-2</v>
      </c>
    </row>
    <row r="30" spans="1:26" ht="14.25" x14ac:dyDescent="0.2">
      <c r="A30" s="95"/>
      <c r="B30" s="74"/>
      <c r="C30" s="64"/>
      <c r="D30" s="64"/>
      <c r="E30" s="64"/>
      <c r="F30" s="64"/>
      <c r="G30" s="64"/>
      <c r="H30" s="64"/>
      <c r="I30" s="69"/>
      <c r="J30" s="69"/>
      <c r="K30" s="69"/>
      <c r="L30" s="69"/>
      <c r="M30" s="69"/>
      <c r="N30" s="69"/>
      <c r="O30" s="69"/>
      <c r="P30" s="69"/>
      <c r="Q30" s="70"/>
      <c r="R30" s="70"/>
      <c r="S30" s="110"/>
      <c r="T30" s="118"/>
      <c r="U30" s="115"/>
      <c r="V30" s="134"/>
      <c r="W30" s="126"/>
      <c r="X30" s="139"/>
      <c r="Y30" s="118"/>
      <c r="Z30" s="115"/>
    </row>
    <row r="31" spans="1:26" ht="14.25" x14ac:dyDescent="0.2">
      <c r="A31" s="95"/>
      <c r="B31" s="74" t="s">
        <v>59</v>
      </c>
      <c r="C31" s="64"/>
      <c r="D31" s="64"/>
      <c r="E31" s="64"/>
      <c r="F31" s="64"/>
      <c r="G31" s="64"/>
      <c r="H31" s="64"/>
      <c r="I31" s="69">
        <f>((I18-114550)*3)</f>
        <v>5577816.8399999999</v>
      </c>
      <c r="J31" s="69">
        <f>(((J18-114550)*3))/12*8</f>
        <v>3837167.48</v>
      </c>
      <c r="K31" s="69">
        <f>((K18-11913.2*10)*3)/12*4</f>
        <v>1995326.83</v>
      </c>
      <c r="L31" s="69">
        <f>K31+J31</f>
        <v>5832494.3100000005</v>
      </c>
      <c r="M31" s="69">
        <f>(((M18-114550)*3))/12*3</f>
        <v>1438174.1475</v>
      </c>
      <c r="N31" s="69">
        <f>(((N18-114550)*3))/12*5</f>
        <v>2398547.7749999999</v>
      </c>
      <c r="O31" s="69">
        <f>((O18-11913.2*10)*3)/12*4</f>
        <v>1995591.4899999995</v>
      </c>
      <c r="P31" s="69">
        <f>O31+N31+M31</f>
        <v>5832313.4124999996</v>
      </c>
      <c r="Q31" s="70">
        <f>(((Q18-11913.2*10)*3))/12*8</f>
        <v>3991182.9799999991</v>
      </c>
      <c r="R31" s="70">
        <f>((R18-12389.73*10)*3)/12*4</f>
        <v>2075415.1699999997</v>
      </c>
      <c r="S31" s="110">
        <f>R31+Q31</f>
        <v>6066598.1499999985</v>
      </c>
      <c r="T31" s="118">
        <f t="shared" si="7"/>
        <v>234284.73749999888</v>
      </c>
      <c r="U31" s="115">
        <f t="shared" si="8"/>
        <v>4.0170121344623277E-2</v>
      </c>
      <c r="V31" s="134">
        <f>(((V18-12389.73*10)*3))/12*8</f>
        <v>4150830.3399999994</v>
      </c>
      <c r="W31" s="126">
        <f>((W18-12885.32*10)*3)/12*4</f>
        <v>2158431.77</v>
      </c>
      <c r="X31" s="139">
        <f>W31+V31</f>
        <v>6309262.1099999994</v>
      </c>
      <c r="Y31" s="118">
        <f t="shared" si="10"/>
        <v>242663.96000000089</v>
      </c>
      <c r="Z31" s="115">
        <f t="shared" si="11"/>
        <v>4.0000005604459155E-2</v>
      </c>
    </row>
    <row r="32" spans="1:26" ht="14.25" x14ac:dyDescent="0.2">
      <c r="A32" s="95"/>
      <c r="B32" s="74"/>
      <c r="C32" s="64"/>
      <c r="D32" s="64"/>
      <c r="E32" s="64"/>
      <c r="F32" s="64"/>
      <c r="G32" s="64"/>
      <c r="H32" s="64"/>
      <c r="I32" s="69"/>
      <c r="J32" s="69"/>
      <c r="K32" s="69"/>
      <c r="L32" s="69"/>
      <c r="M32" s="69"/>
      <c r="N32" s="69"/>
      <c r="O32" s="69"/>
      <c r="P32" s="69"/>
      <c r="Q32" s="70"/>
      <c r="R32" s="70"/>
      <c r="S32" s="110"/>
      <c r="T32" s="118"/>
      <c r="U32" s="115"/>
      <c r="V32" s="134"/>
      <c r="W32" s="126"/>
      <c r="X32" s="139"/>
      <c r="Y32" s="118"/>
      <c r="Z32" s="115"/>
    </row>
    <row r="33" spans="1:26" ht="15" x14ac:dyDescent="0.25">
      <c r="A33" s="95"/>
      <c r="B33" s="72" t="s">
        <v>60</v>
      </c>
      <c r="C33" s="64"/>
      <c r="D33" s="64"/>
      <c r="E33" s="64"/>
      <c r="F33" s="64"/>
      <c r="G33" s="64"/>
      <c r="H33" s="64"/>
      <c r="I33" s="65">
        <f t="shared" ref="I33:K33" si="29">I35+I36</f>
        <v>31008406.48</v>
      </c>
      <c r="J33" s="65">
        <f t="shared" si="29"/>
        <v>21304926.559999999</v>
      </c>
      <c r="K33" s="65">
        <f t="shared" si="29"/>
        <v>11078560.426666668</v>
      </c>
      <c r="L33" s="65">
        <f>L35+L36</f>
        <v>32383486.986666668</v>
      </c>
      <c r="M33" s="65">
        <f t="shared" ref="M33:O33" si="30">M35+M36</f>
        <v>7985274.6200000001</v>
      </c>
      <c r="N33" s="65">
        <f t="shared" si="30"/>
        <v>13317275.633333335</v>
      </c>
      <c r="O33" s="65">
        <f t="shared" si="30"/>
        <v>11079971.946666665</v>
      </c>
      <c r="P33" s="65">
        <f>P35+P36</f>
        <v>32382522.200000003</v>
      </c>
      <c r="Q33" s="66">
        <f t="shared" ref="Q33:R33" si="31">Q35+Q36</f>
        <v>22159943.893333331</v>
      </c>
      <c r="R33" s="66">
        <f t="shared" si="31"/>
        <v>11523171.006666664</v>
      </c>
      <c r="S33" s="109">
        <f>S35+S36</f>
        <v>33683114.899999991</v>
      </c>
      <c r="T33" s="118">
        <f t="shared" si="7"/>
        <v>1300592.6999999881</v>
      </c>
      <c r="U33" s="115">
        <f t="shared" si="8"/>
        <v>4.0163415683537762E-2</v>
      </c>
      <c r="V33" s="133">
        <f t="shared" ref="V33:W33" si="32">V35+V36</f>
        <v>23046342.013333328</v>
      </c>
      <c r="W33" s="125">
        <f t="shared" si="32"/>
        <v>11984097.84</v>
      </c>
      <c r="X33" s="138">
        <f>X35+X36</f>
        <v>35030439.853333324</v>
      </c>
      <c r="Y33" s="118">
        <f t="shared" si="10"/>
        <v>1347324.9533333331</v>
      </c>
      <c r="Z33" s="115">
        <f t="shared" si="11"/>
        <v>4.0000010608678416E-2</v>
      </c>
    </row>
    <row r="34" spans="1:26" ht="15" x14ac:dyDescent="0.25">
      <c r="A34" s="95"/>
      <c r="B34" s="72"/>
      <c r="C34" s="64"/>
      <c r="D34" s="64"/>
      <c r="E34" s="64"/>
      <c r="F34" s="64"/>
      <c r="G34" s="64"/>
      <c r="H34" s="64"/>
      <c r="I34" s="65"/>
      <c r="J34" s="65"/>
      <c r="K34" s="65"/>
      <c r="L34" s="65"/>
      <c r="M34" s="65"/>
      <c r="N34" s="65"/>
      <c r="O34" s="65"/>
      <c r="P34" s="65"/>
      <c r="Q34" s="66"/>
      <c r="R34" s="66"/>
      <c r="S34" s="109"/>
      <c r="T34" s="118"/>
      <c r="U34" s="115"/>
      <c r="V34" s="133"/>
      <c r="W34" s="125"/>
      <c r="X34" s="138"/>
      <c r="Y34" s="118"/>
      <c r="Z34" s="115"/>
    </row>
    <row r="35" spans="1:26" ht="14.25" x14ac:dyDescent="0.2">
      <c r="A35" s="95"/>
      <c r="B35" s="74" t="s">
        <v>61</v>
      </c>
      <c r="C35" s="64"/>
      <c r="D35" s="64"/>
      <c r="E35" s="64"/>
      <c r="F35" s="64"/>
      <c r="G35" s="64"/>
      <c r="H35" s="64"/>
      <c r="I35" s="76">
        <f>(I18-114550)*16</f>
        <v>29748356.48</v>
      </c>
      <c r="J35" s="76">
        <f>((J18-114550)*16)/12*8</f>
        <v>20464893.226666667</v>
      </c>
      <c r="K35" s="76">
        <f>((K18-11913.2*10)*16)/12*4</f>
        <v>10641743.093333334</v>
      </c>
      <c r="L35" s="76">
        <f>J35+K35</f>
        <v>31106636.32</v>
      </c>
      <c r="M35" s="76">
        <f>((M18-114550)*16)/12*3</f>
        <v>7670262.1200000001</v>
      </c>
      <c r="N35" s="76">
        <f>((N18-114550)*16)/12*5</f>
        <v>12792254.800000001</v>
      </c>
      <c r="O35" s="76">
        <f>((O18-11913.2*10)*16)/12*4</f>
        <v>10643154.613333331</v>
      </c>
      <c r="P35" s="76">
        <f>N35+O35+M35</f>
        <v>31105671.533333335</v>
      </c>
      <c r="Q35" s="77">
        <f>((Q18-11913.2*10)*16)/12*8</f>
        <v>21286309.226666663</v>
      </c>
      <c r="R35" s="77">
        <f>((R18-12389.73*10)*16)/12*4</f>
        <v>11068880.906666664</v>
      </c>
      <c r="S35" s="111">
        <f>Q35+R35</f>
        <v>32355190.133333325</v>
      </c>
      <c r="T35" s="118">
        <f t="shared" si="7"/>
        <v>1249518.5999999903</v>
      </c>
      <c r="U35" s="115">
        <f t="shared" si="8"/>
        <v>4.0170121344623055E-2</v>
      </c>
      <c r="V35" s="135">
        <f>((V18-12389.73*10)*16)/12*8</f>
        <v>22137761.813333329</v>
      </c>
      <c r="W35" s="127">
        <f>((W18-12885.32*10)*16)/12*4</f>
        <v>11511636.106666667</v>
      </c>
      <c r="X35" s="140">
        <f>V35+W35</f>
        <v>33649397.919999994</v>
      </c>
      <c r="Y35" s="118">
        <f t="shared" si="10"/>
        <v>1294207.786666669</v>
      </c>
      <c r="Z35" s="115">
        <f t="shared" si="11"/>
        <v>4.0000005604458932E-2</v>
      </c>
    </row>
    <row r="36" spans="1:26" ht="14.25" x14ac:dyDescent="0.2">
      <c r="A36" s="95"/>
      <c r="B36" s="74" t="s">
        <v>62</v>
      </c>
      <c r="C36" s="64"/>
      <c r="D36" s="64"/>
      <c r="E36" s="64"/>
      <c r="F36" s="64"/>
      <c r="G36" s="64"/>
      <c r="H36" s="64"/>
      <c r="I36" s="76">
        <f>114550*11</f>
        <v>1260050</v>
      </c>
      <c r="J36" s="76">
        <f>(114550*11)/12*8</f>
        <v>840033.33333333337</v>
      </c>
      <c r="K36" s="76">
        <f>(11913.2*10*11)/12*4</f>
        <v>436817.33333333331</v>
      </c>
      <c r="L36" s="76">
        <f>J36+K36</f>
        <v>1276850.6666666667</v>
      </c>
      <c r="M36" s="76">
        <f>(114550*11)/12*3</f>
        <v>315012.5</v>
      </c>
      <c r="N36" s="76">
        <f>(114550*11)/12*5</f>
        <v>525020.83333333337</v>
      </c>
      <c r="O36" s="76">
        <f>(11913.2*10*11)/12*4</f>
        <v>436817.33333333331</v>
      </c>
      <c r="P36" s="76">
        <f>N36+O36+M36</f>
        <v>1276850.6666666667</v>
      </c>
      <c r="Q36" s="77">
        <f>(11913.2*10*11)/12*8</f>
        <v>873634.66666666663</v>
      </c>
      <c r="R36" s="77">
        <f>(12389.73*10*11)/12*4</f>
        <v>454290.09999999992</v>
      </c>
      <c r="S36" s="111">
        <f>Q36+R36</f>
        <v>1327924.7666666666</v>
      </c>
      <c r="T36" s="118">
        <f t="shared" si="7"/>
        <v>51074.09999999986</v>
      </c>
      <c r="U36" s="115">
        <f t="shared" si="8"/>
        <v>4.0000057432975522E-2</v>
      </c>
      <c r="V36" s="135">
        <f>(12389.73*10*11)/12*8</f>
        <v>908580.19999999984</v>
      </c>
      <c r="W36" s="127">
        <f>(12885.32*10*11)/12*4</f>
        <v>472461.73333333334</v>
      </c>
      <c r="X36" s="140">
        <f>V36+W36</f>
        <v>1381041.9333333331</v>
      </c>
      <c r="Y36" s="118">
        <f t="shared" si="10"/>
        <v>53117.166666666511</v>
      </c>
      <c r="Z36" s="115">
        <f t="shared" si="11"/>
        <v>4.0000132537628907E-2</v>
      </c>
    </row>
    <row r="37" spans="1:26" ht="15" x14ac:dyDescent="0.25">
      <c r="A37" s="95"/>
      <c r="B37" s="72"/>
      <c r="C37" s="64"/>
      <c r="D37" s="64"/>
      <c r="E37" s="64"/>
      <c r="F37" s="64"/>
      <c r="G37" s="64"/>
      <c r="H37" s="64"/>
      <c r="I37" s="69"/>
      <c r="J37" s="69"/>
      <c r="K37" s="69"/>
      <c r="L37" s="69"/>
      <c r="M37" s="69"/>
      <c r="N37" s="69"/>
      <c r="O37" s="69"/>
      <c r="P37" s="69"/>
      <c r="Q37" s="70"/>
      <c r="R37" s="70"/>
      <c r="S37" s="110"/>
      <c r="T37" s="118"/>
      <c r="U37" s="115"/>
      <c r="V37" s="134"/>
      <c r="W37" s="126"/>
      <c r="X37" s="139"/>
      <c r="Y37" s="118"/>
      <c r="Z37" s="115"/>
    </row>
    <row r="38" spans="1:26" ht="15" x14ac:dyDescent="0.25">
      <c r="A38" s="95"/>
      <c r="B38" s="72" t="s">
        <v>63</v>
      </c>
      <c r="C38" s="64"/>
      <c r="D38" s="64"/>
      <c r="E38" s="64"/>
      <c r="F38" s="64"/>
      <c r="G38" s="64"/>
      <c r="H38" s="64"/>
      <c r="I38" s="65">
        <f t="shared" ref="I38:J38" si="33">I40</f>
        <v>3947644.56</v>
      </c>
      <c r="J38" s="65">
        <f t="shared" si="33"/>
        <v>2710844.9866666668</v>
      </c>
      <c r="K38" s="65">
        <f>K40</f>
        <v>1409639.22</v>
      </c>
      <c r="L38" s="65">
        <f>L40</f>
        <v>4120484.206666667</v>
      </c>
      <c r="M38" s="65">
        <f t="shared" ref="M38:N38" si="34">M40</f>
        <v>1016057.7650000001</v>
      </c>
      <c r="N38" s="65">
        <f t="shared" si="34"/>
        <v>1694490.1833333333</v>
      </c>
      <c r="O38" s="65">
        <f>O40</f>
        <v>1409815.66</v>
      </c>
      <c r="P38" s="65">
        <f>P40</f>
        <v>4120363.6083333334</v>
      </c>
      <c r="Q38" s="66">
        <f t="shared" ref="Q38" si="35">Q40</f>
        <v>2819631.32</v>
      </c>
      <c r="R38" s="66">
        <f>R40</f>
        <v>1466208.3133333332</v>
      </c>
      <c r="S38" s="109">
        <f>S40</f>
        <v>4285839.6333333328</v>
      </c>
      <c r="T38" s="118">
        <f t="shared" si="7"/>
        <v>165476.02499999944</v>
      </c>
      <c r="U38" s="115">
        <f t="shared" si="8"/>
        <v>4.0160539391554728E-2</v>
      </c>
      <c r="V38" s="133">
        <f t="shared" ref="V38" si="36">V40</f>
        <v>2932416.6266666665</v>
      </c>
      <c r="W38" s="125">
        <f>W40</f>
        <v>1524856.6466666667</v>
      </c>
      <c r="X38" s="138">
        <f>X40</f>
        <v>4457273.2733333334</v>
      </c>
      <c r="Y38" s="118">
        <f t="shared" si="10"/>
        <v>171433.6400000006</v>
      </c>
      <c r="Z38" s="115">
        <f t="shared" si="11"/>
        <v>4.0000012755182723E-2</v>
      </c>
    </row>
    <row r="39" spans="1:26" ht="14.25" x14ac:dyDescent="0.2">
      <c r="A39" s="95"/>
      <c r="B39" s="74"/>
      <c r="C39" s="64"/>
      <c r="D39" s="64"/>
      <c r="E39" s="64"/>
      <c r="F39" s="64"/>
      <c r="G39" s="64"/>
      <c r="H39" s="64"/>
      <c r="I39" s="69"/>
      <c r="J39" s="69"/>
      <c r="K39" s="69"/>
      <c r="L39" s="69"/>
      <c r="M39" s="69"/>
      <c r="N39" s="69"/>
      <c r="O39" s="69"/>
      <c r="P39" s="69"/>
      <c r="Q39" s="70"/>
      <c r="R39" s="70"/>
      <c r="S39" s="110"/>
      <c r="T39" s="118"/>
      <c r="U39" s="115"/>
      <c r="V39" s="134"/>
      <c r="W39" s="126"/>
      <c r="X39" s="139"/>
      <c r="Y39" s="118"/>
      <c r="Z39" s="115"/>
    </row>
    <row r="40" spans="1:26" ht="14.25" x14ac:dyDescent="0.2">
      <c r="A40" s="95"/>
      <c r="B40" s="74" t="s">
        <v>64</v>
      </c>
      <c r="C40" s="64"/>
      <c r="D40" s="64"/>
      <c r="E40" s="64"/>
      <c r="F40" s="64"/>
      <c r="G40" s="64"/>
      <c r="H40" s="64"/>
      <c r="I40" s="69">
        <f t="shared" ref="I40" si="37">I18*2</f>
        <v>3947644.56</v>
      </c>
      <c r="J40" s="69">
        <f>(J18*2)/12*8</f>
        <v>2710844.9866666668</v>
      </c>
      <c r="K40" s="69">
        <f>(K18*2)/12*4</f>
        <v>1409639.22</v>
      </c>
      <c r="L40" s="69">
        <f>J40+K40</f>
        <v>4120484.206666667</v>
      </c>
      <c r="M40" s="69">
        <f>(M18*2)/12*3</f>
        <v>1016057.7650000001</v>
      </c>
      <c r="N40" s="69">
        <f>(N18*2)/12*5</f>
        <v>1694490.1833333333</v>
      </c>
      <c r="O40" s="69">
        <f>(O18*2)/12*4</f>
        <v>1409815.66</v>
      </c>
      <c r="P40" s="69">
        <f>N40+O40+M40</f>
        <v>4120363.6083333334</v>
      </c>
      <c r="Q40" s="70">
        <f>(Q18*2)/12*8</f>
        <v>2819631.32</v>
      </c>
      <c r="R40" s="70">
        <f>(R18*2)/12*4</f>
        <v>1466208.3133333332</v>
      </c>
      <c r="S40" s="110">
        <f>Q40+R40</f>
        <v>4285839.6333333328</v>
      </c>
      <c r="T40" s="118">
        <f t="shared" si="7"/>
        <v>165476.02499999944</v>
      </c>
      <c r="U40" s="115">
        <f t="shared" si="8"/>
        <v>4.0160539391554728E-2</v>
      </c>
      <c r="V40" s="134">
        <f>(V18*2)/12*8</f>
        <v>2932416.6266666665</v>
      </c>
      <c r="W40" s="126">
        <f>(W18*2)/12*4</f>
        <v>1524856.6466666667</v>
      </c>
      <c r="X40" s="139">
        <f>V40+W40</f>
        <v>4457273.2733333334</v>
      </c>
      <c r="Y40" s="118">
        <f t="shared" si="10"/>
        <v>171433.6400000006</v>
      </c>
      <c r="Z40" s="115">
        <f t="shared" si="11"/>
        <v>4.0000012755182723E-2</v>
      </c>
    </row>
    <row r="41" spans="1:26" ht="14.25" x14ac:dyDescent="0.2">
      <c r="A41" s="95"/>
      <c r="B41" s="74"/>
      <c r="C41" s="64"/>
      <c r="D41" s="64"/>
      <c r="E41" s="64"/>
      <c r="F41" s="64"/>
      <c r="G41" s="64"/>
      <c r="H41" s="64"/>
      <c r="I41" s="69"/>
      <c r="J41" s="69"/>
      <c r="K41" s="69"/>
      <c r="L41" s="69"/>
      <c r="M41" s="69"/>
      <c r="N41" s="69"/>
      <c r="O41" s="69"/>
      <c r="P41" s="69"/>
      <c r="Q41" s="70"/>
      <c r="R41" s="70"/>
      <c r="S41" s="110"/>
      <c r="T41" s="118"/>
      <c r="U41" s="115"/>
      <c r="V41" s="134"/>
      <c r="W41" s="126"/>
      <c r="X41" s="139"/>
      <c r="Y41" s="118"/>
      <c r="Z41" s="115"/>
    </row>
    <row r="42" spans="1:26" ht="15" x14ac:dyDescent="0.25">
      <c r="A42" s="95"/>
      <c r="B42" s="72" t="s">
        <v>65</v>
      </c>
      <c r="C42" s="64"/>
      <c r="D42" s="64"/>
      <c r="E42" s="64"/>
      <c r="F42" s="64"/>
      <c r="G42" s="64"/>
      <c r="H42" s="64"/>
      <c r="I42" s="65">
        <f t="shared" ref="I42:J42" si="38">I45</f>
        <v>5921466.8399999999</v>
      </c>
      <c r="J42" s="65">
        <f t="shared" si="38"/>
        <v>4066267.48</v>
      </c>
      <c r="K42" s="65">
        <f>K45</f>
        <v>2114458.83</v>
      </c>
      <c r="L42" s="65">
        <f>L45</f>
        <v>6180726.3100000005</v>
      </c>
      <c r="M42" s="65">
        <f t="shared" ref="M42" si="39">M45</f>
        <v>1524086.6475</v>
      </c>
      <c r="N42" s="65">
        <f>N45</f>
        <v>2541735.2749999999</v>
      </c>
      <c r="O42" s="65">
        <f>O45</f>
        <v>2114723.4899999998</v>
      </c>
      <c r="P42" s="65">
        <f>P45</f>
        <v>6180545.4124999996</v>
      </c>
      <c r="Q42" s="66">
        <f t="shared" ref="Q42" si="40">Q45</f>
        <v>4229446.9799999995</v>
      </c>
      <c r="R42" s="66">
        <f>R45</f>
        <v>2199312.4699999997</v>
      </c>
      <c r="S42" s="109">
        <f>S45</f>
        <v>6428759.4499999993</v>
      </c>
      <c r="T42" s="118">
        <f t="shared" si="7"/>
        <v>248214.03749999963</v>
      </c>
      <c r="U42" s="115">
        <f t="shared" si="8"/>
        <v>4.0160539391554728E-2</v>
      </c>
      <c r="V42" s="133">
        <f t="shared" ref="V42" si="41">V45</f>
        <v>4398624.9399999995</v>
      </c>
      <c r="W42" s="125">
        <f>W45</f>
        <v>2287284.9700000002</v>
      </c>
      <c r="X42" s="138">
        <f>X45</f>
        <v>6685909.9100000001</v>
      </c>
      <c r="Y42" s="118">
        <f t="shared" si="10"/>
        <v>257150.46000000089</v>
      </c>
      <c r="Z42" s="115">
        <f t="shared" si="11"/>
        <v>4.0000012755182723E-2</v>
      </c>
    </row>
    <row r="43" spans="1:26" ht="15" x14ac:dyDescent="0.25">
      <c r="A43" s="95"/>
      <c r="B43" s="79" t="s">
        <v>66</v>
      </c>
      <c r="C43" s="64"/>
      <c r="D43" s="64"/>
      <c r="E43" s="64"/>
      <c r="F43" s="64"/>
      <c r="G43" s="64"/>
      <c r="H43" s="64"/>
      <c r="I43" s="69"/>
      <c r="J43" s="69"/>
      <c r="K43" s="69"/>
      <c r="L43" s="69"/>
      <c r="M43" s="69"/>
      <c r="N43" s="69"/>
      <c r="O43" s="69"/>
      <c r="P43" s="69"/>
      <c r="Q43" s="70"/>
      <c r="R43" s="70"/>
      <c r="S43" s="110"/>
      <c r="T43" s="118"/>
      <c r="U43" s="115"/>
      <c r="V43" s="134"/>
      <c r="W43" s="126"/>
      <c r="X43" s="139"/>
      <c r="Y43" s="118"/>
      <c r="Z43" s="115"/>
    </row>
    <row r="44" spans="1:26" ht="14.25" x14ac:dyDescent="0.2">
      <c r="A44" s="95"/>
      <c r="B44" s="74"/>
      <c r="C44" s="64"/>
      <c r="D44" s="64"/>
      <c r="E44" s="64"/>
      <c r="F44" s="64"/>
      <c r="G44" s="64"/>
      <c r="H44" s="64"/>
      <c r="I44" s="69"/>
      <c r="J44" s="69"/>
      <c r="K44" s="69"/>
      <c r="L44" s="69"/>
      <c r="M44" s="69"/>
      <c r="N44" s="69"/>
      <c r="O44" s="69"/>
      <c r="P44" s="69"/>
      <c r="Q44" s="70"/>
      <c r="R44" s="70"/>
      <c r="S44" s="110"/>
      <c r="T44" s="118"/>
      <c r="U44" s="115"/>
      <c r="V44" s="134"/>
      <c r="W44" s="126"/>
      <c r="X44" s="139"/>
      <c r="Y44" s="118"/>
      <c r="Z44" s="115"/>
    </row>
    <row r="45" spans="1:26" ht="14.25" x14ac:dyDescent="0.2">
      <c r="A45" s="95"/>
      <c r="B45" s="74" t="s">
        <v>59</v>
      </c>
      <c r="C45" s="64"/>
      <c r="D45" s="64"/>
      <c r="E45" s="64"/>
      <c r="F45" s="64"/>
      <c r="G45" s="64"/>
      <c r="H45" s="64"/>
      <c r="I45" s="69">
        <f t="shared" ref="I45" si="42">I18*3</f>
        <v>5921466.8399999999</v>
      </c>
      <c r="J45" s="69">
        <f>(J18*3)/12*8</f>
        <v>4066267.48</v>
      </c>
      <c r="K45" s="69">
        <f>(K18*3)/12*4</f>
        <v>2114458.83</v>
      </c>
      <c r="L45" s="69">
        <f>K45+J45</f>
        <v>6180726.3100000005</v>
      </c>
      <c r="M45" s="69">
        <f>(M18*3)/12*3</f>
        <v>1524086.6475</v>
      </c>
      <c r="N45" s="69">
        <f>(N18*3)/12*5</f>
        <v>2541735.2749999999</v>
      </c>
      <c r="O45" s="69">
        <f>(O18*3)/12*4</f>
        <v>2114723.4899999998</v>
      </c>
      <c r="P45" s="69">
        <f>O45+N45+M45</f>
        <v>6180545.4124999996</v>
      </c>
      <c r="Q45" s="70">
        <f>(Q18*3)/12*8</f>
        <v>4229446.9799999995</v>
      </c>
      <c r="R45" s="70">
        <f>(R18*3)/12*4</f>
        <v>2199312.4699999997</v>
      </c>
      <c r="S45" s="110">
        <f>R45+Q45</f>
        <v>6428759.4499999993</v>
      </c>
      <c r="T45" s="118">
        <f t="shared" si="7"/>
        <v>248214.03749999963</v>
      </c>
      <c r="U45" s="115">
        <f t="shared" si="8"/>
        <v>4.0160539391554728E-2</v>
      </c>
      <c r="V45" s="134">
        <f>(V18*3)/12*8</f>
        <v>4398624.9399999995</v>
      </c>
      <c r="W45" s="126">
        <f>(W18*3)/12*4</f>
        <v>2287284.9700000002</v>
      </c>
      <c r="X45" s="139">
        <f>W45+V45</f>
        <v>6685909.9100000001</v>
      </c>
      <c r="Y45" s="118">
        <f t="shared" si="10"/>
        <v>257150.46000000089</v>
      </c>
      <c r="Z45" s="115">
        <f t="shared" si="11"/>
        <v>4.0000012755182723E-2</v>
      </c>
    </row>
    <row r="46" spans="1:26" ht="13.5" thickBot="1" x14ac:dyDescent="0.25">
      <c r="A46" s="101"/>
      <c r="B46" s="102"/>
      <c r="C46" s="103"/>
      <c r="D46" s="103"/>
      <c r="E46" s="103"/>
      <c r="F46" s="103"/>
      <c r="G46" s="103"/>
      <c r="H46" s="103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14"/>
      <c r="T46" s="119"/>
      <c r="U46" s="116"/>
      <c r="V46" s="136"/>
      <c r="W46" s="128"/>
      <c r="X46" s="129"/>
      <c r="Y46" s="119"/>
      <c r="Z46" s="116"/>
    </row>
    <row r="47" spans="1:26" outlineLevel="1" x14ac:dyDescent="0.2">
      <c r="A47" s="105" t="s">
        <v>67</v>
      </c>
      <c r="B47" s="291" t="s">
        <v>68</v>
      </c>
      <c r="C47" s="291"/>
      <c r="D47" s="291"/>
      <c r="E47" s="291"/>
      <c r="F47" s="291"/>
      <c r="G47" s="291"/>
      <c r="H47" s="291"/>
      <c r="I47" s="86">
        <f t="shared" ref="I47:P47" si="43">I12*30.2%</f>
        <v>29527963.627999999</v>
      </c>
      <c r="J47" s="86">
        <f t="shared" si="43"/>
        <v>20282377.782666665</v>
      </c>
      <c r="K47" s="86">
        <f t="shared" si="43"/>
        <v>10546835.140333332</v>
      </c>
      <c r="L47" s="86">
        <f t="shared" si="43"/>
        <v>30829212.923</v>
      </c>
      <c r="M47" s="86">
        <f t="shared" si="43"/>
        <v>7602047.9257500013</v>
      </c>
      <c r="N47" s="86">
        <f t="shared" si="43"/>
        <v>12678087.217499999</v>
      </c>
      <c r="O47" s="86">
        <f t="shared" si="43"/>
        <v>10548167.262333332</v>
      </c>
      <c r="P47" s="86">
        <f t="shared" si="43"/>
        <v>30828302.405583329</v>
      </c>
      <c r="Q47" s="86"/>
      <c r="R47" s="86"/>
      <c r="S47" s="86">
        <f>S12*30.2%</f>
        <v>32066428.664733324</v>
      </c>
      <c r="T47" s="86"/>
      <c r="U47" s="106">
        <f>P47/L47-1</f>
        <v>-2.953424140095251E-5</v>
      </c>
      <c r="W47" s="61"/>
      <c r="X47" s="86">
        <f>X12*30.2%</f>
        <v>33349086.185400002</v>
      </c>
    </row>
    <row r="48" spans="1:26" ht="14.25" outlineLevel="1" x14ac:dyDescent="0.2">
      <c r="A48" s="85" t="s">
        <v>69</v>
      </c>
      <c r="B48" s="263" t="s">
        <v>70</v>
      </c>
      <c r="C48" s="263"/>
      <c r="D48" s="263"/>
      <c r="E48" s="263"/>
      <c r="F48" s="263"/>
      <c r="G48" s="263"/>
      <c r="H48" s="263"/>
      <c r="I48" s="58">
        <f t="shared" ref="I48:P48" si="44">I47+I12</f>
        <v>127302677.62799999</v>
      </c>
      <c r="J48" s="58">
        <f t="shared" si="44"/>
        <v>87442569.115999997</v>
      </c>
      <c r="K48" s="58">
        <f t="shared" si="44"/>
        <v>45470130.306999996</v>
      </c>
      <c r="L48" s="58">
        <f t="shared" si="44"/>
        <v>132912699.42300001</v>
      </c>
      <c r="M48" s="58">
        <f t="shared" si="44"/>
        <v>32774392.050750006</v>
      </c>
      <c r="N48" s="58">
        <f t="shared" si="44"/>
        <v>54658508.467500001</v>
      </c>
      <c r="O48" s="58">
        <f t="shared" si="44"/>
        <v>45475873.428999998</v>
      </c>
      <c r="P48" s="58">
        <f t="shared" si="44"/>
        <v>132908773.94724998</v>
      </c>
      <c r="Q48" s="58"/>
      <c r="R48" s="58"/>
      <c r="S48" s="58">
        <f>S47+S12</f>
        <v>138246656.03139997</v>
      </c>
      <c r="T48" s="58"/>
      <c r="U48" s="107">
        <f>P48/L48-1</f>
        <v>-2.9534241401063532E-5</v>
      </c>
      <c r="W48" s="61"/>
      <c r="X48" s="58">
        <f t="shared" ref="X48" si="45">X47+X12</f>
        <v>143776523.8854</v>
      </c>
    </row>
    <row r="49" spans="1:23" x14ac:dyDescent="0.2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W49" s="61"/>
    </row>
    <row r="50" spans="1:23" x14ac:dyDescent="0.2">
      <c r="W50" s="61"/>
    </row>
    <row r="51" spans="1:23" x14ac:dyDescent="0.2"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</row>
    <row r="53" spans="1:23" x14ac:dyDescent="0.2"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</row>
    <row r="54" spans="1:23" x14ac:dyDescent="0.2">
      <c r="G54" s="91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</row>
    <row r="55" spans="1:23" x14ac:dyDescent="0.2">
      <c r="G55" s="91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</row>
    <row r="56" spans="1:23" x14ac:dyDescent="0.2">
      <c r="G56" s="91"/>
      <c r="H56" s="92"/>
    </row>
    <row r="57" spans="1:23" x14ac:dyDescent="0.2">
      <c r="G57" s="91"/>
    </row>
    <row r="58" spans="1:23" x14ac:dyDescent="0.2"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</row>
  </sheetData>
  <mergeCells count="23">
    <mergeCell ref="V6:V10"/>
    <mergeCell ref="W6:W10"/>
    <mergeCell ref="X6:X10"/>
    <mergeCell ref="Y6:Y10"/>
    <mergeCell ref="Z6:Z10"/>
    <mergeCell ref="B11:H11"/>
    <mergeCell ref="B47:H47"/>
    <mergeCell ref="B48:H48"/>
    <mergeCell ref="Q6:Q10"/>
    <mergeCell ref="R6:R10"/>
    <mergeCell ref="A3:U3"/>
    <mergeCell ref="B6:H10"/>
    <mergeCell ref="I6:I10"/>
    <mergeCell ref="J6:J10"/>
    <mergeCell ref="K6:K10"/>
    <mergeCell ref="L6:L10"/>
    <mergeCell ref="M6:M10"/>
    <mergeCell ref="N6:N10"/>
    <mergeCell ref="O6:O10"/>
    <mergeCell ref="P6:P10"/>
    <mergeCell ref="T6:T10"/>
    <mergeCell ref="U6:U10"/>
    <mergeCell ref="S6:S10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149"/>
  <sheetViews>
    <sheetView tabSelected="1" topLeftCell="A109" workbookViewId="0">
      <selection activeCell="L136" sqref="L136:N136"/>
    </sheetView>
  </sheetViews>
  <sheetFormatPr defaultColWidth="9.140625" defaultRowHeight="12.75" outlineLevelRow="1" x14ac:dyDescent="0.2"/>
  <cols>
    <col min="1" max="1" width="52.85546875" style="42" customWidth="1"/>
    <col min="2" max="2" width="13.85546875" style="42" customWidth="1"/>
    <col min="3" max="3" width="13.28515625" style="42" hidden="1" customWidth="1"/>
    <col min="4" max="4" width="16.85546875" style="42" hidden="1" customWidth="1"/>
    <col min="5" max="5" width="0" style="42" hidden="1" customWidth="1"/>
    <col min="6" max="6" width="12.85546875" style="42" hidden="1" customWidth="1"/>
    <col min="7" max="7" width="15.140625" style="42" customWidth="1"/>
    <col min="8" max="9" width="15.140625" style="42" hidden="1" customWidth="1"/>
    <col min="10" max="10" width="20" style="42" customWidth="1"/>
    <col min="11" max="11" width="9.140625" style="42"/>
    <col min="12" max="12" width="16" style="42" customWidth="1"/>
    <col min="13" max="13" width="14.5703125" style="42" customWidth="1"/>
    <col min="14" max="14" width="10.85546875" style="42" bestFit="1" customWidth="1"/>
    <col min="15" max="16384" width="9.140625" style="42"/>
  </cols>
  <sheetData>
    <row r="1" spans="1:13" ht="15" x14ac:dyDescent="0.25">
      <c r="A1" s="142"/>
      <c r="B1" s="142"/>
      <c r="C1" s="143"/>
      <c r="D1" s="144" t="s">
        <v>96</v>
      </c>
      <c r="E1" s="145"/>
      <c r="F1" s="145"/>
      <c r="G1" s="143"/>
      <c r="H1" s="143"/>
      <c r="I1" s="143"/>
      <c r="J1" s="144" t="s">
        <v>97</v>
      </c>
      <c r="K1" s="145"/>
    </row>
    <row r="2" spans="1:13" ht="15" x14ac:dyDescent="0.25">
      <c r="A2" s="142"/>
      <c r="B2" s="142"/>
      <c r="C2" s="143"/>
      <c r="D2" s="144"/>
      <c r="E2" s="145"/>
      <c r="F2" s="145"/>
      <c r="G2" s="143" t="s">
        <v>98</v>
      </c>
      <c r="H2" s="143"/>
      <c r="I2" s="143"/>
      <c r="J2" s="144"/>
      <c r="K2" s="145"/>
    </row>
    <row r="3" spans="1:13" ht="15" x14ac:dyDescent="0.25">
      <c r="A3" s="142"/>
      <c r="B3" s="142"/>
      <c r="C3" s="143"/>
      <c r="D3" s="144" t="s">
        <v>99</v>
      </c>
      <c r="E3" s="145"/>
      <c r="F3" s="145"/>
      <c r="G3" s="143"/>
      <c r="H3" s="143"/>
      <c r="I3" s="143"/>
      <c r="J3" s="144" t="s">
        <v>99</v>
      </c>
      <c r="K3" s="145"/>
    </row>
    <row r="4" spans="1:13" ht="15" x14ac:dyDescent="0.25">
      <c r="A4" s="142"/>
      <c r="B4" s="142"/>
      <c r="C4" s="143"/>
      <c r="D4" s="146" t="s">
        <v>100</v>
      </c>
      <c r="E4" s="145"/>
      <c r="F4" s="145"/>
      <c r="G4" s="143"/>
      <c r="H4" s="143"/>
      <c r="I4" s="143"/>
      <c r="J4" s="146" t="s">
        <v>100</v>
      </c>
      <c r="K4" s="145"/>
    </row>
    <row r="5" spans="1:13" ht="15" x14ac:dyDescent="0.25">
      <c r="A5" s="142"/>
      <c r="B5" s="142"/>
      <c r="C5" s="143"/>
      <c r="D5" s="146" t="s">
        <v>101</v>
      </c>
      <c r="E5" s="145"/>
      <c r="F5" s="145"/>
      <c r="G5" s="143"/>
      <c r="H5" s="143"/>
      <c r="I5" s="143"/>
      <c r="J5" s="146" t="s">
        <v>102</v>
      </c>
      <c r="K5" s="145"/>
    </row>
    <row r="6" spans="1:13" ht="15" hidden="1" outlineLevel="1" x14ac:dyDescent="0.25">
      <c r="A6" s="142"/>
      <c r="B6" s="142"/>
      <c r="C6" s="143"/>
      <c r="D6" s="147" t="s">
        <v>103</v>
      </c>
      <c r="E6" s="145"/>
      <c r="F6" s="145"/>
      <c r="G6" s="143"/>
      <c r="H6" s="143"/>
      <c r="I6" s="143"/>
      <c r="J6" s="147" t="s">
        <v>104</v>
      </c>
      <c r="K6" s="145"/>
    </row>
    <row r="7" spans="1:13" ht="15" collapsed="1" x14ac:dyDescent="0.25">
      <c r="A7" s="142"/>
      <c r="B7" s="142"/>
      <c r="C7" s="143"/>
      <c r="D7" s="148"/>
      <c r="E7" s="145"/>
      <c r="F7" s="145"/>
      <c r="G7" s="143"/>
      <c r="H7" s="143"/>
      <c r="I7" s="143"/>
      <c r="J7" s="148"/>
      <c r="K7" s="145"/>
    </row>
    <row r="8" spans="1:13" ht="15" x14ac:dyDescent="0.25">
      <c r="A8" s="304" t="s">
        <v>105</v>
      </c>
      <c r="B8" s="304"/>
      <c r="C8" s="304"/>
      <c r="D8" s="304"/>
      <c r="E8" s="304"/>
      <c r="F8" s="304"/>
      <c r="G8" s="304"/>
      <c r="H8" s="304"/>
      <c r="I8" s="304"/>
      <c r="J8" s="304"/>
      <c r="K8" s="145"/>
    </row>
    <row r="9" spans="1:13" ht="15" customHeight="1" x14ac:dyDescent="0.25">
      <c r="A9" s="304" t="s">
        <v>106</v>
      </c>
      <c r="B9" s="304"/>
      <c r="C9" s="304"/>
      <c r="D9" s="304"/>
      <c r="E9" s="304"/>
      <c r="F9" s="304"/>
      <c r="G9" s="304"/>
      <c r="H9" s="304"/>
      <c r="I9" s="304"/>
      <c r="J9" s="304"/>
      <c r="K9" s="145"/>
    </row>
    <row r="10" spans="1:13" ht="15" customHeight="1" x14ac:dyDescent="0.25">
      <c r="A10" s="304" t="s">
        <v>107</v>
      </c>
      <c r="B10" s="304"/>
      <c r="C10" s="304"/>
      <c r="D10" s="304"/>
      <c r="E10" s="304"/>
      <c r="F10" s="304"/>
      <c r="G10" s="304"/>
      <c r="H10" s="304"/>
      <c r="I10" s="304"/>
      <c r="J10" s="304"/>
      <c r="K10" s="145"/>
    </row>
    <row r="11" spans="1:13" ht="15" customHeight="1" x14ac:dyDescent="0.25">
      <c r="A11" s="149"/>
      <c r="B11" s="149"/>
      <c r="C11" s="149"/>
      <c r="D11" s="149"/>
      <c r="E11" s="145"/>
      <c r="F11" s="145"/>
      <c r="G11" s="149"/>
      <c r="H11" s="149"/>
      <c r="I11" s="149"/>
      <c r="J11" s="149"/>
      <c r="K11" s="145"/>
    </row>
    <row r="12" spans="1:13" ht="15" hidden="1" customHeight="1" x14ac:dyDescent="0.25">
      <c r="A12" s="149"/>
      <c r="B12" s="149"/>
      <c r="C12" s="149"/>
      <c r="D12" s="150"/>
      <c r="E12" s="145"/>
      <c r="F12" s="145"/>
      <c r="G12" s="149"/>
      <c r="H12" s="149"/>
      <c r="I12" s="149"/>
      <c r="J12" s="150"/>
      <c r="K12" s="145"/>
    </row>
    <row r="13" spans="1:13" ht="8.25" customHeight="1" thickBot="1" x14ac:dyDescent="0.3">
      <c r="A13" s="142"/>
      <c r="B13" s="142"/>
      <c r="C13" s="143"/>
      <c r="D13" s="144"/>
      <c r="E13" s="145"/>
      <c r="F13" s="145"/>
      <c r="G13" s="143"/>
      <c r="H13" s="143"/>
      <c r="I13" s="143"/>
      <c r="J13" s="144"/>
      <c r="K13" s="145"/>
    </row>
    <row r="14" spans="1:13" ht="126" customHeight="1" thickBot="1" x14ac:dyDescent="0.25">
      <c r="A14" s="151" t="s">
        <v>1</v>
      </c>
      <c r="B14" s="152" t="s">
        <v>108</v>
      </c>
      <c r="C14" s="153" t="s">
        <v>109</v>
      </c>
      <c r="D14" s="154" t="s">
        <v>110</v>
      </c>
      <c r="E14" s="155"/>
      <c r="F14" s="155"/>
      <c r="G14" s="153" t="s">
        <v>109</v>
      </c>
      <c r="H14" s="156"/>
      <c r="I14" s="156"/>
      <c r="J14" s="154" t="s">
        <v>110</v>
      </c>
      <c r="K14" s="145"/>
    </row>
    <row r="15" spans="1:13" ht="12" hidden="1" customHeight="1" x14ac:dyDescent="0.2">
      <c r="A15" s="157"/>
      <c r="B15" s="158"/>
      <c r="C15" s="159"/>
      <c r="D15" s="160"/>
      <c r="E15" s="161"/>
      <c r="F15" s="161"/>
      <c r="G15" s="159"/>
      <c r="H15" s="162"/>
      <c r="I15" s="162"/>
      <c r="J15" s="160"/>
      <c r="K15" s="145"/>
    </row>
    <row r="16" spans="1:13" ht="15" x14ac:dyDescent="0.25">
      <c r="A16" s="163" t="s">
        <v>111</v>
      </c>
      <c r="B16" s="164">
        <v>1</v>
      </c>
      <c r="C16" s="165">
        <v>29371.75</v>
      </c>
      <c r="D16" s="166">
        <f>B16*C16</f>
        <v>29371.75</v>
      </c>
      <c r="E16" s="167">
        <v>1.04</v>
      </c>
      <c r="F16" s="167">
        <f>ROUND(C16*E16,2)</f>
        <v>30546.62</v>
      </c>
      <c r="G16" s="165">
        <v>31768.48</v>
      </c>
      <c r="H16" s="168">
        <f>ROUND(G16*1.04,2)</f>
        <v>33039.22</v>
      </c>
      <c r="I16" s="168">
        <v>31768.48</v>
      </c>
      <c r="J16" s="166">
        <f>G16*B16</f>
        <v>31768.48</v>
      </c>
      <c r="K16" s="169"/>
      <c r="L16" s="92"/>
      <c r="M16" s="92"/>
    </row>
    <row r="17" spans="1:13" ht="15" hidden="1" x14ac:dyDescent="0.25">
      <c r="A17" s="170" t="s">
        <v>112</v>
      </c>
      <c r="B17" s="171">
        <v>0</v>
      </c>
      <c r="C17" s="172">
        <v>28147.93</v>
      </c>
      <c r="D17" s="173">
        <f>B17*C17</f>
        <v>0</v>
      </c>
      <c r="E17" s="167">
        <v>1.04</v>
      </c>
      <c r="F17" s="167">
        <f t="shared" ref="F17:F81" si="0">ROUND(C17*E17,2)</f>
        <v>29273.85</v>
      </c>
      <c r="G17" s="172">
        <v>0</v>
      </c>
      <c r="H17" s="168">
        <f t="shared" ref="H17:H18" si="1">ROUND(G17*1.04,2)</f>
        <v>0</v>
      </c>
      <c r="I17" s="174">
        <v>0</v>
      </c>
      <c r="J17" s="166">
        <f t="shared" ref="J17:J18" si="2">G17*B17</f>
        <v>0</v>
      </c>
      <c r="K17" s="169"/>
      <c r="L17" s="92"/>
      <c r="M17" s="92"/>
    </row>
    <row r="18" spans="1:13" ht="15.75" thickBot="1" x14ac:dyDescent="0.3">
      <c r="A18" s="175" t="s">
        <v>11</v>
      </c>
      <c r="B18" s="176">
        <v>1</v>
      </c>
      <c r="C18" s="177">
        <f>C23</f>
        <v>15909.71</v>
      </c>
      <c r="D18" s="173">
        <f>B18*C18</f>
        <v>15909.71</v>
      </c>
      <c r="E18" s="167">
        <v>1.04</v>
      </c>
      <c r="F18" s="167">
        <f>ROUND(C18*E18,2)</f>
        <v>16546.099999999999</v>
      </c>
      <c r="G18" s="177">
        <v>17207.939999999999</v>
      </c>
      <c r="H18" s="168">
        <f t="shared" si="1"/>
        <v>17896.259999999998</v>
      </c>
      <c r="I18" s="178">
        <v>17207.939999999999</v>
      </c>
      <c r="J18" s="166">
        <f t="shared" si="2"/>
        <v>17207.939999999999</v>
      </c>
      <c r="K18" s="169"/>
      <c r="L18" s="92"/>
      <c r="M18" s="92"/>
    </row>
    <row r="19" spans="1:13" ht="15" thickBot="1" x14ac:dyDescent="0.25">
      <c r="A19" s="179" t="s">
        <v>113</v>
      </c>
      <c r="B19" s="180">
        <f>SUM(B16:B18)</f>
        <v>2</v>
      </c>
      <c r="C19" s="181"/>
      <c r="D19" s="182">
        <f>SUM(D16:D18)</f>
        <v>45281.46</v>
      </c>
      <c r="E19" s="167">
        <v>1.04</v>
      </c>
      <c r="F19" s="167">
        <f t="shared" si="0"/>
        <v>0</v>
      </c>
      <c r="G19" s="181">
        <v>0</v>
      </c>
      <c r="H19" s="183"/>
      <c r="I19" s="183"/>
      <c r="J19" s="184">
        <f>SUM(J16:J18)</f>
        <v>48976.42</v>
      </c>
      <c r="K19" s="169"/>
      <c r="L19" s="92"/>
      <c r="M19" s="92"/>
    </row>
    <row r="20" spans="1:13" ht="18" customHeight="1" x14ac:dyDescent="0.2">
      <c r="A20" s="305" t="s">
        <v>114</v>
      </c>
      <c r="B20" s="306"/>
      <c r="C20" s="306"/>
      <c r="D20" s="306"/>
      <c r="E20" s="306"/>
      <c r="F20" s="306"/>
      <c r="G20" s="306"/>
      <c r="H20" s="306"/>
      <c r="I20" s="306"/>
      <c r="J20" s="307"/>
      <c r="K20" s="169"/>
      <c r="L20" s="92"/>
      <c r="M20" s="92"/>
    </row>
    <row r="21" spans="1:13" ht="15" x14ac:dyDescent="0.25">
      <c r="A21" s="185" t="s">
        <v>115</v>
      </c>
      <c r="B21" s="171">
        <v>1</v>
      </c>
      <c r="C21" s="172">
        <v>20804.97</v>
      </c>
      <c r="D21" s="173">
        <f>B21*C21</f>
        <v>20804.97</v>
      </c>
      <c r="E21" s="167">
        <v>1.04</v>
      </c>
      <c r="F21" s="167">
        <f t="shared" si="0"/>
        <v>21637.17</v>
      </c>
      <c r="G21" s="172">
        <v>22502.66</v>
      </c>
      <c r="H21" s="168">
        <f>ROUND(G21*1.04,2)</f>
        <v>23402.77</v>
      </c>
      <c r="I21" s="178">
        <f>H21</f>
        <v>23402.77</v>
      </c>
      <c r="J21" s="186">
        <f>G21*B21</f>
        <v>22502.66</v>
      </c>
      <c r="K21" s="169"/>
      <c r="L21" s="92"/>
      <c r="M21" s="92"/>
    </row>
    <row r="22" spans="1:13" ht="15" x14ac:dyDescent="0.25">
      <c r="A22" s="185" t="s">
        <v>15</v>
      </c>
      <c r="B22" s="171">
        <v>1</v>
      </c>
      <c r="C22" s="172">
        <v>18846.87</v>
      </c>
      <c r="D22" s="173">
        <f>B22*C22</f>
        <v>18846.87</v>
      </c>
      <c r="E22" s="167">
        <v>1.04</v>
      </c>
      <c r="F22" s="167">
        <f t="shared" si="0"/>
        <v>19600.740000000002</v>
      </c>
      <c r="G22" s="172">
        <v>20384.77</v>
      </c>
      <c r="H22" s="168">
        <f t="shared" ref="H22:H24" si="3">ROUND(G22*1.04,2)</f>
        <v>21200.16</v>
      </c>
      <c r="I22" s="178">
        <f t="shared" ref="I22:I24" si="4">H22</f>
        <v>21200.16</v>
      </c>
      <c r="J22" s="186">
        <f t="shared" ref="J22:J24" si="5">G22*B22</f>
        <v>20384.77</v>
      </c>
      <c r="K22" s="169"/>
      <c r="L22" s="92"/>
      <c r="M22" s="92"/>
    </row>
    <row r="23" spans="1:13" ht="15" x14ac:dyDescent="0.25">
      <c r="A23" s="185" t="s">
        <v>116</v>
      </c>
      <c r="B23" s="171">
        <f>2+1</f>
        <v>3</v>
      </c>
      <c r="C23" s="172">
        <v>15909.71</v>
      </c>
      <c r="D23" s="173">
        <f>B23*C23</f>
        <v>47729.13</v>
      </c>
      <c r="E23" s="167">
        <v>1.04</v>
      </c>
      <c r="F23" s="167">
        <f t="shared" si="0"/>
        <v>16546.099999999999</v>
      </c>
      <c r="G23" s="172">
        <v>17207.939999999999</v>
      </c>
      <c r="H23" s="168">
        <f t="shared" si="3"/>
        <v>17896.259999999998</v>
      </c>
      <c r="I23" s="178">
        <f t="shared" si="4"/>
        <v>17896.259999999998</v>
      </c>
      <c r="J23" s="186">
        <f t="shared" si="5"/>
        <v>51623.819999999992</v>
      </c>
      <c r="K23" s="169"/>
      <c r="L23" s="92"/>
      <c r="M23" s="92"/>
    </row>
    <row r="24" spans="1:13" ht="15.75" thickBot="1" x14ac:dyDescent="0.3">
      <c r="A24" s="187" t="s">
        <v>117</v>
      </c>
      <c r="B24" s="188">
        <v>1</v>
      </c>
      <c r="C24" s="172">
        <v>13706.85</v>
      </c>
      <c r="D24" s="189">
        <f>B24*C24</f>
        <v>13706.85</v>
      </c>
      <c r="E24" s="167">
        <v>1.04</v>
      </c>
      <c r="F24" s="167">
        <f t="shared" si="0"/>
        <v>14255.12</v>
      </c>
      <c r="G24" s="172">
        <v>14825.32</v>
      </c>
      <c r="H24" s="168">
        <f t="shared" si="3"/>
        <v>15418.33</v>
      </c>
      <c r="I24" s="178">
        <f t="shared" si="4"/>
        <v>15418.33</v>
      </c>
      <c r="J24" s="186">
        <f t="shared" si="5"/>
        <v>14825.32</v>
      </c>
      <c r="K24" s="169"/>
      <c r="L24" s="92"/>
      <c r="M24" s="92"/>
    </row>
    <row r="25" spans="1:13" ht="15" thickBot="1" x14ac:dyDescent="0.25">
      <c r="A25" s="179" t="s">
        <v>118</v>
      </c>
      <c r="B25" s="180">
        <f>SUM(B21:B24)</f>
        <v>6</v>
      </c>
      <c r="C25" s="181"/>
      <c r="D25" s="182">
        <f>SUM(D21:D24)</f>
        <v>101087.82</v>
      </c>
      <c r="E25" s="167">
        <v>1.04</v>
      </c>
      <c r="F25" s="167">
        <f t="shared" si="0"/>
        <v>0</v>
      </c>
      <c r="G25" s="181">
        <v>0</v>
      </c>
      <c r="H25" s="183"/>
      <c r="I25" s="183"/>
      <c r="J25" s="184">
        <f>SUM(J21:J24)</f>
        <v>109336.57</v>
      </c>
      <c r="K25" s="169"/>
      <c r="L25" s="92"/>
      <c r="M25" s="92"/>
    </row>
    <row r="26" spans="1:13" ht="33" customHeight="1" x14ac:dyDescent="0.2">
      <c r="A26" s="308" t="s">
        <v>119</v>
      </c>
      <c r="B26" s="309"/>
      <c r="C26" s="309"/>
      <c r="D26" s="309"/>
      <c r="E26" s="309"/>
      <c r="F26" s="309"/>
      <c r="G26" s="309"/>
      <c r="H26" s="309"/>
      <c r="I26" s="309"/>
      <c r="J26" s="310"/>
      <c r="K26" s="169"/>
      <c r="L26" s="92"/>
      <c r="M26" s="92"/>
    </row>
    <row r="27" spans="1:13" ht="15" x14ac:dyDescent="0.25">
      <c r="A27" s="170" t="s">
        <v>120</v>
      </c>
      <c r="B27" s="171">
        <v>1</v>
      </c>
      <c r="C27" s="172">
        <v>23497.41</v>
      </c>
      <c r="D27" s="173">
        <f>C27*B27</f>
        <v>23497.41</v>
      </c>
      <c r="E27" s="167">
        <v>1.04</v>
      </c>
      <c r="F27" s="167">
        <f t="shared" si="0"/>
        <v>24437.31</v>
      </c>
      <c r="G27" s="172">
        <v>29121.1</v>
      </c>
      <c r="H27" s="168">
        <f t="shared" ref="H27:H33" si="6">ROUND(G27*1.04,2)</f>
        <v>30285.94</v>
      </c>
      <c r="I27" s="178">
        <f t="shared" ref="I27:I33" si="7">H27</f>
        <v>30285.94</v>
      </c>
      <c r="J27" s="173">
        <f>G27*B27</f>
        <v>29121.1</v>
      </c>
      <c r="K27" s="169"/>
      <c r="L27" s="92"/>
      <c r="M27" s="92"/>
    </row>
    <row r="28" spans="1:13" ht="15" x14ac:dyDescent="0.25">
      <c r="A28" s="170" t="s">
        <v>16</v>
      </c>
      <c r="B28" s="171">
        <v>1</v>
      </c>
      <c r="C28" s="172">
        <v>21294.55</v>
      </c>
      <c r="D28" s="173">
        <f>C28*B28</f>
        <v>21294.55</v>
      </c>
      <c r="E28" s="167">
        <v>1.04</v>
      </c>
      <c r="F28" s="167">
        <f t="shared" si="0"/>
        <v>22146.33</v>
      </c>
      <c r="G28" s="172">
        <v>23032.18</v>
      </c>
      <c r="H28" s="168">
        <f t="shared" si="6"/>
        <v>23953.47</v>
      </c>
      <c r="I28" s="178">
        <f t="shared" si="7"/>
        <v>23953.47</v>
      </c>
      <c r="J28" s="173">
        <f>G28*B28</f>
        <v>23032.18</v>
      </c>
      <c r="K28" s="169"/>
      <c r="L28" s="92"/>
      <c r="M28" s="92"/>
    </row>
    <row r="29" spans="1:13" ht="18" customHeight="1" x14ac:dyDescent="0.2">
      <c r="A29" s="301" t="s">
        <v>121</v>
      </c>
      <c r="B29" s="302"/>
      <c r="C29" s="302"/>
      <c r="D29" s="302"/>
      <c r="E29" s="302"/>
      <c r="F29" s="302"/>
      <c r="G29" s="302"/>
      <c r="H29" s="302"/>
      <c r="I29" s="302"/>
      <c r="J29" s="303"/>
      <c r="K29" s="169"/>
      <c r="L29" s="92"/>
      <c r="M29" s="92"/>
    </row>
    <row r="30" spans="1:13" ht="15" x14ac:dyDescent="0.25">
      <c r="A30" s="170" t="s">
        <v>14</v>
      </c>
      <c r="B30" s="171">
        <v>1</v>
      </c>
      <c r="C30" s="172">
        <v>20804.97</v>
      </c>
      <c r="D30" s="173">
        <f>B30*C30</f>
        <v>20804.97</v>
      </c>
      <c r="E30" s="167">
        <v>1.04</v>
      </c>
      <c r="F30" s="167">
        <f t="shared" si="0"/>
        <v>21637.17</v>
      </c>
      <c r="G30" s="172">
        <v>22502.66</v>
      </c>
      <c r="H30" s="168">
        <f t="shared" si="6"/>
        <v>23402.77</v>
      </c>
      <c r="I30" s="178">
        <f t="shared" si="7"/>
        <v>23402.77</v>
      </c>
      <c r="J30" s="173">
        <f>G30*B30</f>
        <v>22502.66</v>
      </c>
      <c r="K30" s="169"/>
      <c r="L30" s="92"/>
      <c r="M30" s="92"/>
    </row>
    <row r="31" spans="1:13" ht="15" x14ac:dyDescent="0.25">
      <c r="A31" s="170" t="s">
        <v>17</v>
      </c>
      <c r="B31" s="171">
        <v>1</v>
      </c>
      <c r="C31" s="172">
        <v>18846.87</v>
      </c>
      <c r="D31" s="173">
        <f>B31*C31</f>
        <v>18846.87</v>
      </c>
      <c r="E31" s="167">
        <v>1.04</v>
      </c>
      <c r="F31" s="167">
        <f t="shared" si="0"/>
        <v>19600.740000000002</v>
      </c>
      <c r="G31" s="172">
        <v>20384.77</v>
      </c>
      <c r="H31" s="168">
        <f t="shared" si="6"/>
        <v>21200.16</v>
      </c>
      <c r="I31" s="178">
        <f t="shared" si="7"/>
        <v>21200.16</v>
      </c>
      <c r="J31" s="173">
        <f t="shared" ref="J31:J32" si="8">G31*B31</f>
        <v>20384.77</v>
      </c>
      <c r="K31" s="169"/>
      <c r="L31" s="92"/>
      <c r="M31" s="92"/>
    </row>
    <row r="32" spans="1:13" ht="15" x14ac:dyDescent="0.25">
      <c r="A32" s="170" t="s">
        <v>122</v>
      </c>
      <c r="B32" s="171">
        <f>8</f>
        <v>8</v>
      </c>
      <c r="C32" s="172">
        <v>15909.71</v>
      </c>
      <c r="D32" s="173">
        <f>B32*C32</f>
        <v>127277.68</v>
      </c>
      <c r="E32" s="167">
        <v>1.04</v>
      </c>
      <c r="F32" s="167">
        <f t="shared" si="0"/>
        <v>16546.099999999999</v>
      </c>
      <c r="G32" s="172">
        <v>17207.939999999999</v>
      </c>
      <c r="H32" s="168">
        <f t="shared" si="6"/>
        <v>17896.259999999998</v>
      </c>
      <c r="I32" s="178">
        <f t="shared" si="7"/>
        <v>17896.259999999998</v>
      </c>
      <c r="J32" s="173">
        <f t="shared" si="8"/>
        <v>137663.51999999999</v>
      </c>
      <c r="K32" s="169"/>
      <c r="L32" s="92"/>
      <c r="M32" s="92"/>
    </row>
    <row r="33" spans="1:13" ht="15.75" thickBot="1" x14ac:dyDescent="0.3">
      <c r="A33" s="190" t="s">
        <v>22</v>
      </c>
      <c r="B33" s="188">
        <f>1</f>
        <v>1</v>
      </c>
      <c r="C33" s="191">
        <v>15910.71</v>
      </c>
      <c r="D33" s="189">
        <f>B33*C33</f>
        <v>15910.71</v>
      </c>
      <c r="E33" s="167">
        <v>2.04</v>
      </c>
      <c r="F33" s="167">
        <f t="shared" si="0"/>
        <v>32457.85</v>
      </c>
      <c r="G33" s="191">
        <v>14825.32</v>
      </c>
      <c r="H33" s="168">
        <f t="shared" si="6"/>
        <v>15418.33</v>
      </c>
      <c r="I33" s="178">
        <f t="shared" si="7"/>
        <v>15418.33</v>
      </c>
      <c r="J33" s="173">
        <f>G33*B33</f>
        <v>14825.32</v>
      </c>
      <c r="K33" s="169"/>
      <c r="L33" s="92"/>
      <c r="M33" s="92"/>
    </row>
    <row r="34" spans="1:13" ht="15" thickBot="1" x14ac:dyDescent="0.25">
      <c r="A34" s="192" t="s">
        <v>118</v>
      </c>
      <c r="B34" s="180">
        <f>SUM(B30:B33)</f>
        <v>11</v>
      </c>
      <c r="C34" s="181"/>
      <c r="D34" s="182">
        <f>SUM(D30:D32)</f>
        <v>166929.51999999999</v>
      </c>
      <c r="E34" s="193">
        <v>1.04</v>
      </c>
      <c r="F34" s="193">
        <f t="shared" si="0"/>
        <v>0</v>
      </c>
      <c r="G34" s="181">
        <v>0</v>
      </c>
      <c r="H34" s="183"/>
      <c r="I34" s="183"/>
      <c r="J34" s="182">
        <f>SUM(J30:J33)</f>
        <v>195376.27</v>
      </c>
      <c r="K34" s="169"/>
      <c r="L34" s="92"/>
      <c r="M34" s="92"/>
    </row>
    <row r="35" spans="1:13" ht="18.75" customHeight="1" x14ac:dyDescent="0.2">
      <c r="A35" s="301" t="s">
        <v>123</v>
      </c>
      <c r="B35" s="302"/>
      <c r="C35" s="302"/>
      <c r="D35" s="302"/>
      <c r="E35" s="302"/>
      <c r="F35" s="302"/>
      <c r="G35" s="302"/>
      <c r="H35" s="302"/>
      <c r="I35" s="302"/>
      <c r="J35" s="303"/>
      <c r="K35" s="169"/>
      <c r="L35" s="92"/>
      <c r="M35" s="92"/>
    </row>
    <row r="36" spans="1:13" ht="15" x14ac:dyDescent="0.25">
      <c r="A36" s="170" t="s">
        <v>14</v>
      </c>
      <c r="B36" s="171">
        <v>1</v>
      </c>
      <c r="C36" s="172">
        <v>20804.97</v>
      </c>
      <c r="D36" s="173">
        <f>B36*C36</f>
        <v>20804.97</v>
      </c>
      <c r="E36" s="167">
        <v>1.04</v>
      </c>
      <c r="F36" s="167">
        <f t="shared" si="0"/>
        <v>21637.17</v>
      </c>
      <c r="G36" s="172">
        <v>22502.66</v>
      </c>
      <c r="H36" s="168">
        <f>ROUND(G36*1.04,2)</f>
        <v>23402.77</v>
      </c>
      <c r="I36" s="178">
        <f t="shared" ref="I36:I39" si="9">H36</f>
        <v>23402.77</v>
      </c>
      <c r="J36" s="173">
        <f>G36*B36</f>
        <v>22502.66</v>
      </c>
      <c r="K36" s="169"/>
      <c r="L36" s="92"/>
      <c r="M36" s="92"/>
    </row>
    <row r="37" spans="1:13" ht="15" x14ac:dyDescent="0.25">
      <c r="A37" s="170" t="s">
        <v>17</v>
      </c>
      <c r="B37" s="171">
        <v>1</v>
      </c>
      <c r="C37" s="172">
        <v>18846.87</v>
      </c>
      <c r="D37" s="173">
        <f>B37*C37</f>
        <v>18846.87</v>
      </c>
      <c r="E37" s="167">
        <v>1.04</v>
      </c>
      <c r="F37" s="167">
        <f t="shared" si="0"/>
        <v>19600.740000000002</v>
      </c>
      <c r="G37" s="172">
        <v>20384.77</v>
      </c>
      <c r="H37" s="168">
        <f t="shared" ref="H37:H39" si="10">ROUND(G37*1.04,2)</f>
        <v>21200.16</v>
      </c>
      <c r="I37" s="178">
        <f t="shared" si="9"/>
        <v>21200.16</v>
      </c>
      <c r="J37" s="173">
        <f t="shared" ref="J37:J38" si="11">G37*B37</f>
        <v>20384.77</v>
      </c>
      <c r="K37" s="169"/>
      <c r="L37" s="92"/>
      <c r="M37" s="92"/>
    </row>
    <row r="38" spans="1:13" ht="15" x14ac:dyDescent="0.25">
      <c r="A38" s="170" t="s">
        <v>122</v>
      </c>
      <c r="B38" s="171">
        <v>4</v>
      </c>
      <c r="C38" s="172">
        <v>15909.71</v>
      </c>
      <c r="D38" s="173">
        <f>B38*C38</f>
        <v>63638.84</v>
      </c>
      <c r="E38" s="167">
        <v>1.04</v>
      </c>
      <c r="F38" s="167">
        <f t="shared" si="0"/>
        <v>16546.099999999999</v>
      </c>
      <c r="G38" s="172">
        <v>17207.939999999999</v>
      </c>
      <c r="H38" s="168">
        <f t="shared" si="10"/>
        <v>17896.259999999998</v>
      </c>
      <c r="I38" s="178">
        <f t="shared" si="9"/>
        <v>17896.259999999998</v>
      </c>
      <c r="J38" s="173">
        <f t="shared" si="11"/>
        <v>68831.759999999995</v>
      </c>
      <c r="K38" s="169"/>
      <c r="L38" s="92"/>
      <c r="M38" s="92"/>
    </row>
    <row r="39" spans="1:13" ht="15.75" thickBot="1" x14ac:dyDescent="0.3">
      <c r="A39" s="190" t="s">
        <v>22</v>
      </c>
      <c r="B39" s="188">
        <v>1</v>
      </c>
      <c r="C39" s="191">
        <v>13706.85</v>
      </c>
      <c r="D39" s="189">
        <f>B39*C39</f>
        <v>13706.85</v>
      </c>
      <c r="E39" s="167">
        <v>1.04</v>
      </c>
      <c r="F39" s="167">
        <f t="shared" si="0"/>
        <v>14255.12</v>
      </c>
      <c r="G39" s="191">
        <v>14825.32</v>
      </c>
      <c r="H39" s="168">
        <f t="shared" si="10"/>
        <v>15418.33</v>
      </c>
      <c r="I39" s="178">
        <f t="shared" si="9"/>
        <v>15418.33</v>
      </c>
      <c r="J39" s="173">
        <f>G39*B39</f>
        <v>14825.32</v>
      </c>
      <c r="K39" s="169"/>
      <c r="L39" s="92"/>
      <c r="M39" s="92"/>
    </row>
    <row r="40" spans="1:13" ht="15.75" thickBot="1" x14ac:dyDescent="0.3">
      <c r="A40" s="192" t="s">
        <v>118</v>
      </c>
      <c r="B40" s="180">
        <f>SUM(B36:B39)</f>
        <v>7</v>
      </c>
      <c r="C40" s="194"/>
      <c r="D40" s="182">
        <f>SUM(D36:D39)</f>
        <v>116997.53</v>
      </c>
      <c r="E40" s="193">
        <v>1.04</v>
      </c>
      <c r="F40" s="193">
        <f t="shared" si="0"/>
        <v>0</v>
      </c>
      <c r="G40" s="194">
        <v>0</v>
      </c>
      <c r="H40" s="195"/>
      <c r="I40" s="195"/>
      <c r="J40" s="182">
        <f>SUM(J36:J39)</f>
        <v>126544.51000000001</v>
      </c>
      <c r="K40" s="169"/>
      <c r="L40" s="92"/>
      <c r="M40" s="92"/>
    </row>
    <row r="41" spans="1:13" ht="15" thickBot="1" x14ac:dyDescent="0.25">
      <c r="A41" s="196" t="s">
        <v>124</v>
      </c>
      <c r="B41" s="197">
        <f>B27+B28+B34+B40</f>
        <v>20</v>
      </c>
      <c r="C41" s="198"/>
      <c r="D41" s="199">
        <f>D27+D28+D34+D40</f>
        <v>328719.01</v>
      </c>
      <c r="E41" s="167">
        <v>1.04</v>
      </c>
      <c r="F41" s="167">
        <f t="shared" si="0"/>
        <v>0</v>
      </c>
      <c r="G41" s="198">
        <v>0</v>
      </c>
      <c r="H41" s="200"/>
      <c r="I41" s="200"/>
      <c r="J41" s="199">
        <f>J27+J28+J34+J40</f>
        <v>374074.06</v>
      </c>
      <c r="K41" s="169"/>
      <c r="L41" s="92"/>
      <c r="M41" s="92"/>
    </row>
    <row r="42" spans="1:13" ht="14.25" x14ac:dyDescent="0.2">
      <c r="A42" s="314" t="s">
        <v>125</v>
      </c>
      <c r="B42" s="315"/>
      <c r="C42" s="315"/>
      <c r="D42" s="315"/>
      <c r="E42" s="315"/>
      <c r="F42" s="315"/>
      <c r="G42" s="315"/>
      <c r="H42" s="315"/>
      <c r="I42" s="315"/>
      <c r="J42" s="316"/>
      <c r="K42" s="169"/>
      <c r="L42" s="92"/>
      <c r="M42" s="92"/>
    </row>
    <row r="43" spans="1:13" ht="15" x14ac:dyDescent="0.25">
      <c r="A43" s="170" t="s">
        <v>14</v>
      </c>
      <c r="B43" s="171">
        <v>1</v>
      </c>
      <c r="C43" s="172">
        <v>20804.97</v>
      </c>
      <c r="D43" s="173">
        <f>B43*C43</f>
        <v>20804.97</v>
      </c>
      <c r="E43" s="167">
        <v>1.04</v>
      </c>
      <c r="F43" s="167">
        <f t="shared" si="0"/>
        <v>21637.17</v>
      </c>
      <c r="G43" s="172">
        <v>22502.66</v>
      </c>
      <c r="H43" s="168">
        <f t="shared" ref="H43" si="12">ROUND(G43*1.04,2)</f>
        <v>23402.77</v>
      </c>
      <c r="I43" s="178">
        <f t="shared" ref="I43:I44" si="13">H43</f>
        <v>23402.77</v>
      </c>
      <c r="J43" s="173">
        <f>B43*G43</f>
        <v>22502.66</v>
      </c>
      <c r="K43" s="169"/>
      <c r="L43" s="92"/>
      <c r="M43" s="92"/>
    </row>
    <row r="44" spans="1:13" ht="15.75" thickBot="1" x14ac:dyDescent="0.3">
      <c r="A44" s="190" t="s">
        <v>126</v>
      </c>
      <c r="B44" s="188">
        <v>1</v>
      </c>
      <c r="C44" s="172">
        <v>15909.71</v>
      </c>
      <c r="D44" s="189">
        <f>B44*C44</f>
        <v>15909.71</v>
      </c>
      <c r="E44" s="167">
        <v>1.04</v>
      </c>
      <c r="F44" s="167">
        <f t="shared" si="0"/>
        <v>16546.099999999999</v>
      </c>
      <c r="G44" s="172">
        <v>17207.939999999999</v>
      </c>
      <c r="H44" s="168">
        <f>ROUND(G44*1.04,2)</f>
        <v>17896.259999999998</v>
      </c>
      <c r="I44" s="178">
        <f t="shared" si="13"/>
        <v>17896.259999999998</v>
      </c>
      <c r="J44" s="173">
        <f>B44*G44</f>
        <v>17207.939999999999</v>
      </c>
      <c r="K44" s="169"/>
      <c r="L44" s="92"/>
      <c r="M44" s="92"/>
    </row>
    <row r="45" spans="1:13" ht="15" thickBot="1" x14ac:dyDescent="0.25">
      <c r="A45" s="192" t="s">
        <v>118</v>
      </c>
      <c r="B45" s="180">
        <f>SUM(B43:B44)</f>
        <v>2</v>
      </c>
      <c r="C45" s="180"/>
      <c r="D45" s="182">
        <f>SUM(D43:D44)</f>
        <v>36714.68</v>
      </c>
      <c r="E45" s="167">
        <v>1.04</v>
      </c>
      <c r="F45" s="167">
        <f t="shared" si="0"/>
        <v>0</v>
      </c>
      <c r="G45" s="181">
        <v>0</v>
      </c>
      <c r="H45" s="183"/>
      <c r="I45" s="183"/>
      <c r="J45" s="182">
        <f>SUM(J43:J44)</f>
        <v>39710.6</v>
      </c>
      <c r="K45" s="169"/>
      <c r="L45" s="92"/>
      <c r="M45" s="92"/>
    </row>
    <row r="46" spans="1:13" ht="24.75" customHeight="1" x14ac:dyDescent="0.2">
      <c r="A46" s="308" t="s">
        <v>127</v>
      </c>
      <c r="B46" s="309"/>
      <c r="C46" s="309"/>
      <c r="D46" s="309"/>
      <c r="E46" s="309"/>
      <c r="F46" s="309"/>
      <c r="G46" s="309"/>
      <c r="H46" s="309"/>
      <c r="I46" s="309"/>
      <c r="J46" s="310"/>
      <c r="K46" s="169"/>
      <c r="L46" s="92"/>
      <c r="M46" s="92"/>
    </row>
    <row r="47" spans="1:13" ht="15" x14ac:dyDescent="0.25">
      <c r="A47" s="170" t="s">
        <v>120</v>
      </c>
      <c r="B47" s="171">
        <v>1</v>
      </c>
      <c r="C47" s="172">
        <v>23497.41</v>
      </c>
      <c r="D47" s="173">
        <f>C47*B47</f>
        <v>23497.41</v>
      </c>
      <c r="E47" s="167">
        <v>1.04</v>
      </c>
      <c r="F47" s="167">
        <f t="shared" si="0"/>
        <v>24437.31</v>
      </c>
      <c r="G47" s="172">
        <v>29121.1</v>
      </c>
      <c r="H47" s="168">
        <f>ROUND(G47*1.04,2)</f>
        <v>30285.94</v>
      </c>
      <c r="I47" s="178">
        <f t="shared" ref="I47" si="14">H47</f>
        <v>30285.94</v>
      </c>
      <c r="J47" s="173">
        <f>B47*G47</f>
        <v>29121.1</v>
      </c>
      <c r="K47" s="169"/>
      <c r="L47" s="92"/>
      <c r="M47" s="92"/>
    </row>
    <row r="48" spans="1:13" ht="18" customHeight="1" x14ac:dyDescent="0.25">
      <c r="A48" s="170" t="s">
        <v>128</v>
      </c>
      <c r="B48" s="171">
        <v>1</v>
      </c>
      <c r="C48" s="172">
        <v>21294.55</v>
      </c>
      <c r="D48" s="173">
        <f>C48*B48</f>
        <v>21294.55</v>
      </c>
      <c r="E48" s="167">
        <v>1.04</v>
      </c>
      <c r="F48" s="167">
        <f t="shared" si="0"/>
        <v>22146.33</v>
      </c>
      <c r="G48" s="172">
        <v>23032.18</v>
      </c>
      <c r="H48" s="168">
        <f>ROUND(G48*1.04,2)</f>
        <v>23953.47</v>
      </c>
      <c r="I48" s="178">
        <f>H48</f>
        <v>23953.47</v>
      </c>
      <c r="J48" s="173">
        <f>B48*G48</f>
        <v>23032.18</v>
      </c>
      <c r="K48" s="169"/>
      <c r="L48" s="92"/>
      <c r="M48" s="92"/>
    </row>
    <row r="49" spans="1:13" ht="15" customHeight="1" x14ac:dyDescent="0.2">
      <c r="A49" s="301" t="s">
        <v>129</v>
      </c>
      <c r="B49" s="302"/>
      <c r="C49" s="302"/>
      <c r="D49" s="302"/>
      <c r="E49" s="302"/>
      <c r="F49" s="302"/>
      <c r="G49" s="302"/>
      <c r="H49" s="302"/>
      <c r="I49" s="302"/>
      <c r="J49" s="303"/>
      <c r="K49" s="169"/>
      <c r="L49" s="92"/>
      <c r="M49" s="92"/>
    </row>
    <row r="50" spans="1:13" ht="15" x14ac:dyDescent="0.25">
      <c r="A50" s="170" t="s">
        <v>14</v>
      </c>
      <c r="B50" s="171">
        <v>1</v>
      </c>
      <c r="C50" s="172">
        <v>20804.97</v>
      </c>
      <c r="D50" s="173">
        <f>B50*C50</f>
        <v>20804.97</v>
      </c>
      <c r="E50" s="167">
        <v>1.04</v>
      </c>
      <c r="F50" s="167">
        <f t="shared" si="0"/>
        <v>21637.17</v>
      </c>
      <c r="G50" s="172">
        <v>22502.66</v>
      </c>
      <c r="H50" s="168">
        <f>ROUND(G50*1.04,2)</f>
        <v>23402.77</v>
      </c>
      <c r="I50" s="178">
        <f>H50</f>
        <v>23402.77</v>
      </c>
      <c r="J50" s="173">
        <f>B50*G50</f>
        <v>22502.66</v>
      </c>
      <c r="K50" s="169"/>
      <c r="L50" s="92"/>
      <c r="M50" s="92"/>
    </row>
    <row r="51" spans="1:13" ht="15" x14ac:dyDescent="0.25">
      <c r="A51" s="170" t="s">
        <v>17</v>
      </c>
      <c r="B51" s="171">
        <v>1</v>
      </c>
      <c r="C51" s="172">
        <v>18846.87</v>
      </c>
      <c r="D51" s="173">
        <f>B51*C51</f>
        <v>18846.87</v>
      </c>
      <c r="E51" s="167">
        <v>1.04</v>
      </c>
      <c r="F51" s="167">
        <f t="shared" si="0"/>
        <v>19600.740000000002</v>
      </c>
      <c r="G51" s="172">
        <v>20384.77</v>
      </c>
      <c r="H51" s="168">
        <f t="shared" ref="H51:H53" si="15">ROUND(G51*1.04,2)</f>
        <v>21200.16</v>
      </c>
      <c r="I51" s="178">
        <f t="shared" ref="I51:I53" si="16">H51</f>
        <v>21200.16</v>
      </c>
      <c r="J51" s="173">
        <f>B51*G51</f>
        <v>20384.77</v>
      </c>
      <c r="K51" s="169"/>
      <c r="L51" s="92"/>
      <c r="M51" s="92"/>
    </row>
    <row r="52" spans="1:13" ht="15" x14ac:dyDescent="0.25">
      <c r="A52" s="170" t="s">
        <v>21</v>
      </c>
      <c r="B52" s="171">
        <f>8</f>
        <v>8</v>
      </c>
      <c r="C52" s="172">
        <v>15909.71</v>
      </c>
      <c r="D52" s="173">
        <f>B52*C52</f>
        <v>127277.68</v>
      </c>
      <c r="E52" s="167">
        <v>1.04</v>
      </c>
      <c r="F52" s="167">
        <f t="shared" si="0"/>
        <v>16546.099999999999</v>
      </c>
      <c r="G52" s="172">
        <v>17207.939999999999</v>
      </c>
      <c r="H52" s="168">
        <f t="shared" si="15"/>
        <v>17896.259999999998</v>
      </c>
      <c r="I52" s="178">
        <f t="shared" si="16"/>
        <v>17896.259999999998</v>
      </c>
      <c r="J52" s="173">
        <f>B52*G52</f>
        <v>137663.51999999999</v>
      </c>
      <c r="K52" s="169"/>
      <c r="L52" s="92"/>
      <c r="M52" s="92"/>
    </row>
    <row r="53" spans="1:13" ht="15" x14ac:dyDescent="0.25">
      <c r="A53" s="170" t="s">
        <v>19</v>
      </c>
      <c r="B53" s="171">
        <f>3</f>
        <v>3</v>
      </c>
      <c r="C53" s="172">
        <v>15909.71</v>
      </c>
      <c r="D53" s="173">
        <f>B53*C53</f>
        <v>47729.13</v>
      </c>
      <c r="E53" s="167">
        <v>1.04</v>
      </c>
      <c r="F53" s="167">
        <f t="shared" si="0"/>
        <v>16546.099999999999</v>
      </c>
      <c r="G53" s="172">
        <v>17207.939999999999</v>
      </c>
      <c r="H53" s="168">
        <f t="shared" si="15"/>
        <v>17896.259999999998</v>
      </c>
      <c r="I53" s="178">
        <f t="shared" si="16"/>
        <v>17896.259999999998</v>
      </c>
      <c r="J53" s="173">
        <f>B53*G53</f>
        <v>51623.819999999992</v>
      </c>
      <c r="K53" s="169"/>
      <c r="L53" s="92"/>
      <c r="M53" s="92"/>
    </row>
    <row r="54" spans="1:13" ht="15.75" thickBot="1" x14ac:dyDescent="0.3">
      <c r="A54" s="234" t="s">
        <v>22</v>
      </c>
      <c r="B54" s="235">
        <f>1</f>
        <v>1</v>
      </c>
      <c r="C54" s="236">
        <v>13706.85</v>
      </c>
      <c r="D54" s="237">
        <f>B54*C54</f>
        <v>13706.85</v>
      </c>
      <c r="E54" s="219">
        <v>1.04</v>
      </c>
      <c r="F54" s="219">
        <f t="shared" si="0"/>
        <v>14255.12</v>
      </c>
      <c r="G54" s="236">
        <v>14825.32</v>
      </c>
      <c r="H54" s="220">
        <f>ROUND(G54*1.04,2)</f>
        <v>15418.33</v>
      </c>
      <c r="I54" s="221">
        <f>H54</f>
        <v>15418.33</v>
      </c>
      <c r="J54" s="237">
        <f>B54*G54</f>
        <v>14825.32</v>
      </c>
      <c r="K54" s="169"/>
      <c r="L54" s="92"/>
      <c r="M54" s="92"/>
    </row>
    <row r="55" spans="1:13" ht="15" thickBot="1" x14ac:dyDescent="0.25">
      <c r="A55" s="192" t="s">
        <v>118</v>
      </c>
      <c r="B55" s="180">
        <f>SUM(B50:B54)</f>
        <v>14</v>
      </c>
      <c r="C55" s="180"/>
      <c r="D55" s="182">
        <f>SUM(D50:D54)</f>
        <v>228365.5</v>
      </c>
      <c r="E55" s="193">
        <v>1.04</v>
      </c>
      <c r="F55" s="193">
        <f t="shared" si="0"/>
        <v>0</v>
      </c>
      <c r="G55" s="181">
        <v>0</v>
      </c>
      <c r="H55" s="183"/>
      <c r="I55" s="183"/>
      <c r="J55" s="182">
        <f>SUM(J50:J54)</f>
        <v>247000.08999999997</v>
      </c>
      <c r="K55" s="169"/>
      <c r="L55" s="92"/>
      <c r="M55" s="92"/>
    </row>
    <row r="56" spans="1:13" ht="15.75" customHeight="1" x14ac:dyDescent="0.25">
      <c r="A56" s="317" t="s">
        <v>130</v>
      </c>
      <c r="B56" s="318"/>
      <c r="C56" s="318"/>
      <c r="D56" s="318"/>
      <c r="E56" s="318"/>
      <c r="F56" s="318"/>
      <c r="G56" s="318"/>
      <c r="H56" s="318"/>
      <c r="I56" s="318"/>
      <c r="J56" s="319"/>
      <c r="K56" s="169"/>
      <c r="L56" s="92"/>
      <c r="M56" s="92"/>
    </row>
    <row r="57" spans="1:13" ht="15" x14ac:dyDescent="0.25">
      <c r="A57" s="170" t="s">
        <v>14</v>
      </c>
      <c r="B57" s="171">
        <v>1</v>
      </c>
      <c r="C57" s="172">
        <v>20804.97</v>
      </c>
      <c r="D57" s="173">
        <f>B57*C57</f>
        <v>20804.97</v>
      </c>
      <c r="E57" s="167">
        <v>1.04</v>
      </c>
      <c r="F57" s="167">
        <f t="shared" si="0"/>
        <v>21637.17</v>
      </c>
      <c r="G57" s="172">
        <v>22502.66</v>
      </c>
      <c r="H57" s="168">
        <f>ROUND(G57*1.04,2)</f>
        <v>23402.77</v>
      </c>
      <c r="I57" s="178">
        <f>H57</f>
        <v>23402.77</v>
      </c>
      <c r="J57" s="173">
        <f>B57*G57</f>
        <v>22502.66</v>
      </c>
      <c r="K57" s="169"/>
      <c r="L57" s="92"/>
      <c r="M57" s="92"/>
    </row>
    <row r="58" spans="1:13" ht="15" x14ac:dyDescent="0.25">
      <c r="A58" s="170" t="s">
        <v>122</v>
      </c>
      <c r="B58" s="171">
        <v>4</v>
      </c>
      <c r="C58" s="172">
        <v>15909.71</v>
      </c>
      <c r="D58" s="173">
        <f>B58*C58</f>
        <v>63638.84</v>
      </c>
      <c r="E58" s="167">
        <v>1.04</v>
      </c>
      <c r="F58" s="167">
        <f t="shared" si="0"/>
        <v>16546.099999999999</v>
      </c>
      <c r="G58" s="172">
        <v>17207.939999999999</v>
      </c>
      <c r="H58" s="168">
        <f t="shared" ref="H58" si="17">ROUND(G58*1.04,2)</f>
        <v>17896.259999999998</v>
      </c>
      <c r="I58" s="178">
        <f t="shared" ref="I58:I59" si="18">H58</f>
        <v>17896.259999999998</v>
      </c>
      <c r="J58" s="173">
        <f>B58*G58</f>
        <v>68831.759999999995</v>
      </c>
      <c r="K58" s="169"/>
      <c r="L58" s="92"/>
      <c r="M58" s="92"/>
    </row>
    <row r="59" spans="1:13" ht="15.75" thickBot="1" x14ac:dyDescent="0.3">
      <c r="A59" s="190" t="s">
        <v>22</v>
      </c>
      <c r="B59" s="188">
        <v>3</v>
      </c>
      <c r="C59" s="191">
        <v>13706.85</v>
      </c>
      <c r="D59" s="189">
        <f>B59*C59</f>
        <v>41120.550000000003</v>
      </c>
      <c r="E59" s="167">
        <v>1.04</v>
      </c>
      <c r="F59" s="167">
        <f t="shared" si="0"/>
        <v>14255.12</v>
      </c>
      <c r="G59" s="191">
        <v>14825.32</v>
      </c>
      <c r="H59" s="168">
        <f>ROUND(G59*1.04,2)</f>
        <v>15418.33</v>
      </c>
      <c r="I59" s="178">
        <f t="shared" si="18"/>
        <v>15418.33</v>
      </c>
      <c r="J59" s="189">
        <f>B59*G59</f>
        <v>44475.96</v>
      </c>
      <c r="K59" s="169"/>
      <c r="L59" s="92"/>
      <c r="M59" s="92"/>
    </row>
    <row r="60" spans="1:13" ht="15.75" thickBot="1" x14ac:dyDescent="0.3">
      <c r="A60" s="192" t="s">
        <v>118</v>
      </c>
      <c r="B60" s="180">
        <f>SUM(B57:B59)</f>
        <v>8</v>
      </c>
      <c r="C60" s="194"/>
      <c r="D60" s="182">
        <f>SUM(D57:D59)</f>
        <v>125564.36</v>
      </c>
      <c r="E60" s="193">
        <v>1.04</v>
      </c>
      <c r="F60" s="193">
        <f t="shared" si="0"/>
        <v>0</v>
      </c>
      <c r="G60" s="194">
        <v>0</v>
      </c>
      <c r="H60" s="195"/>
      <c r="I60" s="195"/>
      <c r="J60" s="182">
        <f>SUM(J57:J59)</f>
        <v>135810.38</v>
      </c>
      <c r="K60" s="169"/>
      <c r="L60" s="92"/>
      <c r="M60" s="92"/>
    </row>
    <row r="61" spans="1:13" ht="15" thickBot="1" x14ac:dyDescent="0.25">
      <c r="A61" s="196" t="s">
        <v>124</v>
      </c>
      <c r="B61" s="197">
        <f>B47+B48+B55+B60</f>
        <v>24</v>
      </c>
      <c r="C61" s="198"/>
      <c r="D61" s="199">
        <f>D47+D48+D55+D60</f>
        <v>398721.82</v>
      </c>
      <c r="E61" s="167">
        <v>1.04</v>
      </c>
      <c r="F61" s="167">
        <f t="shared" si="0"/>
        <v>0</v>
      </c>
      <c r="G61" s="198">
        <v>0</v>
      </c>
      <c r="H61" s="200"/>
      <c r="I61" s="200"/>
      <c r="J61" s="199">
        <f>J47+J48+J55+J60</f>
        <v>434963.75</v>
      </c>
      <c r="K61" s="169"/>
      <c r="L61" s="92"/>
      <c r="M61" s="92"/>
    </row>
    <row r="62" spans="1:13" ht="22.5" customHeight="1" x14ac:dyDescent="0.2">
      <c r="A62" s="308" t="s">
        <v>131</v>
      </c>
      <c r="B62" s="309"/>
      <c r="C62" s="309"/>
      <c r="D62" s="309"/>
      <c r="E62" s="309"/>
      <c r="F62" s="309"/>
      <c r="G62" s="309"/>
      <c r="H62" s="309"/>
      <c r="I62" s="309"/>
      <c r="J62" s="310"/>
      <c r="K62" s="169"/>
      <c r="L62" s="92"/>
      <c r="M62" s="92"/>
    </row>
    <row r="63" spans="1:13" ht="15" x14ac:dyDescent="0.25">
      <c r="A63" s="170" t="s">
        <v>14</v>
      </c>
      <c r="B63" s="171">
        <v>1</v>
      </c>
      <c r="C63" s="172">
        <v>20804.97</v>
      </c>
      <c r="D63" s="201">
        <f>C63*B63</f>
        <v>20804.97</v>
      </c>
      <c r="E63" s="167">
        <v>1.04</v>
      </c>
      <c r="F63" s="167">
        <f t="shared" si="0"/>
        <v>21637.17</v>
      </c>
      <c r="G63" s="172">
        <v>22502.66</v>
      </c>
      <c r="H63" s="168">
        <f>ROUND(G63*1.04,2)</f>
        <v>23402.77</v>
      </c>
      <c r="I63" s="178">
        <f>H63</f>
        <v>23402.77</v>
      </c>
      <c r="J63" s="202">
        <f>B63*G63</f>
        <v>22502.66</v>
      </c>
      <c r="K63" s="169"/>
      <c r="L63" s="92"/>
      <c r="M63" s="92"/>
    </row>
    <row r="64" spans="1:13" ht="15.75" thickBot="1" x14ac:dyDescent="0.3">
      <c r="A64" s="190" t="s">
        <v>122</v>
      </c>
      <c r="B64" s="188">
        <v>1</v>
      </c>
      <c r="C64" s="172">
        <v>15909.71</v>
      </c>
      <c r="D64" s="203">
        <f>C64*B64</f>
        <v>15909.71</v>
      </c>
      <c r="E64" s="167">
        <v>1.04</v>
      </c>
      <c r="F64" s="167">
        <f t="shared" si="0"/>
        <v>16546.099999999999</v>
      </c>
      <c r="G64" s="172">
        <v>17207.939999999999</v>
      </c>
      <c r="H64" s="168">
        <f>ROUND(G64*1.04,2)</f>
        <v>17896.259999999998</v>
      </c>
      <c r="I64" s="178">
        <f>H64</f>
        <v>17896.259999999998</v>
      </c>
      <c r="J64" s="204">
        <f>B64*G64</f>
        <v>17207.939999999999</v>
      </c>
      <c r="K64" s="169"/>
      <c r="L64" s="92"/>
      <c r="M64" s="92"/>
    </row>
    <row r="65" spans="1:13" ht="15" thickBot="1" x14ac:dyDescent="0.25">
      <c r="A65" s="192" t="s">
        <v>118</v>
      </c>
      <c r="B65" s="180">
        <v>2</v>
      </c>
      <c r="C65" s="181"/>
      <c r="D65" s="182">
        <f>D63+D64</f>
        <v>36714.68</v>
      </c>
      <c r="E65" s="167">
        <v>1.04</v>
      </c>
      <c r="F65" s="167">
        <f t="shared" si="0"/>
        <v>0</v>
      </c>
      <c r="G65" s="181">
        <v>0</v>
      </c>
      <c r="H65" s="183"/>
      <c r="I65" s="183"/>
      <c r="J65" s="182">
        <f>J63+J64</f>
        <v>39710.6</v>
      </c>
      <c r="K65" s="169"/>
      <c r="L65" s="92"/>
      <c r="M65" s="92"/>
    </row>
    <row r="66" spans="1:13" ht="18.75" customHeight="1" x14ac:dyDescent="0.2">
      <c r="A66" s="308" t="s">
        <v>132</v>
      </c>
      <c r="B66" s="309"/>
      <c r="C66" s="309"/>
      <c r="D66" s="309"/>
      <c r="E66" s="309"/>
      <c r="F66" s="309"/>
      <c r="G66" s="309"/>
      <c r="H66" s="309"/>
      <c r="I66" s="309"/>
      <c r="J66" s="310"/>
      <c r="K66" s="169"/>
      <c r="L66" s="92"/>
      <c r="M66" s="92"/>
    </row>
    <row r="67" spans="1:13" ht="15" x14ac:dyDescent="0.25">
      <c r="A67" s="170" t="s">
        <v>14</v>
      </c>
      <c r="B67" s="171">
        <v>1</v>
      </c>
      <c r="C67" s="172">
        <v>20804.97</v>
      </c>
      <c r="D67" s="173">
        <f>B67*C67</f>
        <v>20804.97</v>
      </c>
      <c r="E67" s="167">
        <v>1.04</v>
      </c>
      <c r="F67" s="167">
        <f t="shared" si="0"/>
        <v>21637.17</v>
      </c>
      <c r="G67" s="172">
        <v>22502.66</v>
      </c>
      <c r="H67" s="168">
        <f>ROUND(G67*1.04,2)</f>
        <v>23402.77</v>
      </c>
      <c r="I67" s="178">
        <f>H67</f>
        <v>23402.77</v>
      </c>
      <c r="J67" s="173">
        <f>B67*G67</f>
        <v>22502.66</v>
      </c>
      <c r="K67" s="169"/>
      <c r="L67" s="92"/>
      <c r="M67" s="92"/>
    </row>
    <row r="68" spans="1:13" ht="15" x14ac:dyDescent="0.25">
      <c r="A68" s="170" t="s">
        <v>17</v>
      </c>
      <c r="B68" s="171">
        <v>1</v>
      </c>
      <c r="C68" s="172">
        <v>18846.87</v>
      </c>
      <c r="D68" s="173">
        <f>B68*C68</f>
        <v>18846.87</v>
      </c>
      <c r="E68" s="167">
        <v>1.04</v>
      </c>
      <c r="F68" s="167">
        <f t="shared" si="0"/>
        <v>19600.740000000002</v>
      </c>
      <c r="G68" s="172">
        <v>20384.77</v>
      </c>
      <c r="H68" s="168">
        <f t="shared" ref="H68:H69" si="19">ROUND(G68*1.04,2)</f>
        <v>21200.16</v>
      </c>
      <c r="I68" s="178">
        <f t="shared" ref="I68:I69" si="20">H68</f>
        <v>21200.16</v>
      </c>
      <c r="J68" s="173">
        <f>B68*G68</f>
        <v>20384.77</v>
      </c>
      <c r="K68" s="169"/>
      <c r="L68" s="92"/>
      <c r="M68" s="92"/>
    </row>
    <row r="69" spans="1:13" ht="15" x14ac:dyDescent="0.25">
      <c r="A69" s="170" t="s">
        <v>122</v>
      </c>
      <c r="B69" s="171">
        <f>5+1</f>
        <v>6</v>
      </c>
      <c r="C69" s="172">
        <v>15909.71</v>
      </c>
      <c r="D69" s="173">
        <f>B69*C69</f>
        <v>95458.26</v>
      </c>
      <c r="E69" s="167">
        <v>1.04</v>
      </c>
      <c r="F69" s="167">
        <f t="shared" si="0"/>
        <v>16546.099999999999</v>
      </c>
      <c r="G69" s="172">
        <v>17207.939999999999</v>
      </c>
      <c r="H69" s="168">
        <f t="shared" si="19"/>
        <v>17896.259999999998</v>
      </c>
      <c r="I69" s="178">
        <f t="shared" si="20"/>
        <v>17896.259999999998</v>
      </c>
      <c r="J69" s="173">
        <f>B69*G69</f>
        <v>103247.63999999998</v>
      </c>
      <c r="K69" s="169"/>
      <c r="L69" s="92"/>
      <c r="M69" s="92"/>
    </row>
    <row r="70" spans="1:13" ht="15.75" thickBot="1" x14ac:dyDescent="0.3">
      <c r="A70" s="190" t="s">
        <v>22</v>
      </c>
      <c r="B70" s="188">
        <f>3-1</f>
        <v>2</v>
      </c>
      <c r="C70" s="172">
        <v>13706.85</v>
      </c>
      <c r="D70" s="189">
        <f>B70*C70</f>
        <v>27413.7</v>
      </c>
      <c r="E70" s="167">
        <v>1.04</v>
      </c>
      <c r="F70" s="167">
        <f t="shared" si="0"/>
        <v>14255.12</v>
      </c>
      <c r="G70" s="172">
        <v>14825.32</v>
      </c>
      <c r="H70" s="168">
        <f>ROUND(G70*1.04,2)</f>
        <v>15418.33</v>
      </c>
      <c r="I70" s="178">
        <f>H70</f>
        <v>15418.33</v>
      </c>
      <c r="J70" s="189">
        <f>B70*G70</f>
        <v>29650.639999999999</v>
      </c>
      <c r="K70" s="169"/>
      <c r="L70" s="92"/>
      <c r="M70" s="92"/>
    </row>
    <row r="71" spans="1:13" ht="15" thickBot="1" x14ac:dyDescent="0.25">
      <c r="A71" s="192" t="s">
        <v>118</v>
      </c>
      <c r="B71" s="180">
        <f>SUM(B67:B70)</f>
        <v>10</v>
      </c>
      <c r="C71" s="181"/>
      <c r="D71" s="182">
        <f>SUM(D67:D70)</f>
        <v>162523.79999999999</v>
      </c>
      <c r="E71" s="167">
        <v>1.04</v>
      </c>
      <c r="F71" s="167">
        <f t="shared" si="0"/>
        <v>0</v>
      </c>
      <c r="G71" s="181">
        <v>0</v>
      </c>
      <c r="H71" s="183"/>
      <c r="I71" s="183"/>
      <c r="J71" s="182">
        <f>SUM(J67:J70)</f>
        <v>175785.70999999996</v>
      </c>
      <c r="K71" s="169"/>
      <c r="L71" s="92"/>
      <c r="M71" s="92"/>
    </row>
    <row r="72" spans="1:13" ht="14.25" x14ac:dyDescent="0.2">
      <c r="A72" s="308" t="s">
        <v>133</v>
      </c>
      <c r="B72" s="309"/>
      <c r="C72" s="309"/>
      <c r="D72" s="309"/>
      <c r="E72" s="309"/>
      <c r="F72" s="309"/>
      <c r="G72" s="309"/>
      <c r="H72" s="309"/>
      <c r="I72" s="309"/>
      <c r="J72" s="310"/>
      <c r="K72" s="169"/>
      <c r="L72" s="92"/>
      <c r="M72" s="92"/>
    </row>
    <row r="73" spans="1:13" ht="15" x14ac:dyDescent="0.25">
      <c r="A73" s="170" t="s">
        <v>14</v>
      </c>
      <c r="B73" s="171">
        <v>1</v>
      </c>
      <c r="C73" s="172">
        <v>20804.97</v>
      </c>
      <c r="D73" s="173">
        <f t="shared" ref="D73:D78" si="21">B73*C73</f>
        <v>20804.97</v>
      </c>
      <c r="E73" s="167">
        <v>1.04</v>
      </c>
      <c r="F73" s="167">
        <f t="shared" si="0"/>
        <v>21637.17</v>
      </c>
      <c r="G73" s="172">
        <v>22502.66</v>
      </c>
      <c r="H73" s="168">
        <f>ROUND(G73*1.04,2)</f>
        <v>23402.77</v>
      </c>
      <c r="I73" s="178">
        <f>H73</f>
        <v>23402.77</v>
      </c>
      <c r="J73" s="173">
        <f t="shared" ref="J73:J78" si="22">B73*G73</f>
        <v>22502.66</v>
      </c>
      <c r="K73" s="169"/>
      <c r="L73" s="92"/>
      <c r="M73" s="92"/>
    </row>
    <row r="74" spans="1:13" ht="14.25" customHeight="1" x14ac:dyDescent="0.25">
      <c r="A74" s="170" t="s">
        <v>17</v>
      </c>
      <c r="B74" s="171">
        <v>1</v>
      </c>
      <c r="C74" s="172">
        <v>18846.87</v>
      </c>
      <c r="D74" s="173">
        <f t="shared" si="21"/>
        <v>18846.87</v>
      </c>
      <c r="E74" s="167">
        <v>1.04</v>
      </c>
      <c r="F74" s="167">
        <f t="shared" si="0"/>
        <v>19600.740000000002</v>
      </c>
      <c r="G74" s="172">
        <v>20384.77</v>
      </c>
      <c r="H74" s="168">
        <f t="shared" ref="H74:H77" si="23">ROUND(G74*1.04,2)</f>
        <v>21200.16</v>
      </c>
      <c r="I74" s="178">
        <f t="shared" ref="I74:I77" si="24">H74</f>
        <v>21200.16</v>
      </c>
      <c r="J74" s="173">
        <f t="shared" si="22"/>
        <v>20384.77</v>
      </c>
      <c r="K74" s="169"/>
      <c r="L74" s="92"/>
      <c r="M74" s="92"/>
    </row>
    <row r="75" spans="1:13" ht="14.25" customHeight="1" x14ac:dyDescent="0.25">
      <c r="A75" s="170" t="s">
        <v>122</v>
      </c>
      <c r="B75" s="171">
        <v>1</v>
      </c>
      <c r="C75" s="172">
        <v>15909.71</v>
      </c>
      <c r="D75" s="173">
        <f t="shared" si="21"/>
        <v>15909.71</v>
      </c>
      <c r="E75" s="167">
        <v>1.04</v>
      </c>
      <c r="F75" s="167">
        <f t="shared" si="0"/>
        <v>16546.099999999999</v>
      </c>
      <c r="G75" s="172">
        <v>17207.939999999999</v>
      </c>
      <c r="H75" s="168">
        <f t="shared" si="23"/>
        <v>17896.259999999998</v>
      </c>
      <c r="I75" s="178">
        <f t="shared" si="24"/>
        <v>17896.259999999998</v>
      </c>
      <c r="J75" s="173">
        <f t="shared" si="22"/>
        <v>17207.939999999999</v>
      </c>
      <c r="K75" s="169"/>
      <c r="L75" s="92"/>
      <c r="M75" s="92"/>
    </row>
    <row r="76" spans="1:13" ht="15" x14ac:dyDescent="0.25">
      <c r="A76" s="170" t="s">
        <v>22</v>
      </c>
      <c r="B76" s="171">
        <v>3</v>
      </c>
      <c r="C76" s="172">
        <v>13706.85</v>
      </c>
      <c r="D76" s="173">
        <f t="shared" si="21"/>
        <v>41120.550000000003</v>
      </c>
      <c r="E76" s="167">
        <v>1.04</v>
      </c>
      <c r="F76" s="167">
        <f t="shared" si="0"/>
        <v>14255.12</v>
      </c>
      <c r="G76" s="172">
        <v>14825.32</v>
      </c>
      <c r="H76" s="168">
        <f t="shared" si="23"/>
        <v>15418.33</v>
      </c>
      <c r="I76" s="178">
        <f t="shared" si="24"/>
        <v>15418.33</v>
      </c>
      <c r="J76" s="173">
        <f t="shared" si="22"/>
        <v>44475.96</v>
      </c>
      <c r="K76" s="169"/>
      <c r="L76" s="92"/>
      <c r="M76" s="92"/>
    </row>
    <row r="77" spans="1:13" ht="15" x14ac:dyDescent="0.25">
      <c r="A77" s="170" t="s">
        <v>27</v>
      </c>
      <c r="B77" s="171">
        <v>1</v>
      </c>
      <c r="C77" s="172">
        <v>11014.42</v>
      </c>
      <c r="D77" s="173">
        <f t="shared" si="21"/>
        <v>11014.42</v>
      </c>
      <c r="E77" s="167">
        <v>1.04</v>
      </c>
      <c r="F77" s="167">
        <f t="shared" si="0"/>
        <v>11455</v>
      </c>
      <c r="G77" s="172">
        <v>11913.2</v>
      </c>
      <c r="H77" s="168">
        <f t="shared" si="23"/>
        <v>12389.73</v>
      </c>
      <c r="I77" s="178">
        <f t="shared" si="24"/>
        <v>12389.73</v>
      </c>
      <c r="J77" s="173">
        <f t="shared" si="22"/>
        <v>11913.2</v>
      </c>
      <c r="K77" s="169"/>
      <c r="L77" s="92"/>
      <c r="M77" s="92"/>
    </row>
    <row r="78" spans="1:13" ht="15.75" thickBot="1" x14ac:dyDescent="0.3">
      <c r="A78" s="190" t="s">
        <v>28</v>
      </c>
      <c r="B78" s="188">
        <v>3</v>
      </c>
      <c r="C78" s="172">
        <v>11014.42</v>
      </c>
      <c r="D78" s="189">
        <f t="shared" si="21"/>
        <v>33043.26</v>
      </c>
      <c r="E78" s="167">
        <v>1.04</v>
      </c>
      <c r="F78" s="167">
        <f t="shared" si="0"/>
        <v>11455</v>
      </c>
      <c r="G78" s="172">
        <v>11913.2</v>
      </c>
      <c r="H78" s="168">
        <f>ROUND(G78*1.04,2)</f>
        <v>12389.73</v>
      </c>
      <c r="I78" s="178">
        <f>H78</f>
        <v>12389.73</v>
      </c>
      <c r="J78" s="189">
        <f t="shared" si="22"/>
        <v>35739.600000000006</v>
      </c>
      <c r="K78" s="169"/>
      <c r="L78" s="92"/>
      <c r="M78" s="92"/>
    </row>
    <row r="79" spans="1:13" ht="15" thickBot="1" x14ac:dyDescent="0.25">
      <c r="A79" s="192" t="s">
        <v>118</v>
      </c>
      <c r="B79" s="180">
        <f>SUM(B73:B78)</f>
        <v>10</v>
      </c>
      <c r="C79" s="181"/>
      <c r="D79" s="182">
        <f>SUM(D73:D78)</f>
        <v>140739.78</v>
      </c>
      <c r="E79" s="167">
        <v>1.04</v>
      </c>
      <c r="F79" s="167">
        <f t="shared" si="0"/>
        <v>0</v>
      </c>
      <c r="G79" s="181">
        <v>0</v>
      </c>
      <c r="H79" s="183"/>
      <c r="I79" s="183"/>
      <c r="J79" s="182">
        <f>SUM(J73:J78)</f>
        <v>152224.13</v>
      </c>
      <c r="K79" s="169"/>
      <c r="L79" s="92"/>
      <c r="M79" s="92"/>
    </row>
    <row r="80" spans="1:13" ht="17.25" customHeight="1" x14ac:dyDescent="0.2">
      <c r="A80" s="308" t="s">
        <v>134</v>
      </c>
      <c r="B80" s="309"/>
      <c r="C80" s="309"/>
      <c r="D80" s="309"/>
      <c r="E80" s="309"/>
      <c r="F80" s="309"/>
      <c r="G80" s="309"/>
      <c r="H80" s="309"/>
      <c r="I80" s="309"/>
      <c r="J80" s="310"/>
      <c r="K80" s="169"/>
      <c r="L80" s="92"/>
      <c r="M80" s="92"/>
    </row>
    <row r="81" spans="1:13" ht="15" x14ac:dyDescent="0.25">
      <c r="A81" s="170" t="s">
        <v>18</v>
      </c>
      <c r="B81" s="171">
        <v>1</v>
      </c>
      <c r="C81" s="172">
        <v>18357.37</v>
      </c>
      <c r="D81" s="189">
        <f>B81*C81</f>
        <v>18357.37</v>
      </c>
      <c r="E81" s="167">
        <v>1.04</v>
      </c>
      <c r="F81" s="167">
        <f t="shared" si="0"/>
        <v>19091.66</v>
      </c>
      <c r="G81" s="172">
        <v>19855.330000000002</v>
      </c>
      <c r="H81" s="168">
        <f>ROUND(G81*1.04,2)</f>
        <v>20649.54</v>
      </c>
      <c r="I81" s="178">
        <f>H81</f>
        <v>20649.54</v>
      </c>
      <c r="J81" s="189">
        <f>B81*G81</f>
        <v>19855.330000000002</v>
      </c>
      <c r="K81" s="169"/>
      <c r="L81" s="92"/>
      <c r="M81" s="92"/>
    </row>
    <row r="82" spans="1:13" ht="15.75" thickBot="1" x14ac:dyDescent="0.3">
      <c r="A82" s="190" t="s">
        <v>135</v>
      </c>
      <c r="B82" s="188">
        <v>1</v>
      </c>
      <c r="C82" s="172">
        <v>15909.71</v>
      </c>
      <c r="D82" s="189">
        <f>B82*C82</f>
        <v>15909.71</v>
      </c>
      <c r="E82" s="167">
        <v>1.04</v>
      </c>
      <c r="F82" s="167">
        <f t="shared" ref="F82:F136" si="25">ROUND(C82*E82,2)</f>
        <v>16546.099999999999</v>
      </c>
      <c r="G82" s="172">
        <v>17207.939999999999</v>
      </c>
      <c r="H82" s="168">
        <f>ROUND(G82*1.04,2)</f>
        <v>17896.259999999998</v>
      </c>
      <c r="I82" s="178">
        <f>H82</f>
        <v>17896.259999999998</v>
      </c>
      <c r="J82" s="189">
        <f>B82*G82</f>
        <v>17207.939999999999</v>
      </c>
      <c r="K82" s="169"/>
      <c r="L82" s="92"/>
      <c r="M82" s="92"/>
    </row>
    <row r="83" spans="1:13" ht="15" thickBot="1" x14ac:dyDescent="0.25">
      <c r="A83" s="192" t="s">
        <v>118</v>
      </c>
      <c r="B83" s="180">
        <v>2</v>
      </c>
      <c r="C83" s="181"/>
      <c r="D83" s="182">
        <f>D81+D82</f>
        <v>34267.08</v>
      </c>
      <c r="E83" s="167">
        <v>1.04</v>
      </c>
      <c r="F83" s="167">
        <f t="shared" si="25"/>
        <v>0</v>
      </c>
      <c r="G83" s="181">
        <v>0</v>
      </c>
      <c r="H83" s="183"/>
      <c r="I83" s="183"/>
      <c r="J83" s="182">
        <f>J81+J82</f>
        <v>37063.270000000004</v>
      </c>
      <c r="K83" s="169"/>
      <c r="L83" s="92"/>
      <c r="M83" s="92"/>
    </row>
    <row r="84" spans="1:13" ht="17.25" customHeight="1" x14ac:dyDescent="0.2">
      <c r="A84" s="308" t="s">
        <v>136</v>
      </c>
      <c r="B84" s="309"/>
      <c r="C84" s="309"/>
      <c r="D84" s="309"/>
      <c r="E84" s="309"/>
      <c r="F84" s="309"/>
      <c r="G84" s="309"/>
      <c r="H84" s="309"/>
      <c r="I84" s="309"/>
      <c r="J84" s="310"/>
      <c r="K84" s="169"/>
      <c r="L84" s="92"/>
      <c r="M84" s="92"/>
    </row>
    <row r="85" spans="1:13" ht="13.5" customHeight="1" x14ac:dyDescent="0.25">
      <c r="A85" s="170" t="s">
        <v>14</v>
      </c>
      <c r="B85" s="171">
        <v>1</v>
      </c>
      <c r="C85" s="172">
        <v>20804.97</v>
      </c>
      <c r="D85" s="173">
        <f>B85*C85</f>
        <v>20804.97</v>
      </c>
      <c r="E85" s="167">
        <v>1.04</v>
      </c>
      <c r="F85" s="167">
        <f t="shared" si="25"/>
        <v>21637.17</v>
      </c>
      <c r="G85" s="172">
        <v>22502.66</v>
      </c>
      <c r="H85" s="168">
        <f>ROUND(G85*1.04,2)</f>
        <v>23402.77</v>
      </c>
      <c r="I85" s="178">
        <f>H85</f>
        <v>23402.77</v>
      </c>
      <c r="J85" s="173">
        <f>B85*G85</f>
        <v>22502.66</v>
      </c>
      <c r="K85" s="169"/>
      <c r="L85" s="92"/>
      <c r="M85" s="92"/>
    </row>
    <row r="86" spans="1:13" ht="15" x14ac:dyDescent="0.25">
      <c r="A86" s="170" t="s">
        <v>17</v>
      </c>
      <c r="B86" s="171">
        <v>1</v>
      </c>
      <c r="C86" s="172">
        <v>18846.87</v>
      </c>
      <c r="D86" s="173">
        <f>B86*C86</f>
        <v>18846.87</v>
      </c>
      <c r="E86" s="167">
        <v>1.04</v>
      </c>
      <c r="F86" s="167">
        <f t="shared" si="25"/>
        <v>19600.740000000002</v>
      </c>
      <c r="G86" s="172">
        <v>20384.77</v>
      </c>
      <c r="H86" s="168">
        <f t="shared" ref="H86:H87" si="26">ROUND(G86*1.04,2)</f>
        <v>21200.16</v>
      </c>
      <c r="I86" s="178">
        <f t="shared" ref="I86:I87" si="27">H86</f>
        <v>21200.16</v>
      </c>
      <c r="J86" s="173">
        <f>B86*G86</f>
        <v>20384.77</v>
      </c>
      <c r="K86" s="169"/>
      <c r="L86" s="92"/>
      <c r="M86" s="92"/>
    </row>
    <row r="87" spans="1:13" ht="15" x14ac:dyDescent="0.25">
      <c r="A87" s="170" t="s">
        <v>122</v>
      </c>
      <c r="B87" s="171">
        <v>3</v>
      </c>
      <c r="C87" s="172">
        <v>15909.71</v>
      </c>
      <c r="D87" s="173">
        <f>B87*C87</f>
        <v>47729.13</v>
      </c>
      <c r="E87" s="167">
        <v>1.04</v>
      </c>
      <c r="F87" s="167">
        <f t="shared" si="25"/>
        <v>16546.099999999999</v>
      </c>
      <c r="G87" s="172">
        <v>17207.939999999999</v>
      </c>
      <c r="H87" s="168">
        <f t="shared" si="26"/>
        <v>17896.259999999998</v>
      </c>
      <c r="I87" s="178">
        <f t="shared" si="27"/>
        <v>17896.259999999998</v>
      </c>
      <c r="J87" s="173">
        <f>B87*G87</f>
        <v>51623.819999999992</v>
      </c>
      <c r="K87" s="169"/>
      <c r="L87" s="92"/>
      <c r="M87" s="92"/>
    </row>
    <row r="88" spans="1:13" ht="15.75" thickBot="1" x14ac:dyDescent="0.3">
      <c r="A88" s="170" t="s">
        <v>22</v>
      </c>
      <c r="B88" s="171">
        <v>3</v>
      </c>
      <c r="C88" s="172">
        <v>13706.85</v>
      </c>
      <c r="D88" s="173">
        <f>B88*C88</f>
        <v>41120.550000000003</v>
      </c>
      <c r="E88" s="167">
        <v>1.04</v>
      </c>
      <c r="F88" s="167">
        <f t="shared" si="25"/>
        <v>14255.12</v>
      </c>
      <c r="G88" s="172">
        <v>14825.32</v>
      </c>
      <c r="H88" s="168">
        <f>ROUND(G88*1.04,2)</f>
        <v>15418.33</v>
      </c>
      <c r="I88" s="178">
        <f>H88</f>
        <v>15418.33</v>
      </c>
      <c r="J88" s="173">
        <f>B88*G88</f>
        <v>44475.96</v>
      </c>
      <c r="K88" s="169"/>
      <c r="L88" s="92"/>
      <c r="M88" s="92"/>
    </row>
    <row r="89" spans="1:13" ht="15" thickBot="1" x14ac:dyDescent="0.25">
      <c r="A89" s="192" t="s">
        <v>118</v>
      </c>
      <c r="B89" s="180">
        <f>SUM(B85:B88)</f>
        <v>8</v>
      </c>
      <c r="C89" s="181"/>
      <c r="D89" s="182">
        <f>SUM(D85:D88)</f>
        <v>128501.52</v>
      </c>
      <c r="E89" s="167">
        <v>1.04</v>
      </c>
      <c r="F89" s="167">
        <f t="shared" si="25"/>
        <v>0</v>
      </c>
      <c r="G89" s="181">
        <v>0</v>
      </c>
      <c r="H89" s="183"/>
      <c r="I89" s="183"/>
      <c r="J89" s="182">
        <f>SUM(J85:J88)</f>
        <v>138987.21</v>
      </c>
      <c r="K89" s="169"/>
      <c r="L89" s="92"/>
      <c r="M89" s="92"/>
    </row>
    <row r="90" spans="1:13" ht="15" thickBot="1" x14ac:dyDescent="0.25">
      <c r="A90" s="192" t="s">
        <v>137</v>
      </c>
      <c r="B90" s="180">
        <f>B19+B25+B41+B45+B61+B71+B79+B89+B65+B83</f>
        <v>86</v>
      </c>
      <c r="C90" s="181"/>
      <c r="D90" s="182">
        <f>D19+D25+D41+D45+D61+D71+D79+D89+D65+D83</f>
        <v>1413271.6500000001</v>
      </c>
      <c r="E90" s="167">
        <v>1.04</v>
      </c>
      <c r="F90" s="167">
        <f t="shared" si="25"/>
        <v>0</v>
      </c>
      <c r="G90" s="181">
        <v>0</v>
      </c>
      <c r="H90" s="183"/>
      <c r="I90" s="183"/>
      <c r="J90" s="182">
        <f>J19+J25+J41+J45+J61+J71+J79+J89+J65+J83</f>
        <v>1550832.3199999998</v>
      </c>
      <c r="K90" s="169"/>
      <c r="L90" s="92"/>
      <c r="M90" s="92"/>
    </row>
    <row r="91" spans="1:13" ht="12.75" customHeight="1" x14ac:dyDescent="0.2">
      <c r="A91" s="320" t="s">
        <v>138</v>
      </c>
      <c r="B91" s="321"/>
      <c r="C91" s="321"/>
      <c r="D91" s="322"/>
      <c r="E91" s="167">
        <v>1.04</v>
      </c>
      <c r="F91" s="167">
        <f t="shared" si="25"/>
        <v>0</v>
      </c>
      <c r="G91" s="167"/>
      <c r="H91" s="167"/>
      <c r="I91" s="167"/>
      <c r="J91" s="205"/>
      <c r="K91" s="169"/>
      <c r="L91" s="92"/>
      <c r="M91" s="92"/>
    </row>
    <row r="92" spans="1:13" ht="21" customHeight="1" thickBot="1" x14ac:dyDescent="0.25">
      <c r="A92" s="311" t="s">
        <v>139</v>
      </c>
      <c r="B92" s="312"/>
      <c r="C92" s="312"/>
      <c r="D92" s="312"/>
      <c r="E92" s="312"/>
      <c r="F92" s="312"/>
      <c r="G92" s="312"/>
      <c r="H92" s="312"/>
      <c r="I92" s="312"/>
      <c r="J92" s="313"/>
      <c r="K92" s="169"/>
      <c r="L92" s="92"/>
      <c r="M92" s="92"/>
    </row>
    <row r="93" spans="1:13" ht="16.5" thickBot="1" x14ac:dyDescent="0.25">
      <c r="A93" s="323" t="s">
        <v>140</v>
      </c>
      <c r="B93" s="324"/>
      <c r="C93" s="324"/>
      <c r="D93" s="324"/>
      <c r="E93" s="324"/>
      <c r="F93" s="324"/>
      <c r="G93" s="324"/>
      <c r="H93" s="324"/>
      <c r="I93" s="324"/>
      <c r="J93" s="325"/>
      <c r="K93" s="169"/>
      <c r="L93" s="92"/>
      <c r="M93" s="92"/>
    </row>
    <row r="94" spans="1:13" ht="21.75" customHeight="1" x14ac:dyDescent="0.2">
      <c r="A94" s="326" t="s">
        <v>141</v>
      </c>
      <c r="B94" s="327"/>
      <c r="C94" s="327"/>
      <c r="D94" s="327"/>
      <c r="E94" s="327"/>
      <c r="F94" s="327"/>
      <c r="G94" s="327"/>
      <c r="H94" s="328"/>
      <c r="I94" s="328"/>
      <c r="J94" s="329"/>
      <c r="K94" s="169"/>
      <c r="L94" s="92"/>
      <c r="M94" s="92"/>
    </row>
    <row r="95" spans="1:13" ht="15" x14ac:dyDescent="0.25">
      <c r="A95" s="170" t="s">
        <v>142</v>
      </c>
      <c r="B95" s="171">
        <v>1</v>
      </c>
      <c r="C95" s="172">
        <v>18357.37</v>
      </c>
      <c r="D95" s="206">
        <f>B95*C95</f>
        <v>18357.37</v>
      </c>
      <c r="E95" s="207">
        <v>1.04</v>
      </c>
      <c r="F95" s="207">
        <f t="shared" si="25"/>
        <v>19091.66</v>
      </c>
      <c r="G95" s="172">
        <v>19855.330000000002</v>
      </c>
      <c r="H95" s="168">
        <f>ROUND(G95*1.04,2)</f>
        <v>20649.54</v>
      </c>
      <c r="I95" s="178">
        <f>H95</f>
        <v>20649.54</v>
      </c>
      <c r="J95" s="173">
        <f>B95*G95</f>
        <v>19855.330000000002</v>
      </c>
      <c r="K95" s="169"/>
      <c r="L95" s="92"/>
      <c r="M95" s="92"/>
    </row>
    <row r="96" spans="1:13" ht="15" x14ac:dyDescent="0.25">
      <c r="A96" s="170" t="s">
        <v>21</v>
      </c>
      <c r="B96" s="216">
        <f>2</f>
        <v>2</v>
      </c>
      <c r="C96" s="172">
        <v>14685.89</v>
      </c>
      <c r="D96" s="206">
        <f>B96*C96</f>
        <v>29371.78</v>
      </c>
      <c r="E96" s="207">
        <v>1.04</v>
      </c>
      <c r="F96" s="207">
        <f t="shared" si="25"/>
        <v>15273.33</v>
      </c>
      <c r="G96" s="172">
        <v>15884.26</v>
      </c>
      <c r="H96" s="168">
        <f t="shared" ref="H96:H98" si="28">ROUND(G96*1.04,2)</f>
        <v>16519.63</v>
      </c>
      <c r="I96" s="178">
        <f t="shared" ref="I96:I98" si="29">H96</f>
        <v>16519.63</v>
      </c>
      <c r="J96" s="218">
        <f>B96*G96</f>
        <v>31768.52</v>
      </c>
      <c r="K96" s="169"/>
      <c r="L96" s="92"/>
      <c r="M96" s="92"/>
    </row>
    <row r="97" spans="1:13" ht="15" x14ac:dyDescent="0.25">
      <c r="A97" s="170" t="s">
        <v>122</v>
      </c>
      <c r="B97" s="171">
        <v>1</v>
      </c>
      <c r="C97" s="172">
        <v>14685.89</v>
      </c>
      <c r="D97" s="206">
        <f>B97*C97</f>
        <v>14685.89</v>
      </c>
      <c r="E97" s="207">
        <v>1.04</v>
      </c>
      <c r="F97" s="207">
        <f t="shared" si="25"/>
        <v>15273.33</v>
      </c>
      <c r="G97" s="172">
        <v>15884.26</v>
      </c>
      <c r="H97" s="168">
        <f t="shared" si="28"/>
        <v>16519.63</v>
      </c>
      <c r="I97" s="178">
        <f t="shared" si="29"/>
        <v>16519.63</v>
      </c>
      <c r="J97" s="173">
        <f>B97*G97</f>
        <v>15884.26</v>
      </c>
      <c r="K97" s="169"/>
      <c r="L97" s="92"/>
      <c r="M97" s="92"/>
    </row>
    <row r="98" spans="1:13" ht="14.25" customHeight="1" x14ac:dyDescent="0.25">
      <c r="A98" s="170" t="s">
        <v>22</v>
      </c>
      <c r="B98" s="171">
        <v>1</v>
      </c>
      <c r="C98" s="172">
        <v>12238.23</v>
      </c>
      <c r="D98" s="206">
        <f>B98*C98</f>
        <v>12238.23</v>
      </c>
      <c r="E98" s="207">
        <v>1.04</v>
      </c>
      <c r="F98" s="207">
        <f t="shared" si="25"/>
        <v>12727.76</v>
      </c>
      <c r="G98" s="172">
        <v>13236.87</v>
      </c>
      <c r="H98" s="168">
        <f t="shared" si="28"/>
        <v>13766.34</v>
      </c>
      <c r="I98" s="178">
        <f t="shared" si="29"/>
        <v>13766.34</v>
      </c>
      <c r="J98" s="173">
        <f>B98*G98</f>
        <v>13236.87</v>
      </c>
      <c r="K98" s="169"/>
      <c r="L98" s="92"/>
      <c r="M98" s="92"/>
    </row>
    <row r="99" spans="1:13" ht="15.75" thickBot="1" x14ac:dyDescent="0.3">
      <c r="A99" s="190" t="s">
        <v>143</v>
      </c>
      <c r="B99" s="188">
        <v>1</v>
      </c>
      <c r="C99" s="191">
        <v>11014.42</v>
      </c>
      <c r="D99" s="208">
        <f>B99*C99</f>
        <v>11014.42</v>
      </c>
      <c r="E99" s="209">
        <v>1.04</v>
      </c>
      <c r="F99" s="209">
        <f t="shared" si="25"/>
        <v>11455</v>
      </c>
      <c r="G99" s="191">
        <v>11913.2</v>
      </c>
      <c r="H99" s="168">
        <f>ROUND(G99*1.04,2)</f>
        <v>12389.73</v>
      </c>
      <c r="I99" s="178">
        <f>H99</f>
        <v>12389.73</v>
      </c>
      <c r="J99" s="189">
        <f>B99*G99</f>
        <v>11913.2</v>
      </c>
      <c r="K99" s="169"/>
      <c r="L99" s="92"/>
      <c r="M99" s="92"/>
    </row>
    <row r="100" spans="1:13" ht="15" customHeight="1" thickBot="1" x14ac:dyDescent="0.25">
      <c r="A100" s="192" t="s">
        <v>144</v>
      </c>
      <c r="B100" s="180">
        <f>SUM(B95:B99)</f>
        <v>6</v>
      </c>
      <c r="C100" s="181"/>
      <c r="D100" s="210">
        <f>SUM(D95:D99)</f>
        <v>85667.689999999988</v>
      </c>
      <c r="E100" s="211">
        <v>1.04</v>
      </c>
      <c r="F100" s="211">
        <f t="shared" si="25"/>
        <v>0</v>
      </c>
      <c r="G100" s="181">
        <v>0</v>
      </c>
      <c r="H100" s="183"/>
      <c r="I100" s="183"/>
      <c r="J100" s="182">
        <f>SUM(J95:J99)</f>
        <v>92658.18</v>
      </c>
      <c r="K100" s="169"/>
      <c r="L100" s="92"/>
      <c r="M100" s="92"/>
    </row>
    <row r="101" spans="1:13" ht="22.5" customHeight="1" x14ac:dyDescent="0.2">
      <c r="A101" s="308" t="s">
        <v>145</v>
      </c>
      <c r="B101" s="309"/>
      <c r="C101" s="309"/>
      <c r="D101" s="309"/>
      <c r="E101" s="309"/>
      <c r="F101" s="309"/>
      <c r="G101" s="309"/>
      <c r="H101" s="309"/>
      <c r="I101" s="309"/>
      <c r="J101" s="310"/>
      <c r="K101" s="169"/>
      <c r="L101" s="92"/>
      <c r="M101" s="92"/>
    </row>
    <row r="102" spans="1:13" ht="15" x14ac:dyDescent="0.25">
      <c r="A102" s="170" t="s">
        <v>142</v>
      </c>
      <c r="B102" s="171">
        <v>1</v>
      </c>
      <c r="C102" s="172">
        <v>18357.37</v>
      </c>
      <c r="D102" s="173">
        <f>B102*C102</f>
        <v>18357.37</v>
      </c>
      <c r="E102" s="167">
        <v>1.04</v>
      </c>
      <c r="F102" s="167">
        <f t="shared" si="25"/>
        <v>19091.66</v>
      </c>
      <c r="G102" s="172">
        <v>19855.330000000002</v>
      </c>
      <c r="H102" s="168">
        <f>ROUND(G102*1.04,2)</f>
        <v>20649.54</v>
      </c>
      <c r="I102" s="178">
        <f>H102</f>
        <v>20649.54</v>
      </c>
      <c r="J102" s="173">
        <f>B102*G102</f>
        <v>19855.330000000002</v>
      </c>
      <c r="K102" s="169"/>
      <c r="L102" s="92"/>
      <c r="M102" s="92"/>
    </row>
    <row r="103" spans="1:13" ht="13.5" customHeight="1" x14ac:dyDescent="0.25">
      <c r="A103" s="170" t="s">
        <v>21</v>
      </c>
      <c r="B103" s="188">
        <v>2</v>
      </c>
      <c r="C103" s="172">
        <v>14685.89</v>
      </c>
      <c r="D103" s="173">
        <f>B103*C103</f>
        <v>29371.78</v>
      </c>
      <c r="E103" s="167">
        <v>1.04</v>
      </c>
      <c r="F103" s="167">
        <f t="shared" si="25"/>
        <v>15273.33</v>
      </c>
      <c r="G103" s="172">
        <v>15884.26</v>
      </c>
      <c r="H103" s="168">
        <f t="shared" ref="H103:H105" si="30">ROUND(G103*1.04,2)</f>
        <v>16519.63</v>
      </c>
      <c r="I103" s="178">
        <f t="shared" ref="I103:I105" si="31">H103</f>
        <v>16519.63</v>
      </c>
      <c r="J103" s="173">
        <f>B103*G103</f>
        <v>31768.52</v>
      </c>
      <c r="K103" s="169"/>
      <c r="L103" s="92"/>
      <c r="M103" s="92"/>
    </row>
    <row r="104" spans="1:13" ht="15" x14ac:dyDescent="0.25">
      <c r="A104" s="170" t="s">
        <v>122</v>
      </c>
      <c r="B104" s="171">
        <v>1</v>
      </c>
      <c r="C104" s="172">
        <v>14685.89</v>
      </c>
      <c r="D104" s="173">
        <f>B104*C104</f>
        <v>14685.89</v>
      </c>
      <c r="E104" s="167">
        <v>1.04</v>
      </c>
      <c r="F104" s="167">
        <f t="shared" si="25"/>
        <v>15273.33</v>
      </c>
      <c r="G104" s="172">
        <v>15884.26</v>
      </c>
      <c r="H104" s="168">
        <f t="shared" si="30"/>
        <v>16519.63</v>
      </c>
      <c r="I104" s="178">
        <f t="shared" si="31"/>
        <v>16519.63</v>
      </c>
      <c r="J104" s="173">
        <f>B104*G104</f>
        <v>15884.26</v>
      </c>
      <c r="K104" s="169"/>
      <c r="L104" s="92"/>
      <c r="M104" s="92"/>
    </row>
    <row r="105" spans="1:13" ht="13.5" customHeight="1" x14ac:dyDescent="0.25">
      <c r="A105" s="170" t="s">
        <v>22</v>
      </c>
      <c r="B105" s="171">
        <v>1</v>
      </c>
      <c r="C105" s="172">
        <v>12238.23</v>
      </c>
      <c r="D105" s="173">
        <f>B105*C105</f>
        <v>12238.23</v>
      </c>
      <c r="E105" s="167">
        <v>1.04</v>
      </c>
      <c r="F105" s="167">
        <f t="shared" si="25"/>
        <v>12727.76</v>
      </c>
      <c r="G105" s="172">
        <v>13236.87</v>
      </c>
      <c r="H105" s="168">
        <f t="shared" si="30"/>
        <v>13766.34</v>
      </c>
      <c r="I105" s="178">
        <f t="shared" si="31"/>
        <v>13766.34</v>
      </c>
      <c r="J105" s="173">
        <f>B105*G105</f>
        <v>13236.87</v>
      </c>
      <c r="K105" s="169"/>
      <c r="L105" s="92"/>
      <c r="M105" s="92"/>
    </row>
    <row r="106" spans="1:13" ht="15.75" customHeight="1" thickBot="1" x14ac:dyDescent="0.3">
      <c r="A106" s="190" t="s">
        <v>143</v>
      </c>
      <c r="B106" s="188">
        <v>1</v>
      </c>
      <c r="C106" s="172">
        <v>11014.42</v>
      </c>
      <c r="D106" s="189">
        <f>B106*C106</f>
        <v>11014.42</v>
      </c>
      <c r="E106" s="167">
        <v>1.04</v>
      </c>
      <c r="F106" s="167">
        <f t="shared" si="25"/>
        <v>11455</v>
      </c>
      <c r="G106" s="172">
        <v>11913.2</v>
      </c>
      <c r="H106" s="168">
        <f>ROUND(G106*1.04,2)</f>
        <v>12389.73</v>
      </c>
      <c r="I106" s="178">
        <f>H106</f>
        <v>12389.73</v>
      </c>
      <c r="J106" s="189">
        <f>B106*G106</f>
        <v>11913.2</v>
      </c>
      <c r="K106" s="169"/>
      <c r="L106" s="92"/>
      <c r="M106" s="92"/>
    </row>
    <row r="107" spans="1:13" ht="15" thickBot="1" x14ac:dyDescent="0.25">
      <c r="A107" s="192" t="s">
        <v>144</v>
      </c>
      <c r="B107" s="180">
        <f>SUM(B102:B106)</f>
        <v>6</v>
      </c>
      <c r="C107" s="181"/>
      <c r="D107" s="182">
        <f>SUM(D102:D106)</f>
        <v>85667.689999999988</v>
      </c>
      <c r="E107" s="167">
        <v>1.04</v>
      </c>
      <c r="F107" s="167">
        <f t="shared" si="25"/>
        <v>0</v>
      </c>
      <c r="G107" s="181">
        <v>0</v>
      </c>
      <c r="H107" s="183"/>
      <c r="I107" s="183"/>
      <c r="J107" s="182">
        <f>SUM(J102:J106)</f>
        <v>92658.18</v>
      </c>
      <c r="K107" s="169"/>
      <c r="L107" s="92"/>
      <c r="M107" s="92"/>
    </row>
    <row r="108" spans="1:13" ht="24.75" customHeight="1" x14ac:dyDescent="0.2">
      <c r="A108" s="308" t="s">
        <v>146</v>
      </c>
      <c r="B108" s="309"/>
      <c r="C108" s="309"/>
      <c r="D108" s="309"/>
      <c r="E108" s="309"/>
      <c r="F108" s="309"/>
      <c r="G108" s="309"/>
      <c r="H108" s="309"/>
      <c r="I108" s="309"/>
      <c r="J108" s="310"/>
      <c r="K108" s="169"/>
      <c r="L108" s="92"/>
      <c r="M108" s="92"/>
    </row>
    <row r="109" spans="1:13" ht="15" x14ac:dyDescent="0.25">
      <c r="A109" s="170" t="s">
        <v>142</v>
      </c>
      <c r="B109" s="171">
        <v>1</v>
      </c>
      <c r="C109" s="172">
        <v>18357.37</v>
      </c>
      <c r="D109" s="173">
        <f>B109*C109</f>
        <v>18357.37</v>
      </c>
      <c r="E109" s="167">
        <v>1.04</v>
      </c>
      <c r="F109" s="167">
        <f t="shared" si="25"/>
        <v>19091.66</v>
      </c>
      <c r="G109" s="172">
        <v>19855.330000000002</v>
      </c>
      <c r="H109" s="168">
        <f>ROUND(G109*1.04,2)</f>
        <v>20649.54</v>
      </c>
      <c r="I109" s="178">
        <f>H109</f>
        <v>20649.54</v>
      </c>
      <c r="J109" s="173">
        <f>B109*G109</f>
        <v>19855.330000000002</v>
      </c>
      <c r="K109" s="169"/>
      <c r="L109" s="92"/>
      <c r="M109" s="92"/>
    </row>
    <row r="110" spans="1:13" ht="15" x14ac:dyDescent="0.25">
      <c r="A110" s="170" t="s">
        <v>21</v>
      </c>
      <c r="B110" s="171">
        <v>3</v>
      </c>
      <c r="C110" s="172">
        <v>14685.89</v>
      </c>
      <c r="D110" s="173">
        <f>B110*C110</f>
        <v>44057.67</v>
      </c>
      <c r="E110" s="167">
        <v>1.04</v>
      </c>
      <c r="F110" s="167">
        <f t="shared" si="25"/>
        <v>15273.33</v>
      </c>
      <c r="G110" s="172">
        <v>15884.26</v>
      </c>
      <c r="H110" s="168">
        <f t="shared" ref="H110:H111" si="32">ROUND(G110*1.04,2)</f>
        <v>16519.63</v>
      </c>
      <c r="I110" s="178">
        <f t="shared" ref="I110:I111" si="33">H110</f>
        <v>16519.63</v>
      </c>
      <c r="J110" s="173">
        <f>B110*G110</f>
        <v>47652.78</v>
      </c>
      <c r="K110" s="169"/>
      <c r="L110" s="92"/>
      <c r="M110" s="92"/>
    </row>
    <row r="111" spans="1:13" ht="15" x14ac:dyDescent="0.25">
      <c r="A111" s="170" t="s">
        <v>22</v>
      </c>
      <c r="B111" s="171">
        <v>2</v>
      </c>
      <c r="C111" s="172">
        <v>12238.23</v>
      </c>
      <c r="D111" s="173">
        <f>B111*C111</f>
        <v>24476.46</v>
      </c>
      <c r="E111" s="167">
        <v>1.04</v>
      </c>
      <c r="F111" s="167">
        <f t="shared" si="25"/>
        <v>12727.76</v>
      </c>
      <c r="G111" s="172">
        <v>13236.87</v>
      </c>
      <c r="H111" s="168">
        <f t="shared" si="32"/>
        <v>13766.34</v>
      </c>
      <c r="I111" s="178">
        <f t="shared" si="33"/>
        <v>13766.34</v>
      </c>
      <c r="J111" s="173">
        <f>B111*G111</f>
        <v>26473.74</v>
      </c>
      <c r="K111" s="169"/>
      <c r="L111" s="92"/>
      <c r="M111" s="92"/>
    </row>
    <row r="112" spans="1:13" ht="15.75" thickBot="1" x14ac:dyDescent="0.3">
      <c r="A112" s="190" t="s">
        <v>143</v>
      </c>
      <c r="B112" s="188">
        <v>1</v>
      </c>
      <c r="C112" s="172">
        <v>11014.42</v>
      </c>
      <c r="D112" s="189">
        <f>B112*C112</f>
        <v>11014.42</v>
      </c>
      <c r="E112" s="167">
        <v>1.04</v>
      </c>
      <c r="F112" s="167">
        <f t="shared" si="25"/>
        <v>11455</v>
      </c>
      <c r="G112" s="172">
        <v>11913.2</v>
      </c>
      <c r="H112" s="168">
        <f>ROUND(G112*1.04,2)</f>
        <v>12389.73</v>
      </c>
      <c r="I112" s="178">
        <f>H112</f>
        <v>12389.73</v>
      </c>
      <c r="J112" s="189">
        <f>B112*G112</f>
        <v>11913.2</v>
      </c>
      <c r="K112" s="169"/>
      <c r="L112" s="92"/>
      <c r="M112" s="92"/>
    </row>
    <row r="113" spans="1:13" ht="15" thickBot="1" x14ac:dyDescent="0.25">
      <c r="A113" s="192" t="s">
        <v>144</v>
      </c>
      <c r="B113" s="180">
        <f>SUM(B109:B112)</f>
        <v>7</v>
      </c>
      <c r="C113" s="180"/>
      <c r="D113" s="182">
        <f>SUM(D109:D112)</f>
        <v>97905.919999999998</v>
      </c>
      <c r="E113" s="167">
        <v>1.04</v>
      </c>
      <c r="F113" s="167">
        <f t="shared" si="25"/>
        <v>0</v>
      </c>
      <c r="G113" s="181">
        <v>0</v>
      </c>
      <c r="H113" s="183"/>
      <c r="I113" s="183"/>
      <c r="J113" s="182">
        <f>SUM(J109:J112)</f>
        <v>105895.05</v>
      </c>
      <c r="K113" s="169"/>
      <c r="L113" s="92"/>
      <c r="M113" s="92"/>
    </row>
    <row r="114" spans="1:13" ht="18.75" customHeight="1" x14ac:dyDescent="0.2">
      <c r="A114" s="308" t="s">
        <v>147</v>
      </c>
      <c r="B114" s="309"/>
      <c r="C114" s="309"/>
      <c r="D114" s="309"/>
      <c r="E114" s="309"/>
      <c r="F114" s="309"/>
      <c r="G114" s="309"/>
      <c r="H114" s="309"/>
      <c r="I114" s="309"/>
      <c r="J114" s="310"/>
      <c r="K114" s="169"/>
      <c r="L114" s="92"/>
      <c r="M114" s="92"/>
    </row>
    <row r="115" spans="1:13" ht="15" x14ac:dyDescent="0.25">
      <c r="A115" s="170" t="s">
        <v>142</v>
      </c>
      <c r="B115" s="171">
        <v>1</v>
      </c>
      <c r="C115" s="172">
        <v>18357.37</v>
      </c>
      <c r="D115" s="173">
        <f>B115*C115</f>
        <v>18357.37</v>
      </c>
      <c r="E115" s="167">
        <v>1.04</v>
      </c>
      <c r="F115" s="167">
        <f t="shared" si="25"/>
        <v>19091.66</v>
      </c>
      <c r="G115" s="172">
        <v>19855.330000000002</v>
      </c>
      <c r="H115" s="168">
        <f>ROUND(G115*1.04,2)</f>
        <v>20649.54</v>
      </c>
      <c r="I115" s="178">
        <f>H115</f>
        <v>20649.54</v>
      </c>
      <c r="J115" s="173">
        <f>B115*G115</f>
        <v>19855.330000000002</v>
      </c>
      <c r="K115" s="169"/>
      <c r="L115" s="92"/>
      <c r="M115" s="92"/>
    </row>
    <row r="116" spans="1:13" ht="15" x14ac:dyDescent="0.25">
      <c r="A116" s="170" t="s">
        <v>22</v>
      </c>
      <c r="B116" s="171">
        <v>2</v>
      </c>
      <c r="C116" s="172">
        <v>12238.23</v>
      </c>
      <c r="D116" s="173">
        <f>B116*C116</f>
        <v>24476.46</v>
      </c>
      <c r="E116" s="167">
        <v>1.04</v>
      </c>
      <c r="F116" s="167">
        <f t="shared" si="25"/>
        <v>12727.76</v>
      </c>
      <c r="G116" s="172">
        <v>13236.87</v>
      </c>
      <c r="H116" s="168">
        <f t="shared" ref="H116:H119" si="34">ROUND(G116*1.04,2)</f>
        <v>13766.34</v>
      </c>
      <c r="I116" s="178">
        <f t="shared" ref="I116:I119" si="35">H116</f>
        <v>13766.34</v>
      </c>
      <c r="J116" s="173">
        <f>B116*G116</f>
        <v>26473.74</v>
      </c>
      <c r="K116" s="169"/>
      <c r="L116" s="92"/>
      <c r="M116" s="92"/>
    </row>
    <row r="117" spans="1:13" ht="15" x14ac:dyDescent="0.25">
      <c r="A117" s="170" t="s">
        <v>122</v>
      </c>
      <c r="B117" s="171">
        <v>2</v>
      </c>
      <c r="C117" s="172">
        <v>14685.89</v>
      </c>
      <c r="D117" s="173">
        <f>B117*C117</f>
        <v>29371.78</v>
      </c>
      <c r="E117" s="167">
        <v>1.04</v>
      </c>
      <c r="F117" s="167">
        <f t="shared" si="25"/>
        <v>15273.33</v>
      </c>
      <c r="G117" s="172">
        <v>15884.26</v>
      </c>
      <c r="H117" s="168">
        <f t="shared" si="34"/>
        <v>16519.63</v>
      </c>
      <c r="I117" s="178">
        <f t="shared" si="35"/>
        <v>16519.63</v>
      </c>
      <c r="J117" s="173">
        <f>B117*G117</f>
        <v>31768.52</v>
      </c>
      <c r="K117" s="169"/>
      <c r="L117" s="92"/>
      <c r="M117" s="92"/>
    </row>
    <row r="118" spans="1:13" ht="15" x14ac:dyDescent="0.25">
      <c r="A118" s="170" t="s">
        <v>21</v>
      </c>
      <c r="B118" s="171">
        <v>1</v>
      </c>
      <c r="C118" s="172">
        <v>14685.89</v>
      </c>
      <c r="D118" s="173">
        <f>B118*C118</f>
        <v>14685.89</v>
      </c>
      <c r="E118" s="167">
        <v>1.04</v>
      </c>
      <c r="F118" s="167">
        <f t="shared" si="25"/>
        <v>15273.33</v>
      </c>
      <c r="G118" s="172">
        <v>15884.26</v>
      </c>
      <c r="H118" s="168">
        <f t="shared" si="34"/>
        <v>16519.63</v>
      </c>
      <c r="I118" s="178">
        <f t="shared" si="35"/>
        <v>16519.63</v>
      </c>
      <c r="J118" s="173">
        <f>B118*G118</f>
        <v>15884.26</v>
      </c>
      <c r="K118" s="169"/>
      <c r="L118" s="92"/>
      <c r="M118" s="92"/>
    </row>
    <row r="119" spans="1:13" ht="15.75" thickBot="1" x14ac:dyDescent="0.3">
      <c r="A119" s="212" t="s">
        <v>143</v>
      </c>
      <c r="B119" s="213">
        <v>1</v>
      </c>
      <c r="C119" s="172">
        <v>11014.42</v>
      </c>
      <c r="D119" s="214">
        <f>B119*C119</f>
        <v>11014.42</v>
      </c>
      <c r="E119" s="167">
        <v>1.04</v>
      </c>
      <c r="F119" s="167">
        <f t="shared" si="25"/>
        <v>11455</v>
      </c>
      <c r="G119" s="172">
        <v>11913.2</v>
      </c>
      <c r="H119" s="168">
        <f t="shared" si="34"/>
        <v>12389.73</v>
      </c>
      <c r="I119" s="178">
        <f t="shared" si="35"/>
        <v>12389.73</v>
      </c>
      <c r="J119" s="214">
        <f>B119*G119</f>
        <v>11913.2</v>
      </c>
      <c r="K119" s="169"/>
      <c r="L119" s="92"/>
      <c r="M119" s="92"/>
    </row>
    <row r="120" spans="1:13" ht="15" thickBot="1" x14ac:dyDescent="0.25">
      <c r="A120" s="192" t="s">
        <v>144</v>
      </c>
      <c r="B120" s="180">
        <f>SUM(B115:B119)</f>
        <v>7</v>
      </c>
      <c r="C120" s="181"/>
      <c r="D120" s="182">
        <f>SUM(D115:D119)</f>
        <v>97905.919999999998</v>
      </c>
      <c r="E120" s="167">
        <v>1.04</v>
      </c>
      <c r="F120" s="167">
        <f t="shared" si="25"/>
        <v>0</v>
      </c>
      <c r="G120" s="181">
        <v>0</v>
      </c>
      <c r="H120" s="183"/>
      <c r="I120" s="183"/>
      <c r="J120" s="182">
        <f>SUM(J115:J119)</f>
        <v>105895.05</v>
      </c>
      <c r="K120" s="169"/>
      <c r="L120" s="92"/>
      <c r="M120" s="92"/>
    </row>
    <row r="121" spans="1:13" ht="18" customHeight="1" x14ac:dyDescent="0.2">
      <c r="A121" s="308" t="s">
        <v>148</v>
      </c>
      <c r="B121" s="309"/>
      <c r="C121" s="309"/>
      <c r="D121" s="309"/>
      <c r="E121" s="309"/>
      <c r="F121" s="309"/>
      <c r="G121" s="309"/>
      <c r="H121" s="309"/>
      <c r="I121" s="309"/>
      <c r="J121" s="310"/>
      <c r="K121" s="169"/>
      <c r="L121" s="92"/>
      <c r="M121" s="92"/>
    </row>
    <row r="122" spans="1:13" ht="15" x14ac:dyDescent="0.25">
      <c r="A122" s="170" t="s">
        <v>142</v>
      </c>
      <c r="B122" s="171">
        <v>1</v>
      </c>
      <c r="C122" s="172">
        <v>18357.37</v>
      </c>
      <c r="D122" s="173">
        <f>B122*C122</f>
        <v>18357.37</v>
      </c>
      <c r="E122" s="167">
        <v>1.04</v>
      </c>
      <c r="F122" s="167">
        <f t="shared" si="25"/>
        <v>19091.66</v>
      </c>
      <c r="G122" s="172">
        <v>19855.330000000002</v>
      </c>
      <c r="H122" s="168">
        <f>ROUND(G122*1.04,2)</f>
        <v>20649.54</v>
      </c>
      <c r="I122" s="178">
        <f>H122</f>
        <v>20649.54</v>
      </c>
      <c r="J122" s="173">
        <f>B122*G122</f>
        <v>19855.330000000002</v>
      </c>
      <c r="K122" s="169"/>
      <c r="L122" s="92"/>
      <c r="M122" s="92"/>
    </row>
    <row r="123" spans="1:13" ht="15" x14ac:dyDescent="0.25">
      <c r="A123" s="170" t="s">
        <v>21</v>
      </c>
      <c r="B123" s="188">
        <v>1</v>
      </c>
      <c r="C123" s="172">
        <v>14685.89</v>
      </c>
      <c r="D123" s="173">
        <f>B123*C123</f>
        <v>14685.89</v>
      </c>
      <c r="E123" s="167">
        <v>1.04</v>
      </c>
      <c r="F123" s="167">
        <f t="shared" si="25"/>
        <v>15273.33</v>
      </c>
      <c r="G123" s="172">
        <v>15884.26</v>
      </c>
      <c r="H123" s="168">
        <f t="shared" ref="H123:H125" si="36">ROUND(G123*1.04,2)</f>
        <v>16519.63</v>
      </c>
      <c r="I123" s="178">
        <f t="shared" ref="I123:I125" si="37">H123</f>
        <v>16519.63</v>
      </c>
      <c r="J123" s="173">
        <f>B123*G123</f>
        <v>15884.26</v>
      </c>
      <c r="K123" s="169"/>
      <c r="L123" s="92"/>
      <c r="M123" s="92"/>
    </row>
    <row r="124" spans="1:13" ht="15" x14ac:dyDescent="0.25">
      <c r="A124" s="170" t="s">
        <v>122</v>
      </c>
      <c r="B124" s="171">
        <v>1</v>
      </c>
      <c r="C124" s="172">
        <v>14685.89</v>
      </c>
      <c r="D124" s="173">
        <f>B124*C124</f>
        <v>14685.89</v>
      </c>
      <c r="E124" s="167">
        <v>1.04</v>
      </c>
      <c r="F124" s="167">
        <f t="shared" si="25"/>
        <v>15273.33</v>
      </c>
      <c r="G124" s="172">
        <v>15884.26</v>
      </c>
      <c r="H124" s="168">
        <f t="shared" si="36"/>
        <v>16519.63</v>
      </c>
      <c r="I124" s="178">
        <f t="shared" si="37"/>
        <v>16519.63</v>
      </c>
      <c r="J124" s="173">
        <f>B124*G124</f>
        <v>15884.26</v>
      </c>
      <c r="K124" s="169"/>
      <c r="L124" s="92"/>
      <c r="M124" s="92"/>
    </row>
    <row r="125" spans="1:13" ht="15" x14ac:dyDescent="0.25">
      <c r="A125" s="170" t="s">
        <v>22</v>
      </c>
      <c r="B125" s="171">
        <v>1</v>
      </c>
      <c r="C125" s="172">
        <v>12238.23</v>
      </c>
      <c r="D125" s="173">
        <f>B125*C125</f>
        <v>12238.23</v>
      </c>
      <c r="E125" s="167">
        <v>1.04</v>
      </c>
      <c r="F125" s="167">
        <f t="shared" si="25"/>
        <v>12727.76</v>
      </c>
      <c r="G125" s="172">
        <v>13236.87</v>
      </c>
      <c r="H125" s="168">
        <f t="shared" si="36"/>
        <v>13766.34</v>
      </c>
      <c r="I125" s="178">
        <f t="shared" si="37"/>
        <v>13766.34</v>
      </c>
      <c r="J125" s="173">
        <f>B125*G125</f>
        <v>13236.87</v>
      </c>
      <c r="K125" s="169"/>
      <c r="L125" s="92"/>
      <c r="M125" s="92"/>
    </row>
    <row r="126" spans="1:13" ht="15.75" thickBot="1" x14ac:dyDescent="0.3">
      <c r="A126" s="190" t="s">
        <v>143</v>
      </c>
      <c r="B126" s="188">
        <v>1</v>
      </c>
      <c r="C126" s="172">
        <v>11014.42</v>
      </c>
      <c r="D126" s="189">
        <f>B126*C126</f>
        <v>11014.42</v>
      </c>
      <c r="E126" s="167">
        <v>1.04</v>
      </c>
      <c r="F126" s="167">
        <f t="shared" si="25"/>
        <v>11455</v>
      </c>
      <c r="G126" s="172">
        <v>11913.2</v>
      </c>
      <c r="H126" s="168">
        <f>ROUND(G126*1.04,2)</f>
        <v>12389.73</v>
      </c>
      <c r="I126" s="178">
        <f>H126</f>
        <v>12389.73</v>
      </c>
      <c r="J126" s="189">
        <f>B126*G126</f>
        <v>11913.2</v>
      </c>
      <c r="K126" s="169"/>
      <c r="L126" s="92"/>
      <c r="M126" s="92"/>
    </row>
    <row r="127" spans="1:13" ht="15" thickBot="1" x14ac:dyDescent="0.25">
      <c r="A127" s="192" t="s">
        <v>144</v>
      </c>
      <c r="B127" s="180">
        <f>SUM(B122:B126)</f>
        <v>5</v>
      </c>
      <c r="C127" s="181"/>
      <c r="D127" s="182">
        <f>SUM(D122:D126)</f>
        <v>70981.799999999988</v>
      </c>
      <c r="E127" s="167">
        <v>1.04</v>
      </c>
      <c r="F127" s="167">
        <f t="shared" si="25"/>
        <v>0</v>
      </c>
      <c r="G127" s="181">
        <v>0</v>
      </c>
      <c r="H127" s="183"/>
      <c r="I127" s="183"/>
      <c r="J127" s="182">
        <f>SUM(J122:J126)</f>
        <v>76773.920000000013</v>
      </c>
      <c r="K127" s="169"/>
      <c r="L127" s="92"/>
      <c r="M127" s="92"/>
    </row>
    <row r="128" spans="1:13" ht="17.25" customHeight="1" x14ac:dyDescent="0.2">
      <c r="A128" s="308" t="s">
        <v>149</v>
      </c>
      <c r="B128" s="309"/>
      <c r="C128" s="309"/>
      <c r="D128" s="309"/>
      <c r="E128" s="309"/>
      <c r="F128" s="309"/>
      <c r="G128" s="309"/>
      <c r="H128" s="309"/>
      <c r="I128" s="309"/>
      <c r="J128" s="310"/>
      <c r="K128" s="169"/>
      <c r="L128" s="92"/>
      <c r="M128" s="92"/>
    </row>
    <row r="129" spans="1:14" ht="15" x14ac:dyDescent="0.25">
      <c r="A129" s="170" t="s">
        <v>142</v>
      </c>
      <c r="B129" s="171">
        <v>1</v>
      </c>
      <c r="C129" s="172">
        <v>18357.37</v>
      </c>
      <c r="D129" s="173">
        <f>B129*C129</f>
        <v>18357.37</v>
      </c>
      <c r="E129" s="167">
        <v>1.04</v>
      </c>
      <c r="F129" s="167">
        <f t="shared" si="25"/>
        <v>19091.66</v>
      </c>
      <c r="G129" s="172">
        <v>19855.330000000002</v>
      </c>
      <c r="H129" s="168">
        <f>ROUND(G129*1.04,2)</f>
        <v>20649.54</v>
      </c>
      <c r="I129" s="178">
        <f>H129</f>
        <v>20649.54</v>
      </c>
      <c r="J129" s="173">
        <f>B129*G129</f>
        <v>19855.330000000002</v>
      </c>
      <c r="K129" s="169"/>
      <c r="L129" s="92"/>
      <c r="M129" s="92"/>
    </row>
    <row r="130" spans="1:14" ht="15" x14ac:dyDescent="0.25">
      <c r="A130" s="170" t="s">
        <v>21</v>
      </c>
      <c r="B130" s="188">
        <v>2</v>
      </c>
      <c r="C130" s="172">
        <v>14685.89</v>
      </c>
      <c r="D130" s="173">
        <f>B130*C130</f>
        <v>29371.78</v>
      </c>
      <c r="E130" s="167">
        <v>1.04</v>
      </c>
      <c r="F130" s="167">
        <f t="shared" si="25"/>
        <v>15273.33</v>
      </c>
      <c r="G130" s="172">
        <v>15884.26</v>
      </c>
      <c r="H130" s="168">
        <f t="shared" ref="H130:H133" si="38">ROUND(G130*1.04,2)</f>
        <v>16519.63</v>
      </c>
      <c r="I130" s="178">
        <f t="shared" ref="I130:I133" si="39">H130</f>
        <v>16519.63</v>
      </c>
      <c r="J130" s="173">
        <f>B130*G130</f>
        <v>31768.52</v>
      </c>
      <c r="K130" s="169"/>
      <c r="L130" s="92"/>
      <c r="M130" s="92"/>
    </row>
    <row r="131" spans="1:14" ht="15" hidden="1" outlineLevel="1" x14ac:dyDescent="0.25">
      <c r="A131" s="215" t="s">
        <v>122</v>
      </c>
      <c r="B131" s="216">
        <f>1-1</f>
        <v>0</v>
      </c>
      <c r="C131" s="217">
        <v>14685.89</v>
      </c>
      <c r="D131" s="218">
        <f>B131*C131</f>
        <v>0</v>
      </c>
      <c r="E131" s="219">
        <v>1.04</v>
      </c>
      <c r="F131" s="219">
        <f t="shared" si="25"/>
        <v>15273.33</v>
      </c>
      <c r="G131" s="217">
        <v>15884.26</v>
      </c>
      <c r="H131" s="220">
        <f t="shared" si="38"/>
        <v>16519.63</v>
      </c>
      <c r="I131" s="221">
        <f t="shared" si="39"/>
        <v>16519.63</v>
      </c>
      <c r="J131" s="218">
        <f>B131*G131</f>
        <v>0</v>
      </c>
      <c r="K131" s="169"/>
      <c r="L131" s="92"/>
      <c r="M131" s="92"/>
    </row>
    <row r="132" spans="1:14" ht="15" collapsed="1" x14ac:dyDescent="0.25">
      <c r="A132" s="170" t="s">
        <v>22</v>
      </c>
      <c r="B132" s="171">
        <v>2</v>
      </c>
      <c r="C132" s="172">
        <v>12238.23</v>
      </c>
      <c r="D132" s="173">
        <f>B132*C132</f>
        <v>24476.46</v>
      </c>
      <c r="E132" s="167">
        <v>1.04</v>
      </c>
      <c r="F132" s="167">
        <f t="shared" si="25"/>
        <v>12727.76</v>
      </c>
      <c r="G132" s="172">
        <v>13236.87</v>
      </c>
      <c r="H132" s="168">
        <f t="shared" si="38"/>
        <v>13766.34</v>
      </c>
      <c r="I132" s="178">
        <f t="shared" si="39"/>
        <v>13766.34</v>
      </c>
      <c r="J132" s="173">
        <f>B132*G132</f>
        <v>26473.74</v>
      </c>
      <c r="K132" s="169"/>
      <c r="L132" s="92"/>
      <c r="M132" s="92"/>
    </row>
    <row r="133" spans="1:14" ht="15.75" thickBot="1" x14ac:dyDescent="0.3">
      <c r="A133" s="190" t="s">
        <v>143</v>
      </c>
      <c r="B133" s="188">
        <v>1</v>
      </c>
      <c r="C133" s="172">
        <v>11014.42</v>
      </c>
      <c r="D133" s="189">
        <f>B133*C133</f>
        <v>11014.42</v>
      </c>
      <c r="E133" s="167">
        <v>1.04</v>
      </c>
      <c r="F133" s="167">
        <f t="shared" si="25"/>
        <v>11455</v>
      </c>
      <c r="G133" s="172">
        <v>11913.2</v>
      </c>
      <c r="H133" s="168">
        <f t="shared" si="38"/>
        <v>12389.73</v>
      </c>
      <c r="I133" s="178">
        <f t="shared" si="39"/>
        <v>12389.73</v>
      </c>
      <c r="J133" s="189">
        <f>B133*G133</f>
        <v>11913.2</v>
      </c>
      <c r="K133" s="169"/>
      <c r="L133" s="92"/>
      <c r="M133" s="92"/>
    </row>
    <row r="134" spans="1:14" ht="15" thickBot="1" x14ac:dyDescent="0.25">
      <c r="A134" s="192" t="s">
        <v>144</v>
      </c>
      <c r="B134" s="180">
        <f>SUM(B129:B133)</f>
        <v>6</v>
      </c>
      <c r="C134" s="181"/>
      <c r="D134" s="182">
        <f>SUM(D129:D133)</f>
        <v>83220.029999999984</v>
      </c>
      <c r="E134" s="167">
        <v>1.04</v>
      </c>
      <c r="F134" s="167">
        <f t="shared" si="25"/>
        <v>0</v>
      </c>
      <c r="G134" s="181">
        <v>0</v>
      </c>
      <c r="H134" s="183"/>
      <c r="I134" s="183"/>
      <c r="J134" s="182">
        <f>SUM(J129:J133)</f>
        <v>90010.790000000008</v>
      </c>
      <c r="K134" s="169"/>
      <c r="L134" s="145"/>
      <c r="M134" s="145"/>
    </row>
    <row r="135" spans="1:14" ht="15" thickBot="1" x14ac:dyDescent="0.25">
      <c r="A135" s="192" t="s">
        <v>150</v>
      </c>
      <c r="B135" s="180">
        <f>+B134+B127+B120+B113+B107+B100</f>
        <v>37</v>
      </c>
      <c r="C135" s="180"/>
      <c r="D135" s="182">
        <f>+D134+D127+D120+D113+D107+D100</f>
        <v>521349.04999999993</v>
      </c>
      <c r="E135" s="167">
        <v>1.04</v>
      </c>
      <c r="F135" s="167">
        <f t="shared" si="25"/>
        <v>0</v>
      </c>
      <c r="G135" s="181">
        <v>0</v>
      </c>
      <c r="H135" s="183"/>
      <c r="I135" s="183"/>
      <c r="J135" s="182">
        <f>+J134+J127+J120+J113+J107+J100</f>
        <v>563891.16999999993</v>
      </c>
      <c r="K135" s="169"/>
      <c r="L135" s="145"/>
      <c r="M135" s="145"/>
    </row>
    <row r="136" spans="1:14" ht="15" thickBot="1" x14ac:dyDescent="0.25">
      <c r="A136" s="192" t="s">
        <v>151</v>
      </c>
      <c r="B136" s="180">
        <f>B135+B90</f>
        <v>123</v>
      </c>
      <c r="C136" s="180"/>
      <c r="D136" s="182">
        <f>D135+D90</f>
        <v>1934620.7000000002</v>
      </c>
      <c r="E136" s="222">
        <v>1.04</v>
      </c>
      <c r="F136" s="222">
        <f t="shared" si="25"/>
        <v>0</v>
      </c>
      <c r="G136" s="181">
        <v>0</v>
      </c>
      <c r="H136" s="183"/>
      <c r="I136" s="183"/>
      <c r="J136" s="182">
        <f>J135+J90</f>
        <v>2114723.4899999998</v>
      </c>
      <c r="K136" s="169"/>
      <c r="L136" s="233"/>
      <c r="M136" s="223"/>
      <c r="N136" s="92"/>
    </row>
    <row r="137" spans="1:14" ht="14.25" x14ac:dyDescent="0.2">
      <c r="A137" s="224"/>
      <c r="B137" s="224"/>
      <c r="C137" s="224"/>
      <c r="D137" s="225"/>
      <c r="E137" s="167"/>
      <c r="F137" s="167"/>
      <c r="G137" s="224"/>
      <c r="H137" s="224"/>
      <c r="I137" s="224"/>
      <c r="J137" s="225"/>
      <c r="K137" s="169"/>
      <c r="L137" s="145"/>
      <c r="M137" s="223"/>
    </row>
    <row r="138" spans="1:14" ht="14.25" x14ac:dyDescent="0.2">
      <c r="A138" s="224"/>
      <c r="B138" s="224"/>
      <c r="C138" s="224"/>
      <c r="D138" s="225"/>
      <c r="E138" s="167"/>
      <c r="F138" s="167"/>
      <c r="G138" s="224"/>
      <c r="H138" s="224"/>
      <c r="I138" s="224"/>
      <c r="J138" s="225"/>
      <c r="K138" s="169"/>
      <c r="L138" s="145"/>
      <c r="M138" s="223"/>
    </row>
    <row r="139" spans="1:14" ht="15" x14ac:dyDescent="0.25">
      <c r="A139" s="226" t="s">
        <v>9</v>
      </c>
      <c r="B139" s="226"/>
      <c r="C139" s="227"/>
      <c r="D139" s="228" t="s">
        <v>152</v>
      </c>
      <c r="E139" s="145"/>
      <c r="F139" s="145"/>
      <c r="G139" s="227"/>
      <c r="H139" s="227"/>
      <c r="I139" s="227"/>
      <c r="J139" s="228" t="s">
        <v>153</v>
      </c>
      <c r="K139" s="169"/>
      <c r="L139" s="145"/>
      <c r="M139" s="223"/>
    </row>
    <row r="140" spans="1:14" ht="15" x14ac:dyDescent="0.25">
      <c r="A140" s="226"/>
      <c r="B140" s="226"/>
      <c r="C140" s="227"/>
      <c r="D140" s="229" t="s">
        <v>154</v>
      </c>
      <c r="E140" s="145"/>
      <c r="F140" s="145"/>
      <c r="G140" s="227"/>
      <c r="H140" s="227"/>
      <c r="I140" s="227"/>
      <c r="J140" s="229" t="s">
        <v>154</v>
      </c>
      <c r="K140" s="169"/>
      <c r="L140" s="145"/>
      <c r="M140" s="223"/>
    </row>
    <row r="141" spans="1:14" ht="16.5" customHeight="1" x14ac:dyDescent="0.2">
      <c r="A141" s="224"/>
      <c r="B141" s="224"/>
      <c r="C141" s="230"/>
      <c r="D141" s="225"/>
      <c r="E141" s="145"/>
      <c r="F141" s="145"/>
      <c r="G141" s="230"/>
      <c r="H141" s="230"/>
      <c r="I141" s="230"/>
      <c r="J141" s="225"/>
      <c r="K141" s="145"/>
      <c r="L141" s="145"/>
      <c r="M141" s="145"/>
    </row>
    <row r="142" spans="1:14" ht="15" hidden="1" x14ac:dyDescent="0.25">
      <c r="A142" s="145"/>
      <c r="B142" s="145"/>
      <c r="C142" s="231"/>
      <c r="D142" s="223"/>
      <c r="E142" s="145"/>
      <c r="F142" s="145"/>
      <c r="G142" s="231"/>
      <c r="H142" s="231"/>
      <c r="I142" s="231"/>
      <c r="J142" s="223"/>
      <c r="K142" s="145"/>
      <c r="L142" s="145"/>
      <c r="M142" s="145"/>
    </row>
    <row r="143" spans="1:14" ht="15" x14ac:dyDescent="0.25">
      <c r="A143" s="226" t="s">
        <v>155</v>
      </c>
      <c r="B143" s="226"/>
      <c r="C143" s="227"/>
      <c r="D143" s="228" t="s">
        <v>152</v>
      </c>
      <c r="E143" s="145"/>
      <c r="F143" s="145"/>
      <c r="G143" s="227"/>
      <c r="H143" s="227"/>
      <c r="I143" s="227"/>
      <c r="J143" s="228" t="s">
        <v>152</v>
      </c>
      <c r="K143" s="145"/>
      <c r="L143" s="145"/>
      <c r="M143" s="145"/>
    </row>
    <row r="144" spans="1:14" ht="15" x14ac:dyDescent="0.25">
      <c r="A144" s="226"/>
      <c r="B144" s="226"/>
      <c r="C144" s="227"/>
      <c r="D144" s="229" t="s">
        <v>154</v>
      </c>
      <c r="E144" s="145"/>
      <c r="F144" s="145"/>
      <c r="G144" s="227"/>
      <c r="H144" s="227"/>
      <c r="I144" s="227"/>
      <c r="J144" s="229" t="s">
        <v>154</v>
      </c>
      <c r="K144" s="145"/>
      <c r="L144" s="145"/>
      <c r="M144" s="145"/>
    </row>
    <row r="145" spans="1:10" ht="15" x14ac:dyDescent="0.25">
      <c r="A145" s="226"/>
      <c r="B145" s="226"/>
      <c r="C145" s="227"/>
      <c r="D145" s="232"/>
      <c r="E145" s="145"/>
      <c r="F145" s="145"/>
      <c r="G145" s="227"/>
      <c r="H145" s="227"/>
      <c r="I145" s="227"/>
      <c r="J145" s="232"/>
    </row>
    <row r="146" spans="1:10" ht="15" x14ac:dyDescent="0.25">
      <c r="A146" s="226" t="s">
        <v>156</v>
      </c>
      <c r="B146" s="226"/>
      <c r="C146" s="227"/>
      <c r="D146" s="228" t="s">
        <v>157</v>
      </c>
      <c r="E146" s="145"/>
      <c r="F146" s="145"/>
      <c r="G146" s="227"/>
      <c r="H146" s="227"/>
      <c r="I146" s="227"/>
      <c r="J146" s="228" t="s">
        <v>157</v>
      </c>
    </row>
    <row r="147" spans="1:10" ht="15" x14ac:dyDescent="0.25">
      <c r="A147" s="145"/>
      <c r="B147" s="145"/>
      <c r="C147" s="231"/>
      <c r="D147" s="229" t="s">
        <v>154</v>
      </c>
      <c r="E147" s="145"/>
      <c r="F147" s="145"/>
      <c r="G147" s="231"/>
      <c r="H147" s="231"/>
      <c r="I147" s="231"/>
      <c r="J147" s="229" t="s">
        <v>154</v>
      </c>
    </row>
    <row r="148" spans="1:10" ht="15" hidden="1" x14ac:dyDescent="0.25">
      <c r="A148" s="145"/>
      <c r="B148" s="145"/>
      <c r="C148" s="231"/>
      <c r="D148" s="223"/>
      <c r="E148" s="145"/>
      <c r="F148" s="145"/>
      <c r="G148" s="231"/>
      <c r="H148" s="231"/>
      <c r="I148" s="231"/>
      <c r="J148" s="223"/>
    </row>
    <row r="149" spans="1:10" ht="15" x14ac:dyDescent="0.25">
      <c r="A149" s="145"/>
      <c r="B149" s="145"/>
      <c r="C149" s="231"/>
      <c r="D149" s="223"/>
      <c r="E149" s="145"/>
      <c r="F149" s="145"/>
      <c r="G149" s="231"/>
      <c r="H149" s="231"/>
      <c r="I149" s="231"/>
      <c r="J149" s="223"/>
    </row>
  </sheetData>
  <mergeCells count="25">
    <mergeCell ref="A128:J128"/>
    <mergeCell ref="A93:J93"/>
    <mergeCell ref="A94:J94"/>
    <mergeCell ref="A101:J101"/>
    <mergeCell ref="A108:J108"/>
    <mergeCell ref="A114:J114"/>
    <mergeCell ref="A121:J121"/>
    <mergeCell ref="A92:J92"/>
    <mergeCell ref="A35:J35"/>
    <mergeCell ref="A42:J42"/>
    <mergeCell ref="A46:J46"/>
    <mergeCell ref="A49:J49"/>
    <mergeCell ref="A56:J56"/>
    <mergeCell ref="A62:J62"/>
    <mergeCell ref="A66:J66"/>
    <mergeCell ref="A72:J72"/>
    <mergeCell ref="A80:J80"/>
    <mergeCell ref="A84:J84"/>
    <mergeCell ref="A91:D91"/>
    <mergeCell ref="A29:J29"/>
    <mergeCell ref="A8:J8"/>
    <mergeCell ref="A9:J9"/>
    <mergeCell ref="A10:J10"/>
    <mergeCell ref="A20:J20"/>
    <mergeCell ref="A26:J26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Кол-во штатных единиц</vt:lpstr>
      <vt:lpstr>2022</vt:lpstr>
      <vt:lpstr>ФОТ 2022 2023</vt:lpstr>
      <vt:lpstr>Действующее Штатное расп</vt:lpstr>
      <vt:lpstr>'Действующее Штатное расп'!Заголовки_для_печати</vt:lpstr>
      <vt:lpstr>'2022'!Область_печати</vt:lpstr>
      <vt:lpstr>'Действующее Штатное расп'!Область_печати</vt:lpstr>
      <vt:lpstr>'ФОТ 2022 2023'!Область_печати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2021-09-15T07:26:47Z</cp:lastPrinted>
  <dcterms:created xsi:type="dcterms:W3CDTF">2021-09-13T06:37:34Z</dcterms:created>
  <dcterms:modified xsi:type="dcterms:W3CDTF">2021-09-15T14:43:03Z</dcterms:modified>
</cp:coreProperties>
</file>