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65" yWindow="45" windowWidth="20700" windowHeight="11415" tabRatio="494"/>
  </bookViews>
  <sheets>
    <sheet name="Расчет" sheetId="2" r:id="rId1"/>
  </sheets>
  <definedNames>
    <definedName name="_xlnm.Print_Area" localSheetId="0">Расчет!$A$1:$U$31</definedName>
  </definedNames>
  <calcPr calcId="145621"/>
</workbook>
</file>

<file path=xl/calcChain.xml><?xml version="1.0" encoding="utf-8"?>
<calcChain xmlns="http://schemas.openxmlformats.org/spreadsheetml/2006/main">
  <c r="J12" i="2" l="1"/>
  <c r="M12" i="2" l="1"/>
  <c r="N12" i="2" l="1"/>
  <c r="O12" i="2" l="1"/>
  <c r="J10" i="2" l="1"/>
  <c r="D11" i="2"/>
  <c r="B9" i="2"/>
  <c r="T11" i="2" l="1"/>
  <c r="S11" i="2"/>
  <c r="Q11" i="2"/>
  <c r="P11" i="2"/>
  <c r="N11" i="2"/>
  <c r="M11" i="2"/>
  <c r="G11" i="2"/>
  <c r="F11" i="2"/>
  <c r="E11" i="2"/>
  <c r="E12" i="2"/>
  <c r="D12" i="2"/>
  <c r="U11" i="2" l="1"/>
  <c r="R11" i="2"/>
  <c r="O11" i="2"/>
  <c r="H11" i="2"/>
  <c r="C13" i="2" l="1"/>
  <c r="D13" i="2" l="1"/>
  <c r="B31" i="2" l="1"/>
  <c r="I30" i="2"/>
  <c r="J30" i="2" s="1"/>
  <c r="K30" i="2" s="1"/>
  <c r="E30" i="2"/>
  <c r="H30" i="2" s="1"/>
  <c r="O30" i="2" s="1"/>
  <c r="D30" i="2"/>
  <c r="G30" i="2" s="1"/>
  <c r="N30" i="2" s="1"/>
  <c r="C30" i="2"/>
  <c r="F30" i="2" s="1"/>
  <c r="M30" i="2" s="1"/>
  <c r="L30" i="2" l="1"/>
  <c r="Q30" i="2" s="1"/>
  <c r="R30" i="2" l="1"/>
  <c r="U30" i="2" s="1"/>
  <c r="T30" i="2"/>
  <c r="S30" i="2" l="1"/>
  <c r="D14" i="2"/>
  <c r="E14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D26" i="2"/>
  <c r="E26" i="2"/>
  <c r="D27" i="2"/>
  <c r="E27" i="2"/>
  <c r="D28" i="2"/>
  <c r="E28" i="2"/>
  <c r="D29" i="2"/>
  <c r="E29" i="2"/>
  <c r="E13" i="2"/>
  <c r="C14" i="2"/>
  <c r="F14" i="2" s="1"/>
  <c r="M14" i="2" s="1"/>
  <c r="C15" i="2"/>
  <c r="F15" i="2" s="1"/>
  <c r="M15" i="2" s="1"/>
  <c r="C16" i="2"/>
  <c r="F16" i="2" s="1"/>
  <c r="M16" i="2" s="1"/>
  <c r="C17" i="2"/>
  <c r="F17" i="2" s="1"/>
  <c r="M17" i="2" s="1"/>
  <c r="C18" i="2"/>
  <c r="F18" i="2" s="1"/>
  <c r="M18" i="2" s="1"/>
  <c r="C19" i="2"/>
  <c r="F19" i="2" s="1"/>
  <c r="M19" i="2" s="1"/>
  <c r="C20" i="2"/>
  <c r="F20" i="2" s="1"/>
  <c r="M20" i="2" s="1"/>
  <c r="C21" i="2"/>
  <c r="F21" i="2" s="1"/>
  <c r="M21" i="2" s="1"/>
  <c r="C22" i="2"/>
  <c r="F22" i="2" s="1"/>
  <c r="M22" i="2" s="1"/>
  <c r="C23" i="2"/>
  <c r="F23" i="2" s="1"/>
  <c r="M23" i="2" s="1"/>
  <c r="C24" i="2"/>
  <c r="F24" i="2" s="1"/>
  <c r="M24" i="2" s="1"/>
  <c r="C25" i="2"/>
  <c r="F25" i="2" s="1"/>
  <c r="M25" i="2" s="1"/>
  <c r="C26" i="2"/>
  <c r="F26" i="2" s="1"/>
  <c r="M26" i="2" s="1"/>
  <c r="C27" i="2"/>
  <c r="F27" i="2" s="1"/>
  <c r="C28" i="2"/>
  <c r="F28" i="2" s="1"/>
  <c r="M28" i="2" s="1"/>
  <c r="C29" i="2"/>
  <c r="F29" i="2" s="1"/>
  <c r="M29" i="2" s="1"/>
  <c r="F13" i="2"/>
  <c r="M13" i="2" s="1"/>
  <c r="M27" i="2" l="1"/>
  <c r="F31" i="2"/>
  <c r="I14" i="2"/>
  <c r="J14" i="2" s="1"/>
  <c r="K14" i="2" s="1"/>
  <c r="I15" i="2"/>
  <c r="J15" i="2" s="1"/>
  <c r="K15" i="2" s="1"/>
  <c r="I16" i="2"/>
  <c r="J16" i="2" s="1"/>
  <c r="K16" i="2" s="1"/>
  <c r="I17" i="2"/>
  <c r="J17" i="2" s="1"/>
  <c r="K17" i="2" s="1"/>
  <c r="I18" i="2"/>
  <c r="J18" i="2" s="1"/>
  <c r="K18" i="2" s="1"/>
  <c r="I19" i="2"/>
  <c r="J19" i="2" s="1"/>
  <c r="K19" i="2" s="1"/>
  <c r="I20" i="2"/>
  <c r="J20" i="2" s="1"/>
  <c r="K20" i="2" s="1"/>
  <c r="I21" i="2"/>
  <c r="J21" i="2" s="1"/>
  <c r="K21" i="2" s="1"/>
  <c r="I22" i="2"/>
  <c r="J22" i="2" s="1"/>
  <c r="K22" i="2" s="1"/>
  <c r="I23" i="2"/>
  <c r="J23" i="2" s="1"/>
  <c r="K23" i="2" s="1"/>
  <c r="I24" i="2"/>
  <c r="J24" i="2" s="1"/>
  <c r="K24" i="2" s="1"/>
  <c r="I25" i="2"/>
  <c r="J25" i="2" s="1"/>
  <c r="K25" i="2" s="1"/>
  <c r="I26" i="2"/>
  <c r="J26" i="2" s="1"/>
  <c r="K26" i="2" s="1"/>
  <c r="I27" i="2"/>
  <c r="J27" i="2" s="1"/>
  <c r="I28" i="2"/>
  <c r="J28" i="2" s="1"/>
  <c r="K28" i="2" s="1"/>
  <c r="I29" i="2"/>
  <c r="J29" i="2" s="1"/>
  <c r="K29" i="2" s="1"/>
  <c r="I13" i="2"/>
  <c r="J13" i="2" s="1"/>
  <c r="K13" i="2" s="1"/>
  <c r="K27" i="2" l="1"/>
  <c r="J31" i="2"/>
  <c r="L23" i="2"/>
  <c r="L19" i="2"/>
  <c r="L15" i="2"/>
  <c r="L29" i="2"/>
  <c r="L26" i="2"/>
  <c r="L22" i="2"/>
  <c r="L18" i="2"/>
  <c r="L14" i="2"/>
  <c r="L28" i="2"/>
  <c r="L25" i="2"/>
  <c r="L17" i="2"/>
  <c r="L24" i="2"/>
  <c r="L20" i="2"/>
  <c r="L16" i="2"/>
  <c r="L27" i="2" l="1"/>
  <c r="L21" i="2"/>
  <c r="H29" i="2"/>
  <c r="O29" i="2" s="1"/>
  <c r="R29" i="2" s="1"/>
  <c r="H28" i="2"/>
  <c r="O28" i="2" s="1"/>
  <c r="R28" i="2" s="1"/>
  <c r="H27" i="2"/>
  <c r="O27" i="2" s="1"/>
  <c r="H26" i="2"/>
  <c r="O26" i="2" s="1"/>
  <c r="R26" i="2" s="1"/>
  <c r="H25" i="2"/>
  <c r="O25" i="2" s="1"/>
  <c r="R25" i="2" s="1"/>
  <c r="H24" i="2"/>
  <c r="O24" i="2" s="1"/>
  <c r="R24" i="2" s="1"/>
  <c r="H23" i="2"/>
  <c r="O23" i="2" s="1"/>
  <c r="R23" i="2" s="1"/>
  <c r="H22" i="2"/>
  <c r="O22" i="2" s="1"/>
  <c r="R22" i="2" s="1"/>
  <c r="H21" i="2"/>
  <c r="O21" i="2" s="1"/>
  <c r="H20" i="2"/>
  <c r="O20" i="2" s="1"/>
  <c r="R20" i="2" s="1"/>
  <c r="H19" i="2"/>
  <c r="O19" i="2" s="1"/>
  <c r="R19" i="2" s="1"/>
  <c r="H18" i="2"/>
  <c r="O18" i="2" s="1"/>
  <c r="R18" i="2" s="1"/>
  <c r="H17" i="2"/>
  <c r="O17" i="2" s="1"/>
  <c r="R17" i="2" s="1"/>
  <c r="H16" i="2"/>
  <c r="O16" i="2" s="1"/>
  <c r="R16" i="2" s="1"/>
  <c r="H15" i="2"/>
  <c r="O15" i="2" s="1"/>
  <c r="R15" i="2" s="1"/>
  <c r="H14" i="2"/>
  <c r="O14" i="2" s="1"/>
  <c r="R14" i="2" s="1"/>
  <c r="R27" i="2" l="1"/>
  <c r="U27" i="2" s="1"/>
  <c r="R21" i="2"/>
  <c r="U21" i="2" s="1"/>
  <c r="H13" i="2"/>
  <c r="O13" i="2" s="1"/>
  <c r="U15" i="2"/>
  <c r="U19" i="2"/>
  <c r="U23" i="2"/>
  <c r="U16" i="2"/>
  <c r="U20" i="2"/>
  <c r="U24" i="2"/>
  <c r="U17" i="2"/>
  <c r="U25" i="2"/>
  <c r="U28" i="2"/>
  <c r="U14" i="2"/>
  <c r="U18" i="2"/>
  <c r="U22" i="2"/>
  <c r="U26" i="2"/>
  <c r="U29" i="2"/>
  <c r="O31" i="2" l="1"/>
  <c r="H31" i="2"/>
  <c r="G16" i="2"/>
  <c r="N16" i="2" s="1"/>
  <c r="Q16" i="2" s="1"/>
  <c r="G20" i="2"/>
  <c r="N20" i="2" s="1"/>
  <c r="Q20" i="2" s="1"/>
  <c r="G24" i="2"/>
  <c r="N24" i="2" s="1"/>
  <c r="Q24" i="2" s="1"/>
  <c r="G13" i="2"/>
  <c r="N13" i="2" s="1"/>
  <c r="G17" i="2"/>
  <c r="N17" i="2" s="1"/>
  <c r="Q17" i="2" s="1"/>
  <c r="G21" i="2"/>
  <c r="N21" i="2" s="1"/>
  <c r="Q21" i="2" s="1"/>
  <c r="G25" i="2"/>
  <c r="N25" i="2" s="1"/>
  <c r="Q25" i="2" s="1"/>
  <c r="G28" i="2"/>
  <c r="N28" i="2" s="1"/>
  <c r="Q28" i="2" s="1"/>
  <c r="G14" i="2"/>
  <c r="N14" i="2" s="1"/>
  <c r="Q14" i="2" s="1"/>
  <c r="G18" i="2"/>
  <c r="N18" i="2" s="1"/>
  <c r="Q18" i="2" s="1"/>
  <c r="G22" i="2"/>
  <c r="N22" i="2" s="1"/>
  <c r="Q22" i="2" s="1"/>
  <c r="G26" i="2"/>
  <c r="N26" i="2" s="1"/>
  <c r="Q26" i="2" s="1"/>
  <c r="G29" i="2"/>
  <c r="N29" i="2" s="1"/>
  <c r="Q29" i="2" s="1"/>
  <c r="G15" i="2"/>
  <c r="N15" i="2" s="1"/>
  <c r="Q15" i="2" s="1"/>
  <c r="G19" i="2"/>
  <c r="N19" i="2" s="1"/>
  <c r="Q19" i="2" s="1"/>
  <c r="G23" i="2"/>
  <c r="N23" i="2" s="1"/>
  <c r="Q23" i="2" s="1"/>
  <c r="G27" i="2"/>
  <c r="N27" i="2" s="1"/>
  <c r="Q27" i="2" s="1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T23" i="2" l="1"/>
  <c r="T28" i="2"/>
  <c r="G31" i="2"/>
  <c r="T22" i="2"/>
  <c r="T15" i="2"/>
  <c r="T18" i="2"/>
  <c r="T20" i="2"/>
  <c r="T26" i="2"/>
  <c r="T19" i="2"/>
  <c r="T25" i="2"/>
  <c r="T24" i="2"/>
  <c r="T27" i="2"/>
  <c r="T29" i="2"/>
  <c r="T17" i="2"/>
  <c r="T16" i="2"/>
  <c r="M31" i="2"/>
  <c r="T14" i="2"/>
  <c r="T21" i="2" l="1"/>
  <c r="N31" i="2"/>
  <c r="L13" i="2"/>
  <c r="Q13" i="2" l="1"/>
  <c r="R13" i="2"/>
  <c r="L31" i="2"/>
  <c r="U13" i="2" l="1"/>
  <c r="R31" i="2"/>
  <c r="Q31" i="2"/>
  <c r="T13" i="2"/>
  <c r="P31" i="2"/>
  <c r="P35" i="2" s="1"/>
  <c r="S13" i="2"/>
  <c r="T31" i="2" l="1"/>
  <c r="S31" i="2"/>
  <c r="U31" i="2"/>
</calcChain>
</file>

<file path=xl/sharedStrings.xml><?xml version="1.0" encoding="utf-8"?>
<sst xmlns="http://schemas.openxmlformats.org/spreadsheetml/2006/main" count="55" uniqueCount="55">
  <si>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</si>
  <si>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</si>
  <si>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</si>
  <si>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</si>
  <si>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</si>
  <si>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</si>
  <si>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</si>
  <si>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</si>
  <si>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</si>
  <si>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</si>
  <si>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</si>
  <si>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</si>
  <si>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</si>
  <si>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</si>
  <si>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</si>
  <si>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</si>
  <si>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ИТОГО:</t>
  </si>
  <si>
    <t>Выборгский район</t>
  </si>
  <si>
    <t>Тосненский район</t>
  </si>
  <si>
    <t>Количество собак, 
подлежащих отлову</t>
  </si>
  <si>
    <t>Наименование 
муниципального образования</t>
  </si>
  <si>
    <t>Текущие расходы</t>
  </si>
  <si>
    <t>Расходы на организацию</t>
  </si>
  <si>
    <t>Сумма в бюджет
(тыс. руб.)</t>
  </si>
  <si>
    <t>Расчетная сумма в бюджет
(руб.)</t>
  </si>
  <si>
    <t>Количество безнадзорных животных</t>
  </si>
  <si>
    <t>Текущие расходы составляют 10 % от Фонда оплаты труда</t>
  </si>
  <si>
    <t>Расчетная сумма субвенций муниципальным образованиям на осуществление отдельных государственных полномочий Ленинградской области в сфере обращения с безнадзорными животными</t>
  </si>
  <si>
    <t>ст.10*10%</t>
  </si>
  <si>
    <t>ст.10+ст.11</t>
  </si>
  <si>
    <t>ст.2*ст.3</t>
  </si>
  <si>
    <t>ст.2*ст.4</t>
  </si>
  <si>
    <t>ст.2*ст.5</t>
  </si>
  <si>
    <t>ст.12+ст.13</t>
  </si>
  <si>
    <t>ст.12+ст.14</t>
  </si>
  <si>
    <t>ст.12+ст.15</t>
  </si>
  <si>
    <t>ст.16/1000</t>
  </si>
  <si>
    <t>ст.17/1000</t>
  </si>
  <si>
    <t>ст.18/1000</t>
  </si>
  <si>
    <t>Расчет в рублях</t>
  </si>
  <si>
    <t>Сумма в бюджет в тысячах рублей</t>
  </si>
  <si>
    <t>Расчетная стоимость 
ветеринарных мероприятий (руб.)</t>
  </si>
  <si>
    <t>Численность работников необходимая для существления ОГП 
(В соотв. с 38-оз 
от 10.06.2014)</t>
  </si>
  <si>
    <t>Всего расходов на организацию исполнения ОГП (ФОТ + Текущие расходы)</t>
  </si>
  <si>
    <t xml:space="preserve">Реально возможный процент отлова безнадзорных животных </t>
  </si>
  <si>
    <t>ст.6*8 824</t>
  </si>
  <si>
    <t>ст.7*8 824</t>
  </si>
  <si>
    <t>ст.8*8 824</t>
  </si>
  <si>
    <t>2021 год</t>
  </si>
  <si>
    <t>Количество ставок МО</t>
  </si>
  <si>
    <t>Расчетная стоимость мероприятий по отлову, транспортировке, содержанию , учету, стерилизации в соответствии с приказом Комитета 
по ЖКХ от 14.08.2014 № 51 (9 177 рублей)</t>
  </si>
  <si>
    <t>908 970,04 рублей
(11 588,22 - оклад)</t>
  </si>
  <si>
    <t>(Оклад специалиста 1 кат. 
12 051,75 руб. в год 
(12-оз от 25.02.2005) 
* 104% * на 55,7 (годовой коэффициент выплат) + 30,2% (отчисления с ФОТ)</t>
  </si>
  <si>
    <t xml:space="preserve">Расчет объема субвенций бюджетам муниципальных образований Ленинградской области на осуществление отдельных государственных
полномочий Ленинградской области в сфере обращения с безнадзорными животными на территории Ленинградской области на 2021 год и на плановый период 2022 и 2023 годов
</t>
  </si>
  <si>
    <t>Приложение 64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</si>
</sst>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&quot;р.&quot;"/>
    <numFmt numFmtId="166" formatCode="0.00000"/>
    <numFmt numFmtId="167" formatCode="#,##0.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74">
    <xf numFmtId="0" fontId="0" fillId="0" borderId="0" xfId="0"/>
    <xf numFmtId="0" fontId="2" fillId="0" borderId="11" xfId="0" applyFont="1" applyFill="1" applyBorder="1" applyAlignment="1"/>
    <xf numFmtId="0" fontId="1" fillId="0" borderId="11" xfId="0" applyFont="1" applyFill="1" applyBorder="1" applyAlignment="1"/>
    <xf numFmtId="3" fontId="0" fillId="0" borderId="6" xfId="0" applyNumberFormat="1" applyFill="1" applyBorder="1" applyAlignment="1">
      <alignment horizontal="center"/>
    </xf>
    <xf numFmtId="1" fontId="12" fillId="0" borderId="0" xfId="0" applyNumberFormat="1" applyFont="1" applyFill="1" applyAlignment="1">
      <alignment horizontal="right" vertical="top"/>
    </xf>
    <xf numFmtId="0" fontId="0" fillId="0" borderId="0" xfId="0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11" xfId="0" applyFill="1" applyBorder="1" applyAlignment="1"/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5" fillId="0" borderId="11" xfId="0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10" fillId="0" borderId="4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 wrapText="1"/>
    </xf>
    <xf numFmtId="2" fontId="5" fillId="0" borderId="3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0" xfId="0" applyFont="1" applyFill="1"/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65" fontId="3" fillId="0" borderId="17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6" fontId="3" fillId="0" borderId="7" xfId="0" applyNumberFormat="1" applyFont="1" applyFill="1" applyBorder="1" applyAlignment="1">
      <alignment horizontal="center" vertical="center" wrapText="1"/>
    </xf>
    <xf numFmtId="167" fontId="3" fillId="0" borderId="7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/>
    <xf numFmtId="166" fontId="0" fillId="0" borderId="6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4" fontId="0" fillId="0" borderId="6" xfId="0" applyNumberFormat="1" applyFill="1" applyBorder="1"/>
    <xf numFmtId="164" fontId="0" fillId="0" borderId="6" xfId="0" applyNumberFormat="1" applyFill="1" applyBorder="1"/>
    <xf numFmtId="164" fontId="0" fillId="0" borderId="22" xfId="0" applyNumberFormat="1" applyFill="1" applyBorder="1"/>
    <xf numFmtId="166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/>
    <xf numFmtId="0" fontId="3" fillId="0" borderId="23" xfId="0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4" fontId="3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vertical="center"/>
    </xf>
    <xf numFmtId="4" fontId="0" fillId="0" borderId="0" xfId="0" applyNumberFormat="1" applyFill="1"/>
    <xf numFmtId="4" fontId="8" fillId="0" borderId="0" xfId="0" applyNumberFormat="1" applyFont="1" applyFill="1"/>
    <xf numFmtId="3" fontId="0" fillId="0" borderId="0" xfId="0" applyNumberFormat="1" applyFill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CCFF"/>
      <color rgb="FF00FF00"/>
      <color rgb="FFFFFF99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="85" zoomScaleNormal="85" workbookViewId="0">
      <selection activeCell="C9" sqref="C9"/>
    </sheetView>
  </sheetViews>
  <sheetFormatPr defaultRowHeight="15" x14ac:dyDescent="0.25"/>
  <cols>
    <col min="1" max="1" width="39.7109375" style="5" customWidth="1"/>
    <col min="2" max="2" width="14.7109375" style="5" customWidth="1"/>
    <col min="3" max="5" width="10.7109375" style="5" customWidth="1"/>
    <col min="6" max="8" width="9.7109375" style="5" customWidth="1"/>
    <col min="9" max="9" width="13.7109375" style="5" customWidth="1"/>
    <col min="10" max="10" width="18.7109375" style="5" customWidth="1"/>
    <col min="11" max="12" width="14.7109375" style="5" customWidth="1"/>
    <col min="13" max="15" width="13.7109375" style="5" customWidth="1"/>
    <col min="16" max="18" width="12.7109375" style="5" customWidth="1"/>
    <col min="19" max="21" width="10.7109375" style="5" customWidth="1"/>
    <col min="22" max="22" width="3.42578125" style="5" customWidth="1"/>
    <col min="23" max="16384" width="9.140625" style="5"/>
  </cols>
  <sheetData>
    <row r="1" spans="1:21" ht="15.75" x14ac:dyDescent="0.25">
      <c r="U1" s="4" t="s">
        <v>54</v>
      </c>
    </row>
    <row r="2" spans="1:21" ht="15.75" x14ac:dyDescent="0.25">
      <c r="S2" s="6"/>
      <c r="U2" s="7"/>
    </row>
    <row r="3" spans="1:21" ht="42.75" customHeight="1" x14ac:dyDescent="0.25">
      <c r="A3" s="8" t="s">
        <v>53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8.7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5" customHeight="1" x14ac:dyDescent="0.3">
      <c r="D5" s="10"/>
    </row>
    <row r="6" spans="1:21" ht="15.75" thickBot="1" x14ac:dyDescent="0.3">
      <c r="A6" s="5" t="s">
        <v>39</v>
      </c>
    </row>
    <row r="7" spans="1:21" x14ac:dyDescent="0.25">
      <c r="A7" s="11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2">
        <v>15</v>
      </c>
      <c r="P7" s="12">
        <v>16</v>
      </c>
      <c r="Q7" s="12">
        <v>17</v>
      </c>
      <c r="R7" s="12">
        <v>18</v>
      </c>
      <c r="S7" s="12">
        <v>19</v>
      </c>
      <c r="T7" s="12">
        <v>20</v>
      </c>
      <c r="U7" s="13">
        <v>21</v>
      </c>
    </row>
    <row r="8" spans="1:21" ht="15" customHeight="1" x14ac:dyDescent="0.25">
      <c r="A8" s="14"/>
      <c r="B8" s="15"/>
      <c r="C8" s="16"/>
      <c r="D8" s="16"/>
      <c r="E8" s="16"/>
      <c r="F8" s="16" t="s">
        <v>30</v>
      </c>
      <c r="G8" s="16" t="s">
        <v>31</v>
      </c>
      <c r="H8" s="16" t="s">
        <v>32</v>
      </c>
      <c r="I8" s="17"/>
      <c r="J8" s="18" t="s">
        <v>51</v>
      </c>
      <c r="K8" s="16" t="s">
        <v>28</v>
      </c>
      <c r="L8" s="16" t="s">
        <v>29</v>
      </c>
      <c r="M8" s="16" t="s">
        <v>45</v>
      </c>
      <c r="N8" s="16" t="s">
        <v>46</v>
      </c>
      <c r="O8" s="16" t="s">
        <v>47</v>
      </c>
      <c r="P8" s="16" t="s">
        <v>33</v>
      </c>
      <c r="Q8" s="16" t="s">
        <v>34</v>
      </c>
      <c r="R8" s="16" t="s">
        <v>35</v>
      </c>
      <c r="S8" s="16" t="s">
        <v>36</v>
      </c>
      <c r="T8" s="16" t="s">
        <v>37</v>
      </c>
      <c r="U8" s="19" t="s">
        <v>38</v>
      </c>
    </row>
    <row r="9" spans="1:21" s="37" customFormat="1" ht="75" customHeight="1" x14ac:dyDescent="0.2">
      <c r="A9" s="20"/>
      <c r="B9" s="21" t="str">
        <f>CONCATENATE("Количество безнадзорных животных по результатам мониторинга 
",LEFT(C11,4)-1," года")</f>
        <v>Количество безнадзорных животных по результатам мониторинга 
2020 года</v>
      </c>
      <c r="C9" s="22"/>
      <c r="D9" s="23"/>
      <c r="E9" s="24"/>
      <c r="F9" s="22"/>
      <c r="G9" s="25"/>
      <c r="H9" s="26"/>
      <c r="I9" s="27" t="s">
        <v>42</v>
      </c>
      <c r="J9" s="28" t="s">
        <v>52</v>
      </c>
      <c r="K9" s="21" t="s">
        <v>26</v>
      </c>
      <c r="L9" s="21" t="s">
        <v>43</v>
      </c>
      <c r="M9" s="29" t="s">
        <v>50</v>
      </c>
      <c r="N9" s="30"/>
      <c r="O9" s="31"/>
      <c r="P9" s="32" t="s">
        <v>27</v>
      </c>
      <c r="Q9" s="33"/>
      <c r="R9" s="34"/>
      <c r="S9" s="29" t="s">
        <v>40</v>
      </c>
      <c r="T9" s="35"/>
      <c r="U9" s="36"/>
    </row>
    <row r="10" spans="1:21" ht="30" customHeight="1" x14ac:dyDescent="0.25">
      <c r="A10" s="38" t="s">
        <v>20</v>
      </c>
      <c r="B10" s="39" t="s">
        <v>25</v>
      </c>
      <c r="C10" s="40" t="s">
        <v>44</v>
      </c>
      <c r="D10" s="41"/>
      <c r="E10" s="42"/>
      <c r="F10" s="40" t="s">
        <v>19</v>
      </c>
      <c r="G10" s="41"/>
      <c r="H10" s="42"/>
      <c r="I10" s="39" t="s">
        <v>49</v>
      </c>
      <c r="J10" s="39" t="str">
        <f>CONCATENATE("Фонд оплаты труда на ",LEFT(C11,4)," год")</f>
        <v>Фонд оплаты труда на 2021 год</v>
      </c>
      <c r="K10" s="39" t="s">
        <v>21</v>
      </c>
      <c r="L10" s="39" t="s">
        <v>22</v>
      </c>
      <c r="M10" s="40" t="s">
        <v>41</v>
      </c>
      <c r="N10" s="41"/>
      <c r="O10" s="42"/>
      <c r="P10" s="40" t="s">
        <v>24</v>
      </c>
      <c r="Q10" s="41"/>
      <c r="R10" s="42"/>
      <c r="S10" s="40" t="s">
        <v>23</v>
      </c>
      <c r="T10" s="41"/>
      <c r="U10" s="43"/>
    </row>
    <row r="11" spans="1:21" ht="15" customHeight="1" x14ac:dyDescent="0.25">
      <c r="A11" s="44"/>
      <c r="B11" s="45"/>
      <c r="C11" s="46" t="s">
        <v>48</v>
      </c>
      <c r="D11" s="46" t="str">
        <f>CONCATENATE(LEFT(C11,4)+1," год")</f>
        <v>2022 год</v>
      </c>
      <c r="E11" s="46" t="str">
        <f>CONCATENATE(LEFT(D11,4)+1," год")</f>
        <v>2023 год</v>
      </c>
      <c r="F11" s="39" t="str">
        <f>C11</f>
        <v>2021 год</v>
      </c>
      <c r="G11" s="39" t="str">
        <f t="shared" ref="G11:H11" si="0">D11</f>
        <v>2022 год</v>
      </c>
      <c r="H11" s="39" t="str">
        <f t="shared" si="0"/>
        <v>2023 год</v>
      </c>
      <c r="I11" s="45"/>
      <c r="J11" s="47"/>
      <c r="K11" s="45"/>
      <c r="L11" s="45"/>
      <c r="M11" s="46" t="str">
        <f>C11</f>
        <v>2021 год</v>
      </c>
      <c r="N11" s="46" t="str">
        <f t="shared" ref="N11:O11" si="1">D11</f>
        <v>2022 год</v>
      </c>
      <c r="O11" s="46" t="str">
        <f t="shared" si="1"/>
        <v>2023 год</v>
      </c>
      <c r="P11" s="39" t="str">
        <f>C11</f>
        <v>2021 год</v>
      </c>
      <c r="Q11" s="39" t="str">
        <f t="shared" ref="Q11:R11" si="2">D11</f>
        <v>2022 год</v>
      </c>
      <c r="R11" s="39" t="str">
        <f t="shared" si="2"/>
        <v>2023 год</v>
      </c>
      <c r="S11" s="39" t="str">
        <f>C11</f>
        <v>2021 год</v>
      </c>
      <c r="T11" s="39" t="str">
        <f t="shared" ref="T11:U11" si="3">D11</f>
        <v>2022 год</v>
      </c>
      <c r="U11" s="48" t="str">
        <f t="shared" si="3"/>
        <v>2023 год</v>
      </c>
    </row>
    <row r="12" spans="1:21" ht="15" customHeight="1" thickBot="1" x14ac:dyDescent="0.3">
      <c r="A12" s="49"/>
      <c r="B12" s="50"/>
      <c r="C12" s="51">
        <v>28</v>
      </c>
      <c r="D12" s="51">
        <f>C12</f>
        <v>28</v>
      </c>
      <c r="E12" s="52">
        <f>C12</f>
        <v>28</v>
      </c>
      <c r="F12" s="50"/>
      <c r="G12" s="50"/>
      <c r="H12" s="50"/>
      <c r="I12" s="50"/>
      <c r="J12" s="53">
        <f>ROUND(908970.04*104%,2)</f>
        <v>945328.84</v>
      </c>
      <c r="K12" s="50"/>
      <c r="L12" s="50"/>
      <c r="M12" s="54">
        <f>ROUND(9177*104%,0)</f>
        <v>9544</v>
      </c>
      <c r="N12" s="54">
        <f>M12*104%</f>
        <v>9925.76</v>
      </c>
      <c r="O12" s="54">
        <f>N12*104%</f>
        <v>10322.7904</v>
      </c>
      <c r="P12" s="50"/>
      <c r="Q12" s="50"/>
      <c r="R12" s="50"/>
      <c r="S12" s="50"/>
      <c r="T12" s="50"/>
      <c r="U12" s="55"/>
    </row>
    <row r="13" spans="1:21" ht="15" customHeight="1" x14ac:dyDescent="0.25">
      <c r="A13" s="56" t="s">
        <v>0</v>
      </c>
      <c r="B13" s="3">
        <v>682</v>
      </c>
      <c r="C13" s="57">
        <f>C$12</f>
        <v>28</v>
      </c>
      <c r="D13" s="57">
        <f>D$12</f>
        <v>28</v>
      </c>
      <c r="E13" s="57">
        <f t="shared" ref="D13:E30" si="4">E$12</f>
        <v>28</v>
      </c>
      <c r="F13" s="58">
        <f>ROUND($B13*C13%,0)</f>
        <v>191</v>
      </c>
      <c r="G13" s="3">
        <f t="shared" ref="G13:H27" si="5">ROUND($B13*D13%,0)</f>
        <v>191</v>
      </c>
      <c r="H13" s="3">
        <f t="shared" si="5"/>
        <v>191</v>
      </c>
      <c r="I13" s="59">
        <f>LOOKUP(B13,{0,100,400,600,1000,1500},{0.1,0.2,0.4,0.6,0.8,1})</f>
        <v>0.6</v>
      </c>
      <c r="J13" s="60">
        <f>ROUNDDOWN($J$12*I13,2)</f>
        <v>567197.30000000005</v>
      </c>
      <c r="K13" s="60">
        <f>ROUNDDOWN(J13*10%,2)</f>
        <v>56719.73</v>
      </c>
      <c r="L13" s="60">
        <f>J13+K13</f>
        <v>623917.03</v>
      </c>
      <c r="M13" s="60">
        <f>ROUNDUP(F13*M$12,2)</f>
        <v>1822904</v>
      </c>
      <c r="N13" s="60">
        <f>ROUNDUP(G13*N$12,2)</f>
        <v>1895820.16</v>
      </c>
      <c r="O13" s="60">
        <f>ROUNDUP(H13*O$12,2)</f>
        <v>1971652.97</v>
      </c>
      <c r="P13" s="60">
        <v>2430900</v>
      </c>
      <c r="Q13" s="60">
        <f>ROUNDUP(($L13*104%+N13)/1000,1)*1000</f>
        <v>2544700</v>
      </c>
      <c r="R13" s="60">
        <f>ROUNDUP(($L13*104%*104%+O13)/1000,1)*1000</f>
        <v>2646500</v>
      </c>
      <c r="S13" s="61">
        <f>P13/1000</f>
        <v>2430.9</v>
      </c>
      <c r="T13" s="61">
        <f>Q13/1000</f>
        <v>2544.6999999999998</v>
      </c>
      <c r="U13" s="62">
        <f>R13/1000</f>
        <v>2646.5</v>
      </c>
    </row>
    <row r="14" spans="1:21" ht="15" customHeight="1" x14ac:dyDescent="0.25">
      <c r="A14" s="1" t="s">
        <v>1</v>
      </c>
      <c r="B14" s="3">
        <v>436</v>
      </c>
      <c r="C14" s="63">
        <f t="shared" ref="C14:E30" si="6">C$12</f>
        <v>28</v>
      </c>
      <c r="D14" s="63">
        <f t="shared" si="4"/>
        <v>28</v>
      </c>
      <c r="E14" s="63">
        <f t="shared" si="4"/>
        <v>28</v>
      </c>
      <c r="F14" s="58">
        <f t="shared" ref="F14:H29" si="7">ROUND($B14*C14%,0)</f>
        <v>122</v>
      </c>
      <c r="G14" s="58">
        <f t="shared" si="5"/>
        <v>122</v>
      </c>
      <c r="H14" s="58">
        <f t="shared" si="5"/>
        <v>122</v>
      </c>
      <c r="I14" s="15">
        <f>LOOKUP(B14,{0,100,400,600,1000,1500},{0.1,0.2,0.4,0.6,0.8,1})</f>
        <v>0.4</v>
      </c>
      <c r="J14" s="60">
        <f t="shared" ref="J14:J30" si="8">ROUNDDOWN($J$12*I14,2)</f>
        <v>378131.53</v>
      </c>
      <c r="K14" s="60">
        <f t="shared" ref="K14:K30" si="9">ROUNDDOWN(J14*10%,2)</f>
        <v>37813.15</v>
      </c>
      <c r="L14" s="64">
        <f t="shared" ref="L14:L29" si="10">J14+K14</f>
        <v>415944.68000000005</v>
      </c>
      <c r="M14" s="60">
        <f t="shared" ref="M14:M30" si="11">ROUNDUP(F14*M$12,2)</f>
        <v>1164368</v>
      </c>
      <c r="N14" s="60">
        <f t="shared" ref="N14:N30" si="12">ROUNDUP(G14*N$12,2)</f>
        <v>1210942.72</v>
      </c>
      <c r="O14" s="60">
        <f t="shared" ref="O14:O30" si="13">ROUNDUP(H14*O$12,2)</f>
        <v>1259380.43</v>
      </c>
      <c r="P14" s="60">
        <v>1569700</v>
      </c>
      <c r="Q14" s="60">
        <f t="shared" ref="Q14:Q30" si="14">ROUNDUP(($L14*104%+N14)/1000,1)*1000</f>
        <v>1643600</v>
      </c>
      <c r="R14" s="60">
        <f t="shared" ref="R14:R30" si="15">ROUNDUP(($L14*104%*104%+O14)/1000,1)*1000</f>
        <v>1709300</v>
      </c>
      <c r="S14" s="61">
        <f t="shared" ref="S14:S30" si="16">P14/1000</f>
        <v>1569.7</v>
      </c>
      <c r="T14" s="61">
        <f t="shared" ref="T14:T30" si="17">Q14/1000</f>
        <v>1643.6</v>
      </c>
      <c r="U14" s="62">
        <f t="shared" ref="U14:U30" si="18">R14/1000</f>
        <v>1709.3</v>
      </c>
    </row>
    <row r="15" spans="1:21" ht="15" customHeight="1" x14ac:dyDescent="0.25">
      <c r="A15" s="1" t="s">
        <v>2</v>
      </c>
      <c r="B15" s="3">
        <v>956</v>
      </c>
      <c r="C15" s="63">
        <f t="shared" si="6"/>
        <v>28</v>
      </c>
      <c r="D15" s="63">
        <f t="shared" si="4"/>
        <v>28</v>
      </c>
      <c r="E15" s="63">
        <f t="shared" si="4"/>
        <v>28</v>
      </c>
      <c r="F15" s="58">
        <f t="shared" si="7"/>
        <v>268</v>
      </c>
      <c r="G15" s="58">
        <f t="shared" si="5"/>
        <v>268</v>
      </c>
      <c r="H15" s="58">
        <f t="shared" si="5"/>
        <v>268</v>
      </c>
      <c r="I15" s="15">
        <f>LOOKUP(B15,{0,100,400,600,1000,1500},{0.1,0.2,0.4,0.6,0.8,1})</f>
        <v>0.6</v>
      </c>
      <c r="J15" s="60">
        <f t="shared" si="8"/>
        <v>567197.30000000005</v>
      </c>
      <c r="K15" s="60">
        <f t="shared" si="9"/>
        <v>56719.73</v>
      </c>
      <c r="L15" s="64">
        <f t="shared" si="10"/>
        <v>623917.03</v>
      </c>
      <c r="M15" s="60">
        <f t="shared" si="11"/>
        <v>2557792</v>
      </c>
      <c r="N15" s="60">
        <f t="shared" si="12"/>
        <v>2660103.6800000002</v>
      </c>
      <c r="O15" s="60">
        <f t="shared" si="13"/>
        <v>2766507.8299999996</v>
      </c>
      <c r="P15" s="60">
        <v>3165800</v>
      </c>
      <c r="Q15" s="60">
        <f t="shared" si="14"/>
        <v>3309000</v>
      </c>
      <c r="R15" s="60">
        <f t="shared" si="15"/>
        <v>3441400</v>
      </c>
      <c r="S15" s="61">
        <f t="shared" si="16"/>
        <v>3165.8</v>
      </c>
      <c r="T15" s="61">
        <f t="shared" si="17"/>
        <v>3309</v>
      </c>
      <c r="U15" s="62">
        <f t="shared" si="18"/>
        <v>3441.4</v>
      </c>
    </row>
    <row r="16" spans="1:21" ht="15" customHeight="1" x14ac:dyDescent="0.25">
      <c r="A16" s="1" t="s">
        <v>3</v>
      </c>
      <c r="B16" s="3">
        <v>916</v>
      </c>
      <c r="C16" s="63">
        <f t="shared" si="6"/>
        <v>28</v>
      </c>
      <c r="D16" s="63">
        <f t="shared" si="4"/>
        <v>28</v>
      </c>
      <c r="E16" s="63">
        <f t="shared" si="4"/>
        <v>28</v>
      </c>
      <c r="F16" s="58">
        <f t="shared" si="7"/>
        <v>256</v>
      </c>
      <c r="G16" s="58">
        <f t="shared" si="5"/>
        <v>256</v>
      </c>
      <c r="H16" s="58">
        <f t="shared" si="5"/>
        <v>256</v>
      </c>
      <c r="I16" s="15">
        <f>LOOKUP(B16,{0,100,400,600,1000,1500},{0.1,0.2,0.4,0.6,0.8,1})</f>
        <v>0.6</v>
      </c>
      <c r="J16" s="60">
        <f t="shared" si="8"/>
        <v>567197.30000000005</v>
      </c>
      <c r="K16" s="60">
        <f t="shared" si="9"/>
        <v>56719.73</v>
      </c>
      <c r="L16" s="64">
        <f t="shared" si="10"/>
        <v>623917.03</v>
      </c>
      <c r="M16" s="60">
        <f t="shared" si="11"/>
        <v>2443264</v>
      </c>
      <c r="N16" s="60">
        <f t="shared" si="12"/>
        <v>2540994.5600000001</v>
      </c>
      <c r="O16" s="60">
        <f t="shared" si="13"/>
        <v>2642634.3499999996</v>
      </c>
      <c r="P16" s="60">
        <v>3051200</v>
      </c>
      <c r="Q16" s="60">
        <f t="shared" si="14"/>
        <v>3189900</v>
      </c>
      <c r="R16" s="60">
        <f t="shared" si="15"/>
        <v>3317500</v>
      </c>
      <c r="S16" s="61">
        <f t="shared" si="16"/>
        <v>3051.2</v>
      </c>
      <c r="T16" s="61">
        <f t="shared" si="17"/>
        <v>3189.9</v>
      </c>
      <c r="U16" s="62">
        <f t="shared" si="18"/>
        <v>3317.5</v>
      </c>
    </row>
    <row r="17" spans="1:21" ht="15" customHeight="1" x14ac:dyDescent="0.25">
      <c r="A17" s="2" t="s">
        <v>17</v>
      </c>
      <c r="B17" s="3">
        <v>1053</v>
      </c>
      <c r="C17" s="63">
        <f t="shared" si="6"/>
        <v>28</v>
      </c>
      <c r="D17" s="63">
        <f t="shared" si="4"/>
        <v>28</v>
      </c>
      <c r="E17" s="63">
        <f t="shared" si="4"/>
        <v>28</v>
      </c>
      <c r="F17" s="58">
        <f t="shared" si="7"/>
        <v>295</v>
      </c>
      <c r="G17" s="58">
        <f t="shared" si="5"/>
        <v>295</v>
      </c>
      <c r="H17" s="58">
        <f t="shared" si="5"/>
        <v>295</v>
      </c>
      <c r="I17" s="15">
        <f>LOOKUP(B17,{0,100,400,600,1000,1500},{0.1,0.2,0.4,0.6,0.8,1})</f>
        <v>0.8</v>
      </c>
      <c r="J17" s="60">
        <f t="shared" si="8"/>
        <v>756263.07</v>
      </c>
      <c r="K17" s="60">
        <f t="shared" si="9"/>
        <v>75626.3</v>
      </c>
      <c r="L17" s="64">
        <f t="shared" si="10"/>
        <v>831889.37</v>
      </c>
      <c r="M17" s="60">
        <f t="shared" si="11"/>
        <v>2815480</v>
      </c>
      <c r="N17" s="60">
        <f t="shared" si="12"/>
        <v>2928099.2</v>
      </c>
      <c r="O17" s="60">
        <f t="shared" si="13"/>
        <v>3045223.17</v>
      </c>
      <c r="P17" s="60">
        <v>3626100</v>
      </c>
      <c r="Q17" s="60">
        <f t="shared" si="14"/>
        <v>3793299.9999999995</v>
      </c>
      <c r="R17" s="60">
        <f t="shared" si="15"/>
        <v>3945000</v>
      </c>
      <c r="S17" s="61">
        <f t="shared" si="16"/>
        <v>3626.1</v>
      </c>
      <c r="T17" s="61">
        <f t="shared" si="17"/>
        <v>3793.2999999999997</v>
      </c>
      <c r="U17" s="62">
        <f t="shared" si="18"/>
        <v>3945</v>
      </c>
    </row>
    <row r="18" spans="1:21" ht="15" customHeight="1" x14ac:dyDescent="0.25">
      <c r="A18" s="1" t="s">
        <v>4</v>
      </c>
      <c r="B18" s="3">
        <v>920</v>
      </c>
      <c r="C18" s="63">
        <f t="shared" si="6"/>
        <v>28</v>
      </c>
      <c r="D18" s="63">
        <f t="shared" si="4"/>
        <v>28</v>
      </c>
      <c r="E18" s="63">
        <f t="shared" si="4"/>
        <v>28</v>
      </c>
      <c r="F18" s="58">
        <f t="shared" si="7"/>
        <v>258</v>
      </c>
      <c r="G18" s="58">
        <f t="shared" si="5"/>
        <v>258</v>
      </c>
      <c r="H18" s="58">
        <f t="shared" si="5"/>
        <v>258</v>
      </c>
      <c r="I18" s="15">
        <f>LOOKUP(B18,{0,100,400,600,1000,1500},{0.1,0.2,0.4,0.6,0.8,1})</f>
        <v>0.6</v>
      </c>
      <c r="J18" s="60">
        <f t="shared" si="8"/>
        <v>567197.30000000005</v>
      </c>
      <c r="K18" s="60">
        <f t="shared" si="9"/>
        <v>56719.73</v>
      </c>
      <c r="L18" s="64">
        <f t="shared" si="10"/>
        <v>623917.03</v>
      </c>
      <c r="M18" s="60">
        <f t="shared" si="11"/>
        <v>2462352</v>
      </c>
      <c r="N18" s="60">
        <f t="shared" si="12"/>
        <v>2560846.08</v>
      </c>
      <c r="O18" s="60">
        <f t="shared" si="13"/>
        <v>2663279.9299999997</v>
      </c>
      <c r="P18" s="60">
        <v>3070300</v>
      </c>
      <c r="Q18" s="60">
        <f t="shared" si="14"/>
        <v>3209799.9999999995</v>
      </c>
      <c r="R18" s="60">
        <f t="shared" si="15"/>
        <v>3338200</v>
      </c>
      <c r="S18" s="61">
        <f t="shared" si="16"/>
        <v>3070.3</v>
      </c>
      <c r="T18" s="61">
        <f t="shared" si="17"/>
        <v>3209.7999999999997</v>
      </c>
      <c r="U18" s="62">
        <f t="shared" si="18"/>
        <v>3338.2</v>
      </c>
    </row>
    <row r="19" spans="1:21" ht="15" customHeight="1" x14ac:dyDescent="0.25">
      <c r="A19" s="1" t="s">
        <v>5</v>
      </c>
      <c r="B19" s="3">
        <v>646</v>
      </c>
      <c r="C19" s="63">
        <f t="shared" si="6"/>
        <v>28</v>
      </c>
      <c r="D19" s="63">
        <f t="shared" si="4"/>
        <v>28</v>
      </c>
      <c r="E19" s="63">
        <f t="shared" si="4"/>
        <v>28</v>
      </c>
      <c r="F19" s="58">
        <f t="shared" si="7"/>
        <v>181</v>
      </c>
      <c r="G19" s="58">
        <f t="shared" si="5"/>
        <v>181</v>
      </c>
      <c r="H19" s="58">
        <f t="shared" si="5"/>
        <v>181</v>
      </c>
      <c r="I19" s="15">
        <f>LOOKUP(B19,{0,100,400,600,1000,1500},{0.1,0.2,0.4,0.6,0.8,1})</f>
        <v>0.6</v>
      </c>
      <c r="J19" s="60">
        <f t="shared" si="8"/>
        <v>567197.30000000005</v>
      </c>
      <c r="K19" s="60">
        <f t="shared" si="9"/>
        <v>56719.73</v>
      </c>
      <c r="L19" s="64">
        <f t="shared" si="10"/>
        <v>623917.03</v>
      </c>
      <c r="M19" s="60">
        <f t="shared" si="11"/>
        <v>1727464</v>
      </c>
      <c r="N19" s="60">
        <f t="shared" si="12"/>
        <v>1796562.56</v>
      </c>
      <c r="O19" s="60">
        <f t="shared" si="13"/>
        <v>1868425.07</v>
      </c>
      <c r="P19" s="60">
        <v>2335400</v>
      </c>
      <c r="Q19" s="60">
        <f t="shared" si="14"/>
        <v>2445500</v>
      </c>
      <c r="R19" s="60">
        <f t="shared" si="15"/>
        <v>2543299.9999999995</v>
      </c>
      <c r="S19" s="61">
        <f t="shared" si="16"/>
        <v>2335.4</v>
      </c>
      <c r="T19" s="61">
        <f t="shared" si="17"/>
        <v>2445.5</v>
      </c>
      <c r="U19" s="62">
        <f t="shared" si="18"/>
        <v>2543.2999999999997</v>
      </c>
    </row>
    <row r="20" spans="1:21" ht="15" customHeight="1" x14ac:dyDescent="0.25">
      <c r="A20" s="1" t="s">
        <v>6</v>
      </c>
      <c r="B20" s="3">
        <v>543</v>
      </c>
      <c r="C20" s="63">
        <f t="shared" si="6"/>
        <v>28</v>
      </c>
      <c r="D20" s="63">
        <f t="shared" si="4"/>
        <v>28</v>
      </c>
      <c r="E20" s="63">
        <f t="shared" si="4"/>
        <v>28</v>
      </c>
      <c r="F20" s="58">
        <f t="shared" si="7"/>
        <v>152</v>
      </c>
      <c r="G20" s="58">
        <f t="shared" si="5"/>
        <v>152</v>
      </c>
      <c r="H20" s="58">
        <f t="shared" si="5"/>
        <v>152</v>
      </c>
      <c r="I20" s="15">
        <f>LOOKUP(B20,{0,100,400,600,1000,1500},{0.1,0.2,0.4,0.6,0.8,1})</f>
        <v>0.4</v>
      </c>
      <c r="J20" s="60">
        <f t="shared" si="8"/>
        <v>378131.53</v>
      </c>
      <c r="K20" s="60">
        <f t="shared" si="9"/>
        <v>37813.15</v>
      </c>
      <c r="L20" s="64">
        <f t="shared" si="10"/>
        <v>415944.68000000005</v>
      </c>
      <c r="M20" s="60">
        <f t="shared" si="11"/>
        <v>1450688</v>
      </c>
      <c r="N20" s="60">
        <f t="shared" si="12"/>
        <v>1508715.52</v>
      </c>
      <c r="O20" s="60">
        <f t="shared" si="13"/>
        <v>1569064.15</v>
      </c>
      <c r="P20" s="60">
        <v>1856000</v>
      </c>
      <c r="Q20" s="60">
        <f t="shared" si="14"/>
        <v>1941300</v>
      </c>
      <c r="R20" s="60">
        <f t="shared" si="15"/>
        <v>2019000</v>
      </c>
      <c r="S20" s="61">
        <f t="shared" si="16"/>
        <v>1856</v>
      </c>
      <c r="T20" s="61">
        <f t="shared" si="17"/>
        <v>1941.3</v>
      </c>
      <c r="U20" s="62">
        <f t="shared" si="18"/>
        <v>2019</v>
      </c>
    </row>
    <row r="21" spans="1:21" ht="15" customHeight="1" x14ac:dyDescent="0.25">
      <c r="A21" s="1" t="s">
        <v>7</v>
      </c>
      <c r="B21" s="3">
        <v>921</v>
      </c>
      <c r="C21" s="63">
        <f t="shared" si="6"/>
        <v>28</v>
      </c>
      <c r="D21" s="63">
        <f t="shared" si="4"/>
        <v>28</v>
      </c>
      <c r="E21" s="63">
        <f t="shared" si="4"/>
        <v>28</v>
      </c>
      <c r="F21" s="58">
        <f t="shared" si="7"/>
        <v>258</v>
      </c>
      <c r="G21" s="58">
        <f t="shared" si="5"/>
        <v>258</v>
      </c>
      <c r="H21" s="58">
        <f t="shared" si="5"/>
        <v>258</v>
      </c>
      <c r="I21" s="15">
        <f>LOOKUP(B21,{0,100,400,600,1000,1500},{0.1,0.2,0.4,0.6,0.8,1})</f>
        <v>0.6</v>
      </c>
      <c r="J21" s="60">
        <f t="shared" si="8"/>
        <v>567197.30000000005</v>
      </c>
      <c r="K21" s="60">
        <f t="shared" si="9"/>
        <v>56719.73</v>
      </c>
      <c r="L21" s="64">
        <f t="shared" si="10"/>
        <v>623917.03</v>
      </c>
      <c r="M21" s="60">
        <f t="shared" si="11"/>
        <v>2462352</v>
      </c>
      <c r="N21" s="60">
        <f t="shared" si="12"/>
        <v>2560846.08</v>
      </c>
      <c r="O21" s="60">
        <f t="shared" si="13"/>
        <v>2663279.9299999997</v>
      </c>
      <c r="P21" s="60">
        <v>3070300</v>
      </c>
      <c r="Q21" s="60">
        <f t="shared" si="14"/>
        <v>3209799.9999999995</v>
      </c>
      <c r="R21" s="60">
        <f t="shared" si="15"/>
        <v>3338200</v>
      </c>
      <c r="S21" s="61">
        <f t="shared" si="16"/>
        <v>3070.3</v>
      </c>
      <c r="T21" s="61">
        <f t="shared" si="17"/>
        <v>3209.7999999999997</v>
      </c>
      <c r="U21" s="62">
        <f t="shared" si="18"/>
        <v>3338.2</v>
      </c>
    </row>
    <row r="22" spans="1:21" ht="15" customHeight="1" x14ac:dyDescent="0.25">
      <c r="A22" s="1" t="s">
        <v>8</v>
      </c>
      <c r="B22" s="3">
        <v>739</v>
      </c>
      <c r="C22" s="63">
        <f t="shared" si="6"/>
        <v>28</v>
      </c>
      <c r="D22" s="63">
        <f t="shared" si="4"/>
        <v>28</v>
      </c>
      <c r="E22" s="63">
        <f t="shared" si="4"/>
        <v>28</v>
      </c>
      <c r="F22" s="58">
        <f t="shared" si="7"/>
        <v>207</v>
      </c>
      <c r="G22" s="58">
        <f t="shared" si="5"/>
        <v>207</v>
      </c>
      <c r="H22" s="58">
        <f t="shared" si="5"/>
        <v>207</v>
      </c>
      <c r="I22" s="15">
        <f>LOOKUP(B22,{0,100,400,600,1000,1500},{0.1,0.2,0.4,0.6,0.8,1})</f>
        <v>0.6</v>
      </c>
      <c r="J22" s="60">
        <f t="shared" si="8"/>
        <v>567197.30000000005</v>
      </c>
      <c r="K22" s="60">
        <f t="shared" si="9"/>
        <v>56719.73</v>
      </c>
      <c r="L22" s="64">
        <f t="shared" si="10"/>
        <v>623917.03</v>
      </c>
      <c r="M22" s="60">
        <f t="shared" si="11"/>
        <v>1975608</v>
      </c>
      <c r="N22" s="60">
        <f t="shared" si="12"/>
        <v>2054632.32</v>
      </c>
      <c r="O22" s="60">
        <f t="shared" si="13"/>
        <v>2136817.6199999996</v>
      </c>
      <c r="P22" s="60">
        <v>2583600</v>
      </c>
      <c r="Q22" s="60">
        <f t="shared" si="14"/>
        <v>2703600</v>
      </c>
      <c r="R22" s="60">
        <f t="shared" si="15"/>
        <v>2811700</v>
      </c>
      <c r="S22" s="61">
        <f t="shared" si="16"/>
        <v>2583.6</v>
      </c>
      <c r="T22" s="61">
        <f t="shared" si="17"/>
        <v>2703.6</v>
      </c>
      <c r="U22" s="62">
        <f t="shared" si="18"/>
        <v>2811.7</v>
      </c>
    </row>
    <row r="23" spans="1:21" ht="15" customHeight="1" x14ac:dyDescent="0.25">
      <c r="A23" s="1" t="s">
        <v>9</v>
      </c>
      <c r="B23" s="3">
        <v>622</v>
      </c>
      <c r="C23" s="63">
        <f t="shared" si="6"/>
        <v>28</v>
      </c>
      <c r="D23" s="63">
        <f t="shared" si="4"/>
        <v>28</v>
      </c>
      <c r="E23" s="63">
        <f t="shared" si="4"/>
        <v>28</v>
      </c>
      <c r="F23" s="58">
        <f t="shared" si="7"/>
        <v>174</v>
      </c>
      <c r="G23" s="58">
        <f t="shared" si="5"/>
        <v>174</v>
      </c>
      <c r="H23" s="58">
        <f t="shared" si="5"/>
        <v>174</v>
      </c>
      <c r="I23" s="15">
        <f>LOOKUP(B23,{0,100,400,600,1000,1500},{0.1,0.2,0.4,0.6,0.8,1})</f>
        <v>0.6</v>
      </c>
      <c r="J23" s="60">
        <f t="shared" si="8"/>
        <v>567197.30000000005</v>
      </c>
      <c r="K23" s="60">
        <f t="shared" si="9"/>
        <v>56719.73</v>
      </c>
      <c r="L23" s="64">
        <f t="shared" si="10"/>
        <v>623917.03</v>
      </c>
      <c r="M23" s="60">
        <f t="shared" si="11"/>
        <v>1660656</v>
      </c>
      <c r="N23" s="60">
        <f t="shared" si="12"/>
        <v>1727082.24</v>
      </c>
      <c r="O23" s="60">
        <f t="shared" si="13"/>
        <v>1796165.53</v>
      </c>
      <c r="P23" s="60">
        <v>2268600</v>
      </c>
      <c r="Q23" s="60">
        <f t="shared" si="14"/>
        <v>2376000</v>
      </c>
      <c r="R23" s="60">
        <f t="shared" si="15"/>
        <v>2471000</v>
      </c>
      <c r="S23" s="61">
        <f t="shared" si="16"/>
        <v>2268.6</v>
      </c>
      <c r="T23" s="61">
        <f t="shared" si="17"/>
        <v>2376</v>
      </c>
      <c r="U23" s="62">
        <f t="shared" si="18"/>
        <v>2471</v>
      </c>
    </row>
    <row r="24" spans="1:21" ht="15" customHeight="1" x14ac:dyDescent="0.25">
      <c r="A24" s="1" t="s">
        <v>10</v>
      </c>
      <c r="B24" s="3">
        <v>498</v>
      </c>
      <c r="C24" s="63">
        <f t="shared" si="6"/>
        <v>28</v>
      </c>
      <c r="D24" s="63">
        <f t="shared" si="4"/>
        <v>28</v>
      </c>
      <c r="E24" s="63">
        <f t="shared" si="4"/>
        <v>28</v>
      </c>
      <c r="F24" s="58">
        <f t="shared" si="7"/>
        <v>139</v>
      </c>
      <c r="G24" s="58">
        <f t="shared" si="5"/>
        <v>139</v>
      </c>
      <c r="H24" s="58">
        <f t="shared" si="5"/>
        <v>139</v>
      </c>
      <c r="I24" s="15">
        <f>LOOKUP(B24,{0,100,400,600,1000,1500},{0.1,0.2,0.4,0.6,0.8,1})</f>
        <v>0.4</v>
      </c>
      <c r="J24" s="60">
        <f t="shared" si="8"/>
        <v>378131.53</v>
      </c>
      <c r="K24" s="60">
        <f t="shared" si="9"/>
        <v>37813.15</v>
      </c>
      <c r="L24" s="64">
        <f t="shared" si="10"/>
        <v>415944.68000000005</v>
      </c>
      <c r="M24" s="60">
        <f t="shared" si="11"/>
        <v>1326616</v>
      </c>
      <c r="N24" s="60">
        <f t="shared" si="12"/>
        <v>1379680.64</v>
      </c>
      <c r="O24" s="60">
        <f t="shared" si="13"/>
        <v>1434867.87</v>
      </c>
      <c r="P24" s="60">
        <v>1731900</v>
      </c>
      <c r="Q24" s="60">
        <f t="shared" si="14"/>
        <v>1812300</v>
      </c>
      <c r="R24" s="60">
        <f t="shared" si="15"/>
        <v>1884800</v>
      </c>
      <c r="S24" s="61">
        <f t="shared" si="16"/>
        <v>1731.9</v>
      </c>
      <c r="T24" s="61">
        <f t="shared" si="17"/>
        <v>1812.3</v>
      </c>
      <c r="U24" s="62">
        <f t="shared" si="18"/>
        <v>1884.8</v>
      </c>
    </row>
    <row r="25" spans="1:21" ht="15" customHeight="1" x14ac:dyDescent="0.25">
      <c r="A25" s="1" t="s">
        <v>11</v>
      </c>
      <c r="B25" s="3">
        <v>584</v>
      </c>
      <c r="C25" s="63">
        <f t="shared" si="6"/>
        <v>28</v>
      </c>
      <c r="D25" s="63">
        <f t="shared" si="4"/>
        <v>28</v>
      </c>
      <c r="E25" s="63">
        <f t="shared" si="4"/>
        <v>28</v>
      </c>
      <c r="F25" s="58">
        <f t="shared" si="7"/>
        <v>164</v>
      </c>
      <c r="G25" s="58">
        <f t="shared" si="5"/>
        <v>164</v>
      </c>
      <c r="H25" s="58">
        <f t="shared" si="5"/>
        <v>164</v>
      </c>
      <c r="I25" s="15">
        <f>LOOKUP(B25,{0,100,400,600,1000,1500},{0.1,0.2,0.4,0.6,0.8,1})</f>
        <v>0.4</v>
      </c>
      <c r="J25" s="60">
        <f t="shared" si="8"/>
        <v>378131.53</v>
      </c>
      <c r="K25" s="60">
        <f t="shared" si="9"/>
        <v>37813.15</v>
      </c>
      <c r="L25" s="64">
        <f t="shared" si="10"/>
        <v>415944.68000000005</v>
      </c>
      <c r="M25" s="60">
        <f t="shared" si="11"/>
        <v>1565216</v>
      </c>
      <c r="N25" s="60">
        <f t="shared" si="12"/>
        <v>1627824.64</v>
      </c>
      <c r="O25" s="60">
        <f t="shared" si="13"/>
        <v>1692937.6300000001</v>
      </c>
      <c r="P25" s="60">
        <v>1970500</v>
      </c>
      <c r="Q25" s="60">
        <f t="shared" si="14"/>
        <v>2060500</v>
      </c>
      <c r="R25" s="60">
        <f t="shared" si="15"/>
        <v>2142900</v>
      </c>
      <c r="S25" s="61">
        <f t="shared" si="16"/>
        <v>1970.5</v>
      </c>
      <c r="T25" s="61">
        <f t="shared" si="17"/>
        <v>2060.5</v>
      </c>
      <c r="U25" s="62">
        <f t="shared" si="18"/>
        <v>2142.9</v>
      </c>
    </row>
    <row r="26" spans="1:21" ht="15" customHeight="1" x14ac:dyDescent="0.25">
      <c r="A26" s="1" t="s">
        <v>12</v>
      </c>
      <c r="B26" s="3">
        <v>1078</v>
      </c>
      <c r="C26" s="63">
        <f t="shared" si="6"/>
        <v>28</v>
      </c>
      <c r="D26" s="63">
        <f t="shared" si="4"/>
        <v>28</v>
      </c>
      <c r="E26" s="63">
        <f t="shared" si="4"/>
        <v>28</v>
      </c>
      <c r="F26" s="58">
        <f t="shared" si="7"/>
        <v>302</v>
      </c>
      <c r="G26" s="58">
        <f t="shared" si="5"/>
        <v>302</v>
      </c>
      <c r="H26" s="58">
        <f t="shared" si="5"/>
        <v>302</v>
      </c>
      <c r="I26" s="15">
        <f>LOOKUP(B26,{0,100,400,600,1000,1500},{0.1,0.2,0.4,0.6,0.8,1})</f>
        <v>0.8</v>
      </c>
      <c r="J26" s="60">
        <f t="shared" si="8"/>
        <v>756263.07</v>
      </c>
      <c r="K26" s="60">
        <f t="shared" si="9"/>
        <v>75626.3</v>
      </c>
      <c r="L26" s="64">
        <f t="shared" si="10"/>
        <v>831889.37</v>
      </c>
      <c r="M26" s="60">
        <f t="shared" si="11"/>
        <v>2882288</v>
      </c>
      <c r="N26" s="60">
        <f t="shared" si="12"/>
        <v>2997579.52</v>
      </c>
      <c r="O26" s="60">
        <f t="shared" si="13"/>
        <v>3117482.71</v>
      </c>
      <c r="P26" s="60">
        <v>3692900</v>
      </c>
      <c r="Q26" s="60">
        <f t="shared" si="14"/>
        <v>3862799.9999999995</v>
      </c>
      <c r="R26" s="60">
        <f t="shared" si="15"/>
        <v>4017299.9999999995</v>
      </c>
      <c r="S26" s="61">
        <f t="shared" si="16"/>
        <v>3692.9</v>
      </c>
      <c r="T26" s="61">
        <f t="shared" si="17"/>
        <v>3862.7999999999997</v>
      </c>
      <c r="U26" s="62">
        <f t="shared" si="18"/>
        <v>4017.2999999999997</v>
      </c>
    </row>
    <row r="27" spans="1:21" ht="15" customHeight="1" x14ac:dyDescent="0.25">
      <c r="A27" s="1" t="s">
        <v>13</v>
      </c>
      <c r="B27" s="3">
        <v>467</v>
      </c>
      <c r="C27" s="63">
        <f t="shared" si="6"/>
        <v>28</v>
      </c>
      <c r="D27" s="63">
        <f t="shared" si="4"/>
        <v>28</v>
      </c>
      <c r="E27" s="63">
        <f t="shared" si="4"/>
        <v>28</v>
      </c>
      <c r="F27" s="58">
        <f t="shared" si="7"/>
        <v>131</v>
      </c>
      <c r="G27" s="58">
        <f t="shared" si="5"/>
        <v>131</v>
      </c>
      <c r="H27" s="58">
        <f t="shared" si="5"/>
        <v>131</v>
      </c>
      <c r="I27" s="15">
        <f>LOOKUP(B27,{0,100,400,600,1000,1500},{0.1,0.2,0.4,0.6,0.8,1})</f>
        <v>0.4</v>
      </c>
      <c r="J27" s="60">
        <f t="shared" si="8"/>
        <v>378131.53</v>
      </c>
      <c r="K27" s="60">
        <f t="shared" si="9"/>
        <v>37813.15</v>
      </c>
      <c r="L27" s="64">
        <f t="shared" si="10"/>
        <v>415944.68000000005</v>
      </c>
      <c r="M27" s="60">
        <f t="shared" si="11"/>
        <v>1250264</v>
      </c>
      <c r="N27" s="60">
        <f t="shared" si="12"/>
        <v>1300274.56</v>
      </c>
      <c r="O27" s="60">
        <f t="shared" si="13"/>
        <v>1352285.55</v>
      </c>
      <c r="P27" s="60">
        <v>1655600</v>
      </c>
      <c r="Q27" s="60">
        <f t="shared" si="14"/>
        <v>1732899.9999999998</v>
      </c>
      <c r="R27" s="60">
        <f t="shared" si="15"/>
        <v>1802199.9999999998</v>
      </c>
      <c r="S27" s="61">
        <f t="shared" si="16"/>
        <v>1655.6</v>
      </c>
      <c r="T27" s="61">
        <f t="shared" si="17"/>
        <v>1732.8999999999999</v>
      </c>
      <c r="U27" s="62">
        <f t="shared" si="18"/>
        <v>1802.1999999999998</v>
      </c>
    </row>
    <row r="28" spans="1:21" ht="15" customHeight="1" x14ac:dyDescent="0.25">
      <c r="A28" s="1" t="s">
        <v>15</v>
      </c>
      <c r="B28" s="3">
        <v>959</v>
      </c>
      <c r="C28" s="63">
        <f t="shared" si="6"/>
        <v>28</v>
      </c>
      <c r="D28" s="63">
        <f t="shared" si="6"/>
        <v>28</v>
      </c>
      <c r="E28" s="63">
        <f t="shared" si="6"/>
        <v>28</v>
      </c>
      <c r="F28" s="58">
        <f t="shared" si="7"/>
        <v>269</v>
      </c>
      <c r="G28" s="58">
        <f t="shared" si="7"/>
        <v>269</v>
      </c>
      <c r="H28" s="58">
        <f t="shared" si="7"/>
        <v>269</v>
      </c>
      <c r="I28" s="15">
        <f>LOOKUP(B28,{0,100,400,600,1000,1500},{0.1,0.2,0.4,0.6,0.8,1})</f>
        <v>0.6</v>
      </c>
      <c r="J28" s="60">
        <f t="shared" si="8"/>
        <v>567197.30000000005</v>
      </c>
      <c r="K28" s="60">
        <f t="shared" si="9"/>
        <v>56719.73</v>
      </c>
      <c r="L28" s="64">
        <f t="shared" si="10"/>
        <v>623917.03</v>
      </c>
      <c r="M28" s="60">
        <f t="shared" si="11"/>
        <v>2567336</v>
      </c>
      <c r="N28" s="60">
        <f t="shared" si="12"/>
        <v>2670029.44</v>
      </c>
      <c r="O28" s="60">
        <f t="shared" si="13"/>
        <v>2776830.6199999996</v>
      </c>
      <c r="P28" s="60">
        <v>3175300</v>
      </c>
      <c r="Q28" s="60">
        <f t="shared" si="14"/>
        <v>3319000</v>
      </c>
      <c r="R28" s="60">
        <f t="shared" si="15"/>
        <v>3451700</v>
      </c>
      <c r="S28" s="61">
        <f t="shared" si="16"/>
        <v>3175.3</v>
      </c>
      <c r="T28" s="61">
        <f t="shared" si="17"/>
        <v>3319</v>
      </c>
      <c r="U28" s="62">
        <f t="shared" si="18"/>
        <v>3451.7</v>
      </c>
    </row>
    <row r="29" spans="1:21" ht="15" customHeight="1" x14ac:dyDescent="0.25">
      <c r="A29" s="2" t="s">
        <v>18</v>
      </c>
      <c r="B29" s="3">
        <v>442</v>
      </c>
      <c r="C29" s="63">
        <f t="shared" si="6"/>
        <v>28</v>
      </c>
      <c r="D29" s="63">
        <f t="shared" si="6"/>
        <v>28</v>
      </c>
      <c r="E29" s="63">
        <f t="shared" si="6"/>
        <v>28</v>
      </c>
      <c r="F29" s="58">
        <f t="shared" si="7"/>
        <v>124</v>
      </c>
      <c r="G29" s="58">
        <f t="shared" si="7"/>
        <v>124</v>
      </c>
      <c r="H29" s="58">
        <f t="shared" si="7"/>
        <v>124</v>
      </c>
      <c r="I29" s="15">
        <f>LOOKUP(B29,{0,100,400,600,1000,1500},{0.1,0.2,0.4,0.6,0.8,1})</f>
        <v>0.4</v>
      </c>
      <c r="J29" s="60">
        <f t="shared" si="8"/>
        <v>378131.53</v>
      </c>
      <c r="K29" s="60">
        <f t="shared" si="9"/>
        <v>37813.15</v>
      </c>
      <c r="L29" s="64">
        <f t="shared" si="10"/>
        <v>415944.68000000005</v>
      </c>
      <c r="M29" s="60">
        <f t="shared" si="11"/>
        <v>1183456</v>
      </c>
      <c r="N29" s="60">
        <f t="shared" si="12"/>
        <v>1230794.24</v>
      </c>
      <c r="O29" s="60">
        <f t="shared" si="13"/>
        <v>1280026.01</v>
      </c>
      <c r="P29" s="60">
        <v>1588800</v>
      </c>
      <c r="Q29" s="60">
        <f t="shared" si="14"/>
        <v>1663399.9999999998</v>
      </c>
      <c r="R29" s="60">
        <f t="shared" si="15"/>
        <v>1730000</v>
      </c>
      <c r="S29" s="61">
        <f t="shared" si="16"/>
        <v>1588.8</v>
      </c>
      <c r="T29" s="61">
        <f t="shared" si="17"/>
        <v>1663.3999999999999</v>
      </c>
      <c r="U29" s="62">
        <f t="shared" si="18"/>
        <v>1730</v>
      </c>
    </row>
    <row r="30" spans="1:21" ht="15" customHeight="1" x14ac:dyDescent="0.25">
      <c r="A30" s="1" t="s">
        <v>14</v>
      </c>
      <c r="B30" s="3">
        <v>415</v>
      </c>
      <c r="C30" s="63">
        <f t="shared" si="6"/>
        <v>28</v>
      </c>
      <c r="D30" s="63">
        <f t="shared" si="4"/>
        <v>28</v>
      </c>
      <c r="E30" s="63">
        <f t="shared" si="4"/>
        <v>28</v>
      </c>
      <c r="F30" s="58">
        <f>ROUND($B30*C30%,0)</f>
        <v>116</v>
      </c>
      <c r="G30" s="58">
        <f>ROUND($B30*D30%,0)</f>
        <v>116</v>
      </c>
      <c r="H30" s="58">
        <f>ROUND($B30*E30%,0)</f>
        <v>116</v>
      </c>
      <c r="I30" s="15">
        <f>LOOKUP(B30,{0,100,400,600,1000,1500},{0.1,0.2,0.4,0.6,0.8,1})</f>
        <v>0.4</v>
      </c>
      <c r="J30" s="60">
        <f t="shared" si="8"/>
        <v>378131.53</v>
      </c>
      <c r="K30" s="60">
        <f t="shared" si="9"/>
        <v>37813.15</v>
      </c>
      <c r="L30" s="64">
        <f>J30+K30</f>
        <v>415944.68000000005</v>
      </c>
      <c r="M30" s="60">
        <f t="shared" si="11"/>
        <v>1107104</v>
      </c>
      <c r="N30" s="60">
        <f t="shared" si="12"/>
        <v>1151388.1599999999</v>
      </c>
      <c r="O30" s="60">
        <f t="shared" si="13"/>
        <v>1197443.69</v>
      </c>
      <c r="P30" s="60">
        <v>1512400</v>
      </c>
      <c r="Q30" s="60">
        <f t="shared" si="14"/>
        <v>1584000</v>
      </c>
      <c r="R30" s="60">
        <f t="shared" si="15"/>
        <v>1647399.9999999998</v>
      </c>
      <c r="S30" s="61">
        <f t="shared" si="16"/>
        <v>1512.4</v>
      </c>
      <c r="T30" s="61">
        <f t="shared" si="17"/>
        <v>1584</v>
      </c>
      <c r="U30" s="62">
        <f t="shared" si="18"/>
        <v>1647.3999999999999</v>
      </c>
    </row>
    <row r="31" spans="1:21" ht="22.5" customHeight="1" thickBot="1" x14ac:dyDescent="0.3">
      <c r="A31" s="65" t="s">
        <v>16</v>
      </c>
      <c r="B31" s="66">
        <f>SUM(B13:B30)</f>
        <v>12877</v>
      </c>
      <c r="C31" s="67"/>
      <c r="D31" s="67"/>
      <c r="E31" s="67"/>
      <c r="F31" s="66">
        <f>SUM(F13:F30)</f>
        <v>3607</v>
      </c>
      <c r="G31" s="66">
        <f>SUM(G13:G30)</f>
        <v>3607</v>
      </c>
      <c r="H31" s="66">
        <f>SUM(H13:H30)</f>
        <v>3607</v>
      </c>
      <c r="I31" s="67"/>
      <c r="J31" s="68">
        <f>SUM(J13:J30)</f>
        <v>9264222.5499999989</v>
      </c>
      <c r="K31" s="68"/>
      <c r="L31" s="68">
        <f t="shared" ref="L31:U31" si="19">SUM(L13:L30)</f>
        <v>10190644.77</v>
      </c>
      <c r="M31" s="68">
        <f t="shared" si="19"/>
        <v>34425208</v>
      </c>
      <c r="N31" s="68">
        <f t="shared" si="19"/>
        <v>35802216.32</v>
      </c>
      <c r="O31" s="68">
        <f t="shared" si="19"/>
        <v>37234305.059999995</v>
      </c>
      <c r="P31" s="68">
        <f t="shared" si="19"/>
        <v>44355300</v>
      </c>
      <c r="Q31" s="68">
        <f t="shared" si="19"/>
        <v>46401400</v>
      </c>
      <c r="R31" s="68">
        <f t="shared" si="19"/>
        <v>48257400</v>
      </c>
      <c r="S31" s="69">
        <f t="shared" si="19"/>
        <v>44355.3</v>
      </c>
      <c r="T31" s="69">
        <f t="shared" si="19"/>
        <v>46401.4</v>
      </c>
      <c r="U31" s="70">
        <f t="shared" si="19"/>
        <v>48257.4</v>
      </c>
    </row>
    <row r="33" spans="2:18" x14ac:dyDescent="0.25">
      <c r="M33" s="71"/>
      <c r="P33" s="71">
        <v>44355300</v>
      </c>
      <c r="Q33" s="72"/>
      <c r="R33" s="71"/>
    </row>
    <row r="34" spans="2:18" x14ac:dyDescent="0.25">
      <c r="B34" s="73"/>
      <c r="J34" s="71"/>
      <c r="L34" s="71"/>
      <c r="O34" s="71"/>
    </row>
    <row r="35" spans="2:18" x14ac:dyDescent="0.25">
      <c r="L35" s="71"/>
      <c r="M35" s="71"/>
      <c r="N35" s="71"/>
      <c r="P35" s="71">
        <f>P33-P31</f>
        <v>0</v>
      </c>
      <c r="Q35" s="71"/>
    </row>
    <row r="36" spans="2:18" x14ac:dyDescent="0.25">
      <c r="J36" s="71"/>
      <c r="L36" s="71"/>
      <c r="O36" s="71"/>
    </row>
    <row r="37" spans="2:18" x14ac:dyDescent="0.25">
      <c r="B37" s="73"/>
      <c r="J37" s="71"/>
      <c r="L37" s="71"/>
      <c r="N37" s="71"/>
    </row>
    <row r="38" spans="2:18" x14ac:dyDescent="0.25">
      <c r="B38" s="73"/>
      <c r="P38" s="73"/>
    </row>
    <row r="40" spans="2:18" x14ac:dyDescent="0.25">
      <c r="L40" s="71"/>
    </row>
  </sheetData>
  <mergeCells count="25">
    <mergeCell ref="B10:B12"/>
    <mergeCell ref="A10:A12"/>
    <mergeCell ref="R11:R12"/>
    <mergeCell ref="S11:S12"/>
    <mergeCell ref="T11:T12"/>
    <mergeCell ref="L10:L12"/>
    <mergeCell ref="P11:P12"/>
    <mergeCell ref="J10:J11"/>
    <mergeCell ref="Q11:Q12"/>
    <mergeCell ref="U11:U12"/>
    <mergeCell ref="F11:F12"/>
    <mergeCell ref="G11:G12"/>
    <mergeCell ref="H11:H12"/>
    <mergeCell ref="A3:U3"/>
    <mergeCell ref="C10:E10"/>
    <mergeCell ref="A4:U4"/>
    <mergeCell ref="S9:U9"/>
    <mergeCell ref="S10:U10"/>
    <mergeCell ref="F10:H10"/>
    <mergeCell ref="M10:O10"/>
    <mergeCell ref="M9:O9"/>
    <mergeCell ref="P10:R10"/>
    <mergeCell ref="P9:R9"/>
    <mergeCell ref="I10:I12"/>
    <mergeCell ref="K10:K12"/>
  </mergeCells>
  <pageMargins left="0.25" right="0.25" top="0.75" bottom="0.75" header="0.3" footer="0.3"/>
  <pageSetup paperSize="9" scale="49" orientation="landscape" r:id="rId1"/>
  <colBreaks count="1" manualBreakCount="1">
    <brk id="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2020-08-28T20:18:12Z</dcterms:modified>
</cp:coreProperties>
</file>