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3" activeTab="3"/>
  </bookViews>
  <sheets>
    <sheet name="КЦ" sheetId="40" state="hidden" r:id="rId1"/>
    <sheet name="Население на 01.01.2019" sheetId="38" state="hidden" r:id="rId2"/>
    <sheet name="органы опеки_проверка" sheetId="50" state="hidden" r:id="rId3"/>
    <sheet name="Вознаграждение " sheetId="3" r:id="rId4"/>
    <sheet name="Единовре_ФБ (проект)" sheetId="45" state="hidden" r:id="rId5"/>
    <sheet name="Жилье" sheetId="36" state="hidden" r:id="rId6"/>
    <sheet name="Питание" sheetId="39" state="hidden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5">Жилье!$B:$B</definedName>
    <definedName name="_xlnm.Print_Titles" localSheetId="12">ООУ!$A:$B</definedName>
    <definedName name="_xlnm.Print_Area" localSheetId="3">'Вознаграждение '!$A$1:$W$25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4">'Единовре_ФБ (проект)'!$A$1:$V$23</definedName>
    <definedName name="_xlnm.Print_Area" localSheetId="5">Жилье!$A$1:$O$24</definedName>
    <definedName name="_xlnm.Print_Area" localSheetId="12">ООУ!$A$1:$GV$24</definedName>
    <definedName name="_xlnm.Print_Area" localSheetId="2">'органы опеки_проверка'!$A$1:$P$23</definedName>
    <definedName name="_xlnm.Print_Area" localSheetId="6">Питание!$A$1:$AQ$24</definedName>
    <definedName name="_xlnm.Print_Area" localSheetId="9">Прогнозные!$B$1:$O$104</definedName>
  </definedNames>
  <calcPr calcId="145621"/>
</workbook>
</file>

<file path=xl/calcChain.xml><?xml version="1.0" encoding="utf-8"?>
<calcChain xmlns="http://schemas.openxmlformats.org/spreadsheetml/2006/main">
  <c r="E27" i="50" l="1"/>
  <c r="J32" i="50"/>
  <c r="J31" i="50"/>
  <c r="J30" i="50"/>
  <c r="L23" i="50"/>
  <c r="M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E18" i="50"/>
  <c r="D18" i="50"/>
  <c r="G18" i="50" s="1"/>
  <c r="C18" i="50"/>
  <c r="F18" i="50" s="1"/>
  <c r="M17" i="50"/>
  <c r="D17" i="50"/>
  <c r="E17" i="50" s="1"/>
  <c r="C17" i="50"/>
  <c r="M16" i="50"/>
  <c r="D16" i="50"/>
  <c r="G16" i="50" s="1"/>
  <c r="C16" i="50"/>
  <c r="M15" i="50"/>
  <c r="G15" i="50"/>
  <c r="D15" i="50"/>
  <c r="E15" i="50" s="1"/>
  <c r="C15" i="50"/>
  <c r="M14" i="50"/>
  <c r="D14" i="50"/>
  <c r="E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E10" i="50" s="1"/>
  <c r="C10" i="50"/>
  <c r="M9" i="50"/>
  <c r="D9" i="50"/>
  <c r="E9" i="50" s="1"/>
  <c r="C9" i="50"/>
  <c r="M8" i="50"/>
  <c r="M23" i="50" s="1"/>
  <c r="M24" i="50" s="1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G5" i="50" l="1"/>
  <c r="E6" i="50"/>
  <c r="G10" i="50"/>
  <c r="G14" i="50"/>
  <c r="F8" i="50"/>
  <c r="F10" i="50"/>
  <c r="F14" i="50"/>
  <c r="G19" i="50"/>
  <c r="G22" i="50"/>
  <c r="G11" i="50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H15" i="50" s="1"/>
  <c r="I15" i="50" s="1"/>
  <c r="F19" i="50"/>
  <c r="F30" i="50"/>
  <c r="W4" i="50"/>
  <c r="W7" i="50" s="1"/>
  <c r="I22" i="50"/>
  <c r="H7" i="50"/>
  <c r="I7" i="50" s="1"/>
  <c r="H13" i="50"/>
  <c r="I13" i="50" s="1"/>
  <c r="H17" i="50"/>
  <c r="I17" i="50" s="1"/>
  <c r="H19" i="50"/>
  <c r="I19" i="50" s="1"/>
  <c r="H21" i="50"/>
  <c r="I21" i="50" s="1"/>
  <c r="J22" i="50"/>
  <c r="K22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J31" i="36" l="1"/>
  <c r="H31" i="36"/>
  <c r="I31" i="36"/>
  <c r="S24" i="36" l="1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U7" i="36" l="1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U24" i="36" l="1"/>
  <c r="AD28" i="39" l="1"/>
  <c r="G23" i="48" l="1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G24" i="48" l="1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H6" i="48" l="1"/>
  <c r="F24" i="48"/>
  <c r="H24" i="48" l="1"/>
  <c r="I27" i="48" l="1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T16" i="45" l="1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AJ7" i="39" l="1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AJ24" i="39" l="1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N12" i="3" l="1"/>
  <c r="N13" i="3"/>
  <c r="N14" i="3"/>
  <c r="N15" i="3"/>
  <c r="T8" i="3" l="1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7" i="3"/>
  <c r="T25" i="3" l="1"/>
  <c r="R17" i="39" l="1"/>
  <c r="X8" i="39" l="1"/>
  <c r="Y17" i="39" l="1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G6" i="39"/>
  <c r="AG24" i="39" s="1"/>
  <c r="AF25" i="39" l="1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AL15" i="39" l="1"/>
  <c r="AV15" i="39" s="1"/>
  <c r="AS15" i="39"/>
  <c r="AS22" i="39"/>
  <c r="AL22" i="39"/>
  <c r="AV22" i="39" s="1"/>
  <c r="AS14" i="39"/>
  <c r="AL14" i="39"/>
  <c r="AV14" i="39" s="1"/>
  <c r="AL19" i="39"/>
  <c r="AV19" i="39" s="1"/>
  <c r="AS19" i="39"/>
  <c r="AL11" i="39"/>
  <c r="AV11" i="39" s="1"/>
  <c r="AS11" i="39"/>
  <c r="AL20" i="39"/>
  <c r="AV20" i="39" s="1"/>
  <c r="AS20" i="39"/>
  <c r="AS12" i="39"/>
  <c r="AL12" i="39"/>
  <c r="AV12" i="39" s="1"/>
  <c r="AS13" i="39"/>
  <c r="AL13" i="39"/>
  <c r="AV13" i="39" s="1"/>
  <c r="AS21" i="39"/>
  <c r="AL21" i="39"/>
  <c r="AV21" i="39" s="1"/>
  <c r="AS9" i="39"/>
  <c r="AL9" i="39"/>
  <c r="AV9" i="39" s="1"/>
  <c r="AS18" i="39"/>
  <c r="AL18" i="39"/>
  <c r="AV18" i="39" s="1"/>
  <c r="AL8" i="39"/>
  <c r="AV8" i="39" s="1"/>
  <c r="AS8" i="39"/>
  <c r="AL7" i="39"/>
  <c r="AV7" i="39" s="1"/>
  <c r="AS7" i="39"/>
  <c r="AS17" i="39"/>
  <c r="AL17" i="39"/>
  <c r="AV17" i="39" s="1"/>
  <c r="AL6" i="39"/>
  <c r="AV6" i="39" s="1"/>
  <c r="AK24" i="39"/>
  <c r="AL16" i="39"/>
  <c r="AV16" i="39" s="1"/>
  <c r="AS16" i="39"/>
  <c r="AL23" i="39"/>
  <c r="AV23" i="39" s="1"/>
  <c r="AS23" i="39"/>
  <c r="AS10" i="39"/>
  <c r="AL10" i="39"/>
  <c r="AV10" i="39" s="1"/>
  <c r="P20" i="3"/>
  <c r="Q20" i="3" s="1"/>
  <c r="L25" i="3"/>
  <c r="N20" i="3"/>
  <c r="AV24" i="39" l="1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R20" i="3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U20" i="3"/>
  <c r="AQ6" i="39" l="1"/>
  <c r="AQ24" i="39" s="1"/>
  <c r="AU24" i="39"/>
  <c r="AP24" i="39"/>
  <c r="V20" i="3"/>
  <c r="W20" i="3" s="1"/>
  <c r="AA20" i="3"/>
  <c r="AB20" i="3" s="1"/>
  <c r="AC20" i="3" s="1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K22" i="38"/>
  <c r="O90" i="23" l="1"/>
  <c r="O88" i="23"/>
  <c r="O86" i="23"/>
  <c r="O87" i="23"/>
  <c r="O53" i="23"/>
  <c r="N51" i="23"/>
  <c r="N50" i="23"/>
  <c r="N49" i="23"/>
  <c r="L51" i="23"/>
  <c r="L50" i="23"/>
  <c r="L49" i="23"/>
  <c r="F11" i="36" l="1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O6" i="36" l="1"/>
  <c r="O24" i="36" s="1"/>
  <c r="N24" i="36"/>
  <c r="R6" i="36"/>
  <c r="R24" i="36" s="1"/>
  <c r="R26" i="36" s="1"/>
  <c r="Q24" i="36"/>
  <c r="Q26" i="36" s="1"/>
  <c r="O55" i="23"/>
  <c r="O56" i="23" l="1"/>
  <c r="S25" i="3" l="1"/>
  <c r="T26" i="3" s="1"/>
  <c r="AF8" i="3" l="1"/>
  <c r="AF9" i="3"/>
  <c r="AF10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7" i="3"/>
  <c r="AP7" i="3"/>
  <c r="AP8" i="3"/>
  <c r="AP9" i="3"/>
  <c r="AP10" i="3"/>
  <c r="AP11" i="3"/>
  <c r="AP12" i="3"/>
  <c r="AP13" i="3"/>
  <c r="AP14" i="3"/>
  <c r="AP15" i="3"/>
  <c r="AP16" i="3"/>
  <c r="AP17" i="3"/>
  <c r="AP18" i="3"/>
  <c r="AP19" i="3"/>
  <c r="AP20" i="3"/>
  <c r="AP21" i="3"/>
  <c r="AP22" i="3"/>
  <c r="AP23" i="3"/>
  <c r="AP24" i="3"/>
  <c r="N7" i="3"/>
  <c r="P12" i="3" l="1"/>
  <c r="O89" i="23" l="1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G16" i="23"/>
  <c r="O19" i="23"/>
  <c r="O40" i="23"/>
  <c r="X25" i="3"/>
  <c r="M25" i="3"/>
  <c r="K25" i="3"/>
  <c r="J25" i="3"/>
  <c r="I25" i="3"/>
  <c r="AL26" i="3" s="1"/>
  <c r="H25" i="3"/>
  <c r="G25" i="3"/>
  <c r="F25" i="3"/>
  <c r="E25" i="3"/>
  <c r="AH26" i="3" s="1"/>
  <c r="D25" i="3"/>
  <c r="P24" i="3"/>
  <c r="Q24" i="3" s="1"/>
  <c r="N24" i="3"/>
  <c r="C24" i="3"/>
  <c r="P23" i="3"/>
  <c r="N23" i="3"/>
  <c r="C23" i="3"/>
  <c r="Y23" i="3" s="1"/>
  <c r="P22" i="3"/>
  <c r="Q22" i="3" s="1"/>
  <c r="N22" i="3"/>
  <c r="C22" i="3"/>
  <c r="Y22" i="3" s="1"/>
  <c r="P21" i="3"/>
  <c r="N21" i="3"/>
  <c r="C21" i="3"/>
  <c r="C20" i="3"/>
  <c r="P19" i="3"/>
  <c r="N19" i="3"/>
  <c r="C19" i="3"/>
  <c r="P18" i="3"/>
  <c r="Q18" i="3" s="1"/>
  <c r="N18" i="3"/>
  <c r="C18" i="3"/>
  <c r="Y18" i="3" s="1"/>
  <c r="P17" i="3"/>
  <c r="Q17" i="3" s="1"/>
  <c r="N17" i="3"/>
  <c r="C17" i="3"/>
  <c r="P16" i="3"/>
  <c r="N16" i="3"/>
  <c r="C16" i="3"/>
  <c r="P15" i="3"/>
  <c r="Q15" i="3" s="1"/>
  <c r="C15" i="3"/>
  <c r="Y15" i="3" s="1"/>
  <c r="P14" i="3"/>
  <c r="C14" i="3"/>
  <c r="P13" i="3"/>
  <c r="C13" i="3"/>
  <c r="Q12" i="3"/>
  <c r="C12" i="3"/>
  <c r="P11" i="3"/>
  <c r="N11" i="3"/>
  <c r="C11" i="3"/>
  <c r="P10" i="3"/>
  <c r="Q10" i="3" s="1"/>
  <c r="R10" i="3" s="1"/>
  <c r="N10" i="3"/>
  <c r="C10" i="3"/>
  <c r="P9" i="3"/>
  <c r="Q9" i="3" s="1"/>
  <c r="N9" i="3"/>
  <c r="C9" i="3"/>
  <c r="Y9" i="3" s="1"/>
  <c r="P8" i="3"/>
  <c r="Q8" i="3" s="1"/>
  <c r="N8" i="3"/>
  <c r="C8" i="3"/>
  <c r="P7" i="3"/>
  <c r="Q7" i="3" s="1"/>
  <c r="C7" i="3"/>
  <c r="Y7" i="3" s="1"/>
  <c r="O32" i="23" l="1"/>
  <c r="U10" i="3"/>
  <c r="Q19" i="3"/>
  <c r="R19" i="3" s="1"/>
  <c r="O28" i="23"/>
  <c r="AJ26" i="3"/>
  <c r="AN26" i="3"/>
  <c r="O20" i="23"/>
  <c r="Y13" i="3"/>
  <c r="AF25" i="3"/>
  <c r="Y10" i="3"/>
  <c r="Y8" i="3"/>
  <c r="R15" i="3"/>
  <c r="Q16" i="3"/>
  <c r="R16" i="3" s="1"/>
  <c r="Y21" i="3"/>
  <c r="Y24" i="3"/>
  <c r="AI26" i="3"/>
  <c r="AM26" i="3"/>
  <c r="R8" i="3"/>
  <c r="Y16" i="3"/>
  <c r="AG26" i="3"/>
  <c r="AK26" i="3"/>
  <c r="Y19" i="3"/>
  <c r="R24" i="3"/>
  <c r="R7" i="3"/>
  <c r="R22" i="3"/>
  <c r="R12" i="3"/>
  <c r="Y12" i="3"/>
  <c r="Q23" i="3"/>
  <c r="R23" i="3" s="1"/>
  <c r="O11" i="23"/>
  <c r="R17" i="3"/>
  <c r="Y17" i="3"/>
  <c r="R18" i="3"/>
  <c r="Q13" i="3"/>
  <c r="R13" i="3" s="1"/>
  <c r="Q14" i="3"/>
  <c r="R14" i="3" s="1"/>
  <c r="Y14" i="3"/>
  <c r="Q21" i="3"/>
  <c r="R21" i="3" s="1"/>
  <c r="R9" i="3"/>
  <c r="N25" i="3"/>
  <c r="AO26" i="3"/>
  <c r="Q11" i="3"/>
  <c r="R11" i="3" s="1"/>
  <c r="Y11" i="3"/>
  <c r="C25" i="3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P25" i="3"/>
  <c r="Y20" i="3"/>
  <c r="V10" i="3" l="1"/>
  <c r="W10" i="3" s="1"/>
  <c r="AA10" i="3"/>
  <c r="AB10" i="3" s="1"/>
  <c r="AC10" i="3" s="1"/>
  <c r="U13" i="3"/>
  <c r="U12" i="3"/>
  <c r="U11" i="3"/>
  <c r="U9" i="3"/>
  <c r="U18" i="3"/>
  <c r="U16" i="3"/>
  <c r="U14" i="3"/>
  <c r="U23" i="3"/>
  <c r="U15" i="3"/>
  <c r="U8" i="3"/>
  <c r="V8" i="3" s="1"/>
  <c r="U21" i="3"/>
  <c r="U17" i="3"/>
  <c r="U22" i="3"/>
  <c r="U24" i="3"/>
  <c r="U19" i="3"/>
  <c r="U7" i="3"/>
  <c r="AF26" i="3"/>
  <c r="O4" i="23"/>
  <c r="AP25" i="3"/>
  <c r="AP26" i="3" s="1"/>
  <c r="Y25" i="3"/>
  <c r="Q25" i="3"/>
  <c r="O76" i="23"/>
  <c r="O52" i="23"/>
  <c r="R25" i="3"/>
  <c r="R26" i="3" s="1"/>
  <c r="O17" i="23" l="1"/>
  <c r="V22" i="3"/>
  <c r="W22" i="3" s="1"/>
  <c r="AA22" i="3"/>
  <c r="AB22" i="3" s="1"/>
  <c r="AC22" i="3" s="1"/>
  <c r="V15" i="3"/>
  <c r="W15" i="3" s="1"/>
  <c r="AA15" i="3"/>
  <c r="AB15" i="3" s="1"/>
  <c r="AC15" i="3" s="1"/>
  <c r="V18" i="3"/>
  <c r="W18" i="3" s="1"/>
  <c r="AA18" i="3"/>
  <c r="AB18" i="3" s="1"/>
  <c r="AC18" i="3" s="1"/>
  <c r="V13" i="3"/>
  <c r="W13" i="3" s="1"/>
  <c r="AA13" i="3"/>
  <c r="AB13" i="3" s="1"/>
  <c r="AC13" i="3" s="1"/>
  <c r="V7" i="3"/>
  <c r="W7" i="3" s="1"/>
  <c r="AA7" i="3"/>
  <c r="AB7" i="3" s="1"/>
  <c r="AC7" i="3" s="1"/>
  <c r="V23" i="3"/>
  <c r="W23" i="3" s="1"/>
  <c r="AA23" i="3"/>
  <c r="AB23" i="3" s="1"/>
  <c r="AC23" i="3" s="1"/>
  <c r="V24" i="3"/>
  <c r="W24" i="3" s="1"/>
  <c r="AA24" i="3"/>
  <c r="AB24" i="3" s="1"/>
  <c r="AC24" i="3" s="1"/>
  <c r="U25" i="3"/>
  <c r="AA8" i="3"/>
  <c r="AB8" i="3" s="1"/>
  <c r="AC8" i="3" s="1"/>
  <c r="V16" i="3"/>
  <c r="W16" i="3" s="1"/>
  <c r="AA16" i="3"/>
  <c r="AB16" i="3" s="1"/>
  <c r="AC16" i="3" s="1"/>
  <c r="V12" i="3"/>
  <c r="W12" i="3" s="1"/>
  <c r="AA12" i="3"/>
  <c r="AB12" i="3" s="1"/>
  <c r="AC12" i="3" s="1"/>
  <c r="V17" i="3"/>
  <c r="W17" i="3" s="1"/>
  <c r="AA17" i="3"/>
  <c r="AB17" i="3" s="1"/>
  <c r="AC17" i="3" s="1"/>
  <c r="V9" i="3"/>
  <c r="W9" i="3" s="1"/>
  <c r="AA9" i="3"/>
  <c r="AB9" i="3" s="1"/>
  <c r="AC9" i="3" s="1"/>
  <c r="V19" i="3"/>
  <c r="W19" i="3" s="1"/>
  <c r="AA19" i="3"/>
  <c r="AB19" i="3" s="1"/>
  <c r="AC19" i="3" s="1"/>
  <c r="V21" i="3"/>
  <c r="W21" i="3" s="1"/>
  <c r="AA21" i="3"/>
  <c r="AB21" i="3" s="1"/>
  <c r="AC21" i="3" s="1"/>
  <c r="V14" i="3"/>
  <c r="W14" i="3" s="1"/>
  <c r="AA14" i="3"/>
  <c r="AB14" i="3" s="1"/>
  <c r="AC14" i="3" s="1"/>
  <c r="V11" i="3"/>
  <c r="W11" i="3" s="1"/>
  <c r="AA11" i="3"/>
  <c r="AB11" i="3" s="1"/>
  <c r="AC11" i="3" s="1"/>
  <c r="W8" i="3"/>
  <c r="O38" i="23"/>
  <c r="O8" i="23"/>
  <c r="O5" i="23"/>
  <c r="W25" i="3" l="1"/>
  <c r="AA25" i="3"/>
  <c r="V25" i="3"/>
  <c r="O42" i="23"/>
  <c r="O29" i="23"/>
  <c r="B4" i="40" l="1"/>
  <c r="AB25" i="3"/>
  <c r="AC25" i="3" l="1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O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для трудоспособного населения</t>
        </r>
      </text>
    </comment>
    <comment ref="O6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на 1кв.2020
ПЛО от 21.05.2020 N 319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4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<sst xmlns="http://schemas.openxmlformats.org/spreadsheetml/2006/main" count="1055" uniqueCount="336">
  <si>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</si>
  <si>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</si>
  <si>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</si>
  <si>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</si>
  <si>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</si>
  <si>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</si>
  <si>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</si>
  <si>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</si>
  <si>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</si>
  <si>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</si>
  <si>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</si>
  <si>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</si>
  <si>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</si>
  <si>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</si>
  <si>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</si>
  <si>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</si>
  <si>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</si>
  <si>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</si>
  <si>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</si>
  <si>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</si>
  <si>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</si>
  <si>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</si>
  <si>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</si>
  <si>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</si>
  <si>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</si>
  <si>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</si>
  <si>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</si>
  <si>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</si>
  <si>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</si>
  <si>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</si>
  <si>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</si>
  <si>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</si>
  <si>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</si>
  <si>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</si>
  <si>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</si>
  <si>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</si>
  <si>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</si>
  <si>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</si>
  <si>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</si>
  <si>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</si>
  <si>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Наименование МО</t>
  </si>
  <si>
    <t>Количество приемных семей (с учетом ранее созданных)</t>
  </si>
  <si>
    <t>из них с разбивкой по количеству приемных детей в семье</t>
  </si>
  <si>
    <t>в том числе количество детей-инвалидов пр.категорий</t>
  </si>
  <si>
    <t>Количество детей в приемных семьях (без учета родных детей) -всего</t>
  </si>
  <si>
    <t>Размер прожиточного минимума</t>
  </si>
  <si>
    <t>Начисления (27,1%)</t>
  </si>
  <si>
    <t>Динамика численности</t>
  </si>
  <si>
    <t>ФОТ</t>
  </si>
  <si>
    <t>ВСЕГО</t>
  </si>
  <si>
    <t>№</t>
  </si>
  <si>
    <t>в том числе</t>
  </si>
  <si>
    <t>до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</si>
  <si>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</si>
  <si>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</si>
  <si>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</si>
  <si>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</si>
  <si>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</si>
  <si>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</si>
  <si>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</si>
  <si>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</si>
  <si>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</si>
  <si>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</si>
  <si>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</si>
  <si>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</si>
  <si>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</si>
  <si>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</si>
  <si>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</si>
  <si>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Норма площади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</si>
  <si>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</si>
  <si>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</si>
  <si>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</si>
  <si>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</si>
  <si>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</si>
  <si>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</si>
  <si>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</si>
  <si>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</si>
  <si>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</si>
  <si>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</si>
  <si>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</si>
  <si>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</si>
  <si>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</si>
  <si>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</si>
  <si>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</si>
  <si>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</si>
  <si>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</si>
  <si>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</si>
  <si>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</si>
  <si>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</si>
  <si>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</si>
  <si>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</si>
  <si>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</si>
  <si>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</si>
  <si>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</si>
  <si>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</si>
  <si>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</si>
  <si>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</si>
  <si>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</si>
  <si>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</si>
  <si>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</si>
  <si>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</si>
  <si>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</si>
  <si>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</si>
  <si>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</si>
  <si>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</si>
  <si>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</si>
  <si>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</si>
  <si>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</si>
  <si>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</si>
  <si>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</si>
  <si>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</si>
  <si>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</si>
  <si>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</si>
  <si>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</si>
  <si>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</si>
  <si>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</si>
  <si>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</si>
  <si>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</si>
  <si>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</si>
  <si>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</si>
  <si>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</si>
  <si>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</si>
  <si>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</si>
  <si>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</si>
  <si>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</si>
  <si>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</si>
  <si>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</si>
  <si>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</si>
  <si>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</si>
  <si>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</si>
  <si>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</si>
  <si>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</si>
  <si>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</si>
  <si>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</si>
  <si>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</si>
  <si>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</si>
  <si>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</si>
  <si>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</si>
  <si>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</si>
  <si>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</si>
  <si>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</si>
  <si>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</si>
  <si>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</si>
  <si>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</si>
  <si>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</si>
  <si>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</si>
  <si>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</si>
  <si>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</si>
  <si>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</si>
  <si>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</si>
  <si>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</si>
  <si>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</si>
  <si>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</si>
  <si>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</si>
  <si>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</si>
  <si>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</si>
  <si>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</si>
  <si>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</si>
  <si>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</si>
  <si>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</si>
  <si>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</si>
  <si>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</si>
  <si>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</si>
  <si>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</si>
  <si>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</si>
  <si>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</si>
  <si>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</si>
  <si>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</si>
  <si>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</si>
  <si>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</si>
  <si>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</si>
  <si>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</si>
  <si>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</si>
  <si>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</si>
  <si>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</si>
  <si>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</si>
  <si>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</si>
  <si>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</si>
  <si>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</si>
  <si>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</si>
  <si>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</si>
  <si>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</si>
  <si>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</si>
  <si>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</si>
  <si>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</si>
  <si>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</si>
  <si>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</si>
  <si>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</si>
  <si>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</si>
  <si>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</si>
  <si>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</si>
  <si>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</si>
  <si>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</si>
  <si>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</si>
  <si>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</si>
  <si>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</si>
  <si>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</si>
  <si>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</si>
  <si>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</si>
  <si>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</si>
  <si>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</si>
  <si>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</si>
  <si>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</si>
  <si>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</si>
  <si>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</si>
  <si>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</si>
  <si>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</si>
  <si>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</si>
  <si>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</si>
  <si>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</si>
  <si>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</si>
  <si>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</si>
  <si>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</si>
  <si>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</si>
  <si>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</si>
  <si>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</si>
  <si>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</si>
  <si>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</si>
  <si>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</si>
  <si>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</si>
  <si>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</si>
  <si>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</si>
  <si>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</si>
  <si>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</si>
  <si>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</si>
  <si>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</si>
  <si>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</si>
  <si>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</si>
  <si>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</si>
  <si>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</si>
  <si>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</si>
  <si>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</si>
  <si>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</si>
  <si>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</si>
  <si>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</si>
  <si>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</si>
  <si>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</si>
  <si>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</si>
  <si>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</si>
  <si>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</si>
  <si>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</si>
  <si>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</si>
  <si>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</si>
  <si>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</si>
  <si>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>Планируемый размер вознаграждения, причитающееся приемному родителю, тыс. руб.</t>
  </si>
  <si>
    <t>Потребность в месяц, тыс. руб.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</si>
  <si>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</si>
  <si>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</si>
  <si>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</si>
  <si>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</si>
  <si>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</si>
  <si>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Стоимость питания в день с 01.09.2020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</si>
  <si>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</si>
  <si>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</si>
  <si>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</si>
  <si>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</si>
  <si>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</si>
  <si>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</si>
  <si>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</si>
  <si>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на 1 квартал 2020 года</t>
  </si>
  <si>
    <t>Потребность в средствах на 2021 год, тыс.руб.</t>
  </si>
  <si>
    <t>уточненные на июнь 2020</t>
  </si>
  <si>
    <t>Было на 2020 год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</si>
  <si>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</si>
  <si>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</si>
  <si>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</si>
  <si>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</si>
  <si>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</si>
  <si>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</si>
  <si>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</si>
  <si>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</si>
  <si>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</si>
  <si>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</si>
  <si>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</si>
  <si>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</si>
  <si>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</si>
  <si>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</si>
  <si>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</si>
  <si>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</si>
  <si>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</si>
  <si>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</si>
  <si>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</si>
  <si>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</si>
  <si>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Количество приемных семей (с учетом ранее созданных) в 2020 году</t>
  </si>
  <si>
    <t>4 % к 2020г_КЦ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</si>
  <si>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</si>
  <si>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</si>
  <si>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</si>
  <si>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 год, тыс.руб.</t>
  </si>
  <si>
    <t>Утверждено на 2020 год, тыс.руб.</t>
  </si>
  <si>
    <t>в проект закона на 2021-2023 гг, тыс.руб.</t>
  </si>
  <si>
    <t>в проект бюджета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</si>
  <si>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</si>
  <si>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</si>
  <si>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</si>
  <si>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</si>
  <si>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</si>
  <si>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</si>
  <si>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</si>
  <si>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</si>
  <si>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</si>
  <si>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</si>
  <si>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</si>
  <si>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</si>
  <si>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</si>
  <si>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</si>
  <si>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</si>
  <si>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Утверждено в областном законе на 2022 год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</si>
  <si>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</si>
  <si>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</si>
  <si>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</si>
  <si>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</si>
  <si>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</si>
  <si>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</si>
  <si>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</si>
  <si>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</si>
  <si>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</si>
  <si>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</si>
  <si>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</si>
  <si>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</si>
  <si>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</si>
  <si>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</si>
  <si>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</si>
  <si>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</si>
  <si>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</si>
  <si>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</si>
  <si>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в рамках КЦ</t>
  </si>
  <si>
    <t>доп.потребность</t>
  </si>
  <si>
    <t>в рамках КЦ на</t>
  </si>
  <si>
    <t>4 % к 2020г</t>
  </si>
  <si>
    <t>ДП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</si>
  <si>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</si>
  <si>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</si>
  <si>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</si>
  <si>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Приложение 43 к пояснительной записке 2021 года</t>
  </si>
  <si>
    <t>Расчет объема субвенций бюджетам муниципальных образований на осуществление отдельного государственного полномочия Ленинградской области по организации выплаты вознаграждения, причитающегося приемным родителям, 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</si>
</sst>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-* #,##0.0_р_._-;\-* #,##0.0_р_._-;_-* \-?_р_._-;_-@_-"/>
    <numFmt numFmtId="171" formatCode="_(* #,##0.0_);_(* \(#,##0.0\);_(* \-??_);_(@_)"/>
    <numFmt numFmtId="172" formatCode="_-* #,##0.0\ _₽_-;\-* #,##0.0\ _₽_-;_-* \-?\ _₽_-;_-@_-"/>
    <numFmt numFmtId="173" formatCode="_-* #,##0.0_р_._-;\-* #,##0.0_р_._-;_-* \-??_р_._-;_-@_-"/>
    <numFmt numFmtId="174" formatCode="#,##0.0_ ;\-#,##0.0\ "/>
    <numFmt numFmtId="175" formatCode="_(* #,##0.000_);_(* \(#,##0.000\);_(* \-??_);_(@_)"/>
    <numFmt numFmtId="176" formatCode="0.0%"/>
    <numFmt numFmtId="177" formatCode="#,###"/>
    <numFmt numFmtId="178" formatCode="_(* #,##0.00_);_(* \(#,##0.00\);_(* &quot;-&quot;??_);_(@_)"/>
    <numFmt numFmtId="179" formatCode="_(* #,##0.0_);_(* \(#,##0.0\);_(* &quot;-&quot;??_);_(@_)"/>
    <numFmt numFmtId="180" formatCode="#,##0.000"/>
    <numFmt numFmtId="181" formatCode="#,##0.00_ ;\-#,##0.00\ "/>
    <numFmt numFmtId="182" formatCode="_-* #,##0.0\ _₽_-;\-* #,##0.0\ _₽_-;_-* &quot;-&quot;?\ _₽_-;_-@_-"/>
  </numFmts>
  <fonts count="78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9"/>
      <color indexed="9"/>
      <name val="Arial Cyr"/>
      <charset val="204"/>
    </font>
    <font>
      <sz val="9"/>
      <color indexed="10"/>
      <name val="Arial Cyr"/>
      <charset val="204"/>
    </font>
    <font>
      <b/>
      <sz val="9"/>
      <color indexed="10"/>
      <name val="Arial Cyr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b/>
      <sz val="8"/>
      <name val="Arial Cyr"/>
      <charset val="204"/>
    </font>
    <font>
      <b/>
      <sz val="8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rgb="FF7030A0"/>
      <name val="Arial Cyr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8" tint="0.39997558519241921"/>
      <name val="Arial Cyr"/>
      <family val="2"/>
      <charset val="204"/>
    </font>
    <font>
      <b/>
      <sz val="10"/>
      <color indexed="9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sz val="12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7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2" fillId="0" borderId="0" applyFill="0" applyBorder="0" applyAlignment="0" applyProtection="0"/>
    <xf numFmtId="9" fontId="43" fillId="0" borderId="0" applyFill="0" applyBorder="0" applyAlignment="0" applyProtection="0"/>
    <xf numFmtId="9" fontId="43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3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7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78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0" fontId="61" fillId="7" borderId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64" fillId="0" borderId="0" applyFont="0" applyFill="0" applyBorder="0" applyAlignment="0" applyProtection="0"/>
    <xf numFmtId="0" fontId="65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0" fontId="1" fillId="7" borderId="0"/>
    <xf numFmtId="0" fontId="73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672">
    <xf numFmtId="0" fontId="0" fillId="0" borderId="0" xfId="0"/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left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172" fontId="18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7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1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/>
    </xf>
    <xf numFmtId="166" fontId="7" fillId="0" borderId="0" xfId="0" applyNumberFormat="1" applyFont="1" applyFill="1" applyBorder="1" applyAlignment="1" applyProtection="1"/>
    <xf numFmtId="166" fontId="7" fillId="0" borderId="1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26" fillId="0" borderId="0" xfId="0" applyNumberFormat="1" applyFont="1" applyFill="1" applyBorder="1" applyAlignment="1" applyProtection="1"/>
    <xf numFmtId="0" fontId="44" fillId="0" borderId="0" xfId="0" applyNumberFormat="1" applyFont="1" applyFill="1" applyBorder="1" applyAlignment="1" applyProtection="1"/>
    <xf numFmtId="0" fontId="15" fillId="0" borderId="9" xfId="0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 applyProtection="1"/>
    <xf numFmtId="171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6" fillId="5" borderId="1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6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6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6" fillId="0" borderId="1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center" wrapText="1"/>
    </xf>
    <xf numFmtId="49" fontId="26" fillId="2" borderId="1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wrapText="1"/>
    </xf>
    <xf numFmtId="0" fontId="1" fillId="0" borderId="5" xfId="162" applyFont="1" applyFill="1" applyBorder="1" applyAlignment="1">
      <alignment horizontal="center" vertical="top" wrapText="1"/>
    </xf>
    <xf numFmtId="16" fontId="36" fillId="0" borderId="5" xfId="163" applyNumberFormat="1" applyFont="1" applyFill="1" applyBorder="1" applyAlignment="1">
      <alignment horizontal="center" vertical="top" wrapText="1"/>
    </xf>
    <xf numFmtId="177" fontId="26" fillId="0" borderId="1" xfId="162" applyNumberFormat="1" applyFont="1" applyFill="1" applyBorder="1" applyAlignment="1">
      <alignment horizontal="right" vertical="center" wrapText="1"/>
    </xf>
    <xf numFmtId="174" fontId="2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2" applyNumberFormat="1" applyFont="1" applyFill="1" applyBorder="1" applyAlignment="1" applyProtection="1"/>
    <xf numFmtId="0" fontId="36" fillId="0" borderId="0" xfId="162" applyNumberFormat="1" applyFont="1" applyFill="1" applyBorder="1" applyAlignment="1" applyProtection="1"/>
    <xf numFmtId="0" fontId="1" fillId="0" borderId="0" xfId="162" applyNumberFormat="1" applyFont="1" applyFill="1" applyBorder="1" applyAlignment="1" applyProtection="1">
      <alignment horizontal="center"/>
    </xf>
    <xf numFmtId="0" fontId="8" fillId="0" borderId="1" xfId="162" applyNumberFormat="1" applyFont="1" applyFill="1" applyBorder="1" applyAlignment="1" applyProtection="1">
      <alignment vertical="center" wrapText="1"/>
    </xf>
    <xf numFmtId="0" fontId="8" fillId="0" borderId="0" xfId="162" applyNumberFormat="1" applyFont="1" applyFill="1" applyBorder="1" applyAlignment="1" applyProtection="1">
      <alignment horizontal="center" vertical="center"/>
    </xf>
    <xf numFmtId="0" fontId="5" fillId="0" borderId="0" xfId="162" applyNumberFormat="1" applyFont="1" applyFill="1" applyBorder="1" applyAlignment="1" applyProtection="1"/>
    <xf numFmtId="0" fontId="3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42" fillId="0" borderId="9" xfId="0" applyNumberFormat="1" applyFont="1" applyFill="1" applyBorder="1" applyAlignment="1" applyProtection="1">
      <alignment horizontal="center" vertical="center" wrapText="1"/>
    </xf>
    <xf numFmtId="0" fontId="52" fillId="0" borderId="0" xfId="0" applyNumberFormat="1" applyFont="1" applyFill="1" applyBorder="1" applyAlignment="1" applyProtection="1"/>
    <xf numFmtId="0" fontId="26" fillId="3" borderId="0" xfId="0" applyNumberFormat="1" applyFont="1" applyFill="1" applyBorder="1" applyAlignment="1" applyProtection="1"/>
    <xf numFmtId="0" fontId="53" fillId="0" borderId="0" xfId="0" applyNumberFormat="1" applyFont="1" applyFill="1" applyBorder="1" applyAlignment="1" applyProtection="1">
      <alignment horizontal="center"/>
    </xf>
    <xf numFmtId="166" fontId="26" fillId="0" borderId="5" xfId="0" applyNumberFormat="1" applyFont="1" applyFill="1" applyBorder="1" applyAlignment="1" applyProtection="1">
      <alignment horizontal="center" vertical="center" wrapText="1"/>
    </xf>
    <xf numFmtId="0" fontId="56" fillId="0" borderId="0" xfId="0" applyNumberFormat="1" applyFont="1" applyFill="1" applyBorder="1" applyAlignment="1" applyProtection="1"/>
    <xf numFmtId="1" fontId="56" fillId="0" borderId="0" xfId="0" applyNumberFormat="1" applyFont="1" applyFill="1" applyBorder="1" applyAlignment="1" applyProtection="1"/>
    <xf numFmtId="0" fontId="0" fillId="3" borderId="0" xfId="0" applyNumberFormat="1" applyFont="1" applyFill="1" applyBorder="1" applyAlignment="1" applyProtection="1"/>
    <xf numFmtId="0" fontId="1" fillId="0" borderId="0" xfId="161" applyFont="1" applyFill="1"/>
    <xf numFmtId="43" fontId="1" fillId="0" borderId="0" xfId="161" applyNumberFormat="1" applyFont="1" applyFill="1"/>
    <xf numFmtId="41" fontId="26" fillId="0" borderId="1" xfId="0" applyNumberFormat="1" applyFont="1" applyFill="1" applyBorder="1" applyAlignment="1" applyProtection="1">
      <alignment horizontal="center" wrapText="1"/>
    </xf>
    <xf numFmtId="41" fontId="26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4" fontId="26" fillId="0" borderId="9" xfId="0" applyNumberFormat="1" applyFont="1" applyFill="1" applyBorder="1" applyAlignment="1" applyProtection="1">
      <alignment horizontal="center" vertical="center" wrapText="1"/>
    </xf>
    <xf numFmtId="0" fontId="58" fillId="0" borderId="0" xfId="162" applyNumberFormat="1" applyFont="1" applyFill="1" applyBorder="1" applyAlignment="1" applyProtection="1">
      <alignment horizontal="center"/>
    </xf>
    <xf numFmtId="0" fontId="58" fillId="0" borderId="0" xfId="162" applyNumberFormat="1" applyFont="1" applyFill="1" applyBorder="1" applyAlignment="1" applyProtection="1"/>
    <xf numFmtId="0" fontId="35" fillId="0" borderId="5" xfId="0" applyNumberFormat="1" applyFont="1" applyFill="1" applyBorder="1" applyAlignment="1" applyProtection="1">
      <alignment horizontal="center" vertical="center" wrapText="1"/>
    </xf>
    <xf numFmtId="3" fontId="35" fillId="0" borderId="9" xfId="161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1" fontId="5" fillId="0" borderId="1" xfId="0" applyNumberFormat="1" applyFont="1" applyFill="1" applyBorder="1" applyAlignment="1" applyProtection="1">
      <alignment horizontal="center" vertical="center"/>
    </xf>
    <xf numFmtId="166" fontId="5" fillId="0" borderId="1" xfId="0" applyNumberFormat="1" applyFont="1" applyFill="1" applyBorder="1" applyAlignment="1" applyProtection="1">
      <alignment horizontal="right" vertical="center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193" applyNumberFormat="1" applyFont="1" applyFill="1" applyBorder="1" applyAlignment="1" applyProtection="1"/>
    <xf numFmtId="0" fontId="29" fillId="0" borderId="0" xfId="193" applyNumberFormat="1" applyFont="1" applyFill="1" applyBorder="1" applyAlignment="1" applyProtection="1">
      <alignment vertical="center" wrapText="1"/>
    </xf>
    <xf numFmtId="0" fontId="32" fillId="0" borderId="6" xfId="193" applyNumberFormat="1" applyFont="1" applyFill="1" applyBorder="1" applyAlignment="1" applyProtection="1">
      <alignment horizontal="center" vertical="center" wrapText="1"/>
    </xf>
    <xf numFmtId="0" fontId="15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 vertical="center" wrapText="1"/>
    </xf>
    <xf numFmtId="0" fontId="31" fillId="0" borderId="0" xfId="193" applyNumberFormat="1" applyFont="1" applyFill="1" applyBorder="1" applyAlignment="1" applyProtection="1"/>
    <xf numFmtId="0" fontId="59" fillId="0" borderId="0" xfId="193" applyNumberFormat="1" applyFont="1" applyFill="1" applyBorder="1" applyAlignment="1" applyProtection="1">
      <alignment wrapText="1"/>
    </xf>
    <xf numFmtId="0" fontId="60" fillId="0" borderId="0" xfId="193" applyNumberFormat="1" applyFont="1" applyFill="1" applyBorder="1" applyAlignment="1" applyProtection="1">
      <alignment horizontal="center" vertical="center"/>
    </xf>
    <xf numFmtId="0" fontId="60" fillId="0" borderId="0" xfId="193" applyNumberFormat="1" applyFont="1" applyFill="1" applyBorder="1" applyAlignment="1" applyProtection="1"/>
    <xf numFmtId="4" fontId="60" fillId="0" borderId="0" xfId="193" applyNumberFormat="1" applyFont="1" applyFill="1" applyBorder="1" applyAlignment="1" applyProtection="1"/>
    <xf numFmtId="166" fontId="60" fillId="0" borderId="0" xfId="193" applyNumberFormat="1" applyFont="1" applyFill="1" applyBorder="1" applyAlignment="1" applyProtection="1"/>
    <xf numFmtId="0" fontId="60" fillId="0" borderId="0" xfId="193" applyNumberFormat="1" applyFont="1" applyFill="1" applyBorder="1" applyAlignment="1" applyProtection="1">
      <alignment horizontal="center"/>
    </xf>
    <xf numFmtId="4" fontId="5" fillId="0" borderId="0" xfId="193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>
      <alignment horizontal="center"/>
    </xf>
    <xf numFmtId="180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6" fillId="0" borderId="0" xfId="0" applyNumberFormat="1" applyFont="1" applyFill="1" applyBorder="1" applyAlignment="1" applyProtection="1">
      <alignment horizontal="left" vertical="center" wrapText="1"/>
    </xf>
    <xf numFmtId="166" fontId="26" fillId="0" borderId="0" xfId="0" applyNumberFormat="1" applyFont="1" applyFill="1" applyBorder="1" applyAlignment="1" applyProtection="1">
      <alignment horizontal="center" vertical="center" wrapText="1"/>
    </xf>
    <xf numFmtId="166" fontId="52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7" xfId="0" applyNumberFormat="1" applyFont="1" applyFill="1" applyBorder="1" applyAlignment="1">
      <alignment horizontal="right" vertical="center" wrapText="1"/>
    </xf>
    <xf numFmtId="167" fontId="1" fillId="0" borderId="27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81" fontId="26" fillId="0" borderId="0" xfId="162" applyNumberFormat="1" applyFont="1" applyFill="1" applyBorder="1" applyAlignment="1" applyProtection="1"/>
    <xf numFmtId="0" fontId="5" fillId="7" borderId="0" xfId="200" applyFont="1"/>
    <xf numFmtId="0" fontId="5" fillId="7" borderId="25" xfId="200" applyFont="1" applyBorder="1"/>
    <xf numFmtId="0" fontId="5" fillId="7" borderId="25" xfId="200" applyFont="1" applyFill="1" applyBorder="1"/>
    <xf numFmtId="3" fontId="6" fillId="7" borderId="25" xfId="200" applyNumberFormat="1" applyFont="1" applyFill="1" applyBorder="1" applyAlignment="1">
      <alignment horizontal="center"/>
    </xf>
    <xf numFmtId="3" fontId="5" fillId="7" borderId="25" xfId="200" applyNumberFormat="1" applyFont="1" applyFill="1" applyBorder="1"/>
    <xf numFmtId="0" fontId="5" fillId="7" borderId="27" xfId="200" applyNumberFormat="1" applyFont="1" applyFill="1" applyBorder="1" applyAlignment="1" applyProtection="1"/>
    <xf numFmtId="3" fontId="6" fillId="7" borderId="27" xfId="200" applyNumberFormat="1" applyFont="1" applyFill="1" applyBorder="1" applyAlignment="1">
      <alignment horizontal="center"/>
    </xf>
    <xf numFmtId="3" fontId="5" fillId="7" borderId="27" xfId="200" applyNumberFormat="1" applyFont="1" applyFill="1" applyBorder="1"/>
    <xf numFmtId="3" fontId="5" fillId="7" borderId="27" xfId="200" applyNumberFormat="1" applyFont="1" applyFill="1" applyBorder="1" applyAlignment="1" applyProtection="1"/>
    <xf numFmtId="0" fontId="7" fillId="7" borderId="11" xfId="200" applyFont="1" applyBorder="1"/>
    <xf numFmtId="3" fontId="7" fillId="8" borderId="11" xfId="200" applyNumberFormat="1" applyFont="1" applyFill="1" applyBorder="1"/>
    <xf numFmtId="0" fontId="7" fillId="7" borderId="29" xfId="200" applyNumberFormat="1" applyFont="1" applyFill="1" applyBorder="1" applyAlignment="1" applyProtection="1"/>
    <xf numFmtId="3" fontId="7" fillId="7" borderId="29" xfId="200" applyNumberFormat="1" applyFont="1" applyFill="1" applyBorder="1"/>
    <xf numFmtId="0" fontId="5" fillId="0" borderId="25" xfId="200" applyFont="1" applyFill="1" applyBorder="1"/>
    <xf numFmtId="3" fontId="5" fillId="0" borderId="25" xfId="200" applyNumberFormat="1" applyFont="1" applyFill="1" applyBorder="1"/>
    <xf numFmtId="0" fontId="5" fillId="0" borderId="25" xfId="0" applyNumberFormat="1" applyFont="1" applyFill="1" applyBorder="1" applyAlignment="1" applyProtection="1"/>
    <xf numFmtId="0" fontId="5" fillId="0" borderId="17" xfId="0" applyNumberFormat="1" applyFont="1" applyFill="1" applyBorder="1" applyAlignment="1" applyProtection="1"/>
    <xf numFmtId="0" fontId="7" fillId="0" borderId="17" xfId="0" applyNumberFormat="1" applyFont="1" applyFill="1" applyBorder="1" applyAlignment="1" applyProtection="1"/>
    <xf numFmtId="0" fontId="15" fillId="0" borderId="25" xfId="0" applyNumberFormat="1" applyFont="1" applyFill="1" applyBorder="1" applyAlignment="1" applyProtection="1">
      <alignment horizontal="center" vertical="center"/>
    </xf>
    <xf numFmtId="0" fontId="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 vertical="center"/>
    </xf>
    <xf numFmtId="0" fontId="26" fillId="7" borderId="0" xfId="193" applyNumberFormat="1" applyFont="1" applyFill="1" applyBorder="1" applyAlignment="1" applyProtection="1"/>
    <xf numFmtId="0" fontId="39" fillId="7" borderId="0" xfId="193" applyNumberFormat="1" applyFont="1" applyFill="1" applyBorder="1" applyAlignment="1" applyProtection="1">
      <alignment horizontal="center"/>
    </xf>
    <xf numFmtId="0" fontId="28" fillId="7" borderId="0" xfId="193" applyNumberFormat="1" applyFont="1" applyFill="1" applyBorder="1" applyAlignment="1" applyProtection="1"/>
    <xf numFmtId="0" fontId="51" fillId="7" borderId="0" xfId="193" applyNumberFormat="1" applyFont="1" applyFill="1" applyBorder="1" applyAlignment="1" applyProtection="1">
      <alignment horizontal="center"/>
    </xf>
    <xf numFmtId="0" fontId="40" fillId="7" borderId="0" xfId="193" applyNumberFormat="1" applyFont="1" applyFill="1" applyBorder="1" applyAlignment="1" applyProtection="1">
      <alignment horizontal="center"/>
    </xf>
    <xf numFmtId="0" fontId="33" fillId="7" borderId="0" xfId="193" applyNumberFormat="1" applyFont="1" applyFill="1" applyBorder="1" applyAlignment="1" applyProtection="1">
      <alignment horizontal="center"/>
    </xf>
    <xf numFmtId="0" fontId="4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/>
    </xf>
    <xf numFmtId="0" fontId="5" fillId="7" borderId="27" xfId="193" applyNumberFormat="1" applyFont="1" applyFill="1" applyBorder="1" applyAlignment="1" applyProtection="1">
      <alignment horizontal="left"/>
    </xf>
    <xf numFmtId="0" fontId="5" fillId="7" borderId="27" xfId="193" applyNumberFormat="1" applyFont="1" applyFill="1" applyBorder="1" applyAlignment="1" applyProtection="1">
      <alignment horizontal="center"/>
    </xf>
    <xf numFmtId="0" fontId="1" fillId="7" borderId="27" xfId="193" applyNumberFormat="1" applyFont="1" applyFill="1" applyBorder="1" applyAlignment="1" applyProtection="1"/>
    <xf numFmtId="0" fontId="5" fillId="7" borderId="0" xfId="193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6" fontId="13" fillId="0" borderId="0" xfId="199" applyNumberFormat="1" applyFont="1" applyFill="1" applyBorder="1" applyAlignment="1">
      <alignment wrapText="1"/>
    </xf>
    <xf numFmtId="176" fontId="12" fillId="0" borderId="0" xfId="0" applyNumberFormat="1" applyFont="1" applyFill="1" applyBorder="1" applyAlignment="1" applyProtection="1"/>
    <xf numFmtId="166" fontId="4" fillId="0" borderId="0" xfId="0" applyNumberFormat="1" applyFont="1" applyFill="1" applyBorder="1" applyAlignment="1" applyProtection="1"/>
    <xf numFmtId="0" fontId="66" fillId="0" borderId="1" xfId="0" applyNumberFormat="1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6" fontId="1" fillId="0" borderId="25" xfId="0" applyNumberFormat="1" applyFont="1" applyFill="1" applyBorder="1" applyAlignment="1" applyProtection="1"/>
    <xf numFmtId="170" fontId="5" fillId="0" borderId="1" xfId="0" applyNumberFormat="1" applyFont="1" applyFill="1" applyBorder="1" applyAlignment="1" applyProtection="1">
      <alignment horizontal="right" vertical="center"/>
    </xf>
    <xf numFmtId="1" fontId="5" fillId="0" borderId="1" xfId="0" applyNumberFormat="1" applyFont="1" applyFill="1" applyBorder="1" applyAlignment="1" applyProtection="1">
      <alignment horizontal="right" vertical="center"/>
    </xf>
    <xf numFmtId="1" fontId="5" fillId="0" borderId="0" xfId="0" applyNumberFormat="1" applyFont="1" applyFill="1" applyBorder="1" applyAlignment="1" applyProtection="1"/>
    <xf numFmtId="1" fontId="66" fillId="0" borderId="1" xfId="0" applyNumberFormat="1" applyFont="1" applyFill="1" applyBorder="1" applyAlignment="1" applyProtection="1">
      <alignment horizontal="center" vertical="center"/>
    </xf>
    <xf numFmtId="2" fontId="5" fillId="0" borderId="1" xfId="0" applyNumberFormat="1" applyFont="1" applyFill="1" applyBorder="1" applyAlignment="1" applyProtection="1">
      <alignment horizontal="right" vertical="center"/>
    </xf>
    <xf numFmtId="2" fontId="4" fillId="0" borderId="1" xfId="0" applyNumberFormat="1" applyFont="1" applyFill="1" applyBorder="1" applyAlignment="1" applyProtection="1">
      <alignment horizontal="right" vertical="center"/>
    </xf>
    <xf numFmtId="0" fontId="67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right" wrapText="1"/>
    </xf>
    <xf numFmtId="0" fontId="67" fillId="0" borderId="1" xfId="0" applyNumberFormat="1" applyFont="1" applyFill="1" applyBorder="1" applyAlignment="1" applyProtection="1">
      <alignment wrapText="1"/>
    </xf>
    <xf numFmtId="166" fontId="7" fillId="0" borderId="1" xfId="0" applyNumberFormat="1" applyFont="1" applyFill="1" applyBorder="1" applyAlignment="1">
      <alignment wrapText="1"/>
    </xf>
    <xf numFmtId="171" fontId="7" fillId="0" borderId="1" xfId="0" applyNumberFormat="1" applyFont="1" applyFill="1" applyBorder="1" applyAlignment="1">
      <alignment wrapText="1"/>
    </xf>
    <xf numFmtId="1" fontId="7" fillId="0" borderId="1" xfId="0" applyNumberFormat="1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7" xfId="0" applyNumberFormat="1" applyFont="1" applyFill="1" applyBorder="1" applyAlignment="1" applyProtection="1">
      <alignment horizontal="right" vertical="center" wrapText="1"/>
    </xf>
    <xf numFmtId="171" fontId="1" fillId="0" borderId="0" xfId="0" applyNumberFormat="1" applyFont="1" applyFill="1" applyBorder="1" applyAlignment="1">
      <alignment horizontal="right" vertical="center" wrapText="1"/>
    </xf>
    <xf numFmtId="0" fontId="4" fillId="0" borderId="1" xfId="193" applyNumberFormat="1" applyFont="1" applyFill="1" applyBorder="1" applyAlignment="1" applyProtection="1">
      <alignment horizontal="center" vertical="center" wrapText="1"/>
    </xf>
    <xf numFmtId="0" fontId="4" fillId="0" borderId="1" xfId="193" applyNumberFormat="1" applyFont="1" applyFill="1" applyBorder="1" applyAlignment="1" applyProtection="1">
      <alignment vertical="center" wrapText="1"/>
    </xf>
    <xf numFmtId="0" fontId="4" fillId="0" borderId="1" xfId="193" applyNumberFormat="1" applyFont="1" applyFill="1" applyBorder="1" applyAlignment="1" applyProtection="1">
      <alignment horizontal="center" vertical="center"/>
    </xf>
    <xf numFmtId="168" fontId="4" fillId="0" borderId="1" xfId="193" applyNumberFormat="1" applyFont="1" applyFill="1" applyBorder="1" applyAlignment="1">
      <alignment horizontal="center" vertical="center" wrapText="1"/>
    </xf>
    <xf numFmtId="0" fontId="4" fillId="0" borderId="1" xfId="193" applyNumberFormat="1" applyFont="1" applyFill="1" applyBorder="1" applyAlignment="1" applyProtection="1">
      <alignment horizontal="right"/>
    </xf>
    <xf numFmtId="4" fontId="4" fillId="0" borderId="1" xfId="193" applyNumberFormat="1" applyFont="1" applyFill="1" applyBorder="1" applyAlignment="1" applyProtection="1">
      <alignment horizontal="right" vertical="center" wrapText="1"/>
    </xf>
    <xf numFmtId="166" fontId="4" fillId="0" borderId="1" xfId="19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/>
    </xf>
    <xf numFmtId="169" fontId="4" fillId="0" borderId="1" xfId="193" applyNumberFormat="1" applyFont="1" applyFill="1" applyBorder="1" applyAlignment="1" applyProtection="1">
      <alignment horizontal="right" vertical="center"/>
    </xf>
    <xf numFmtId="0" fontId="7" fillId="0" borderId="1" xfId="193" applyNumberFormat="1" applyFont="1" applyFill="1" applyBorder="1" applyAlignment="1" applyProtection="1">
      <alignment vertical="center" wrapText="1"/>
    </xf>
    <xf numFmtId="0" fontId="7" fillId="0" borderId="1" xfId="193" applyNumberFormat="1" applyFont="1" applyFill="1" applyBorder="1" applyAlignment="1" applyProtection="1">
      <alignment horizontal="center" vertical="center" wrapText="1"/>
    </xf>
    <xf numFmtId="168" fontId="7" fillId="0" borderId="1" xfId="193" applyNumberFormat="1" applyFont="1" applyFill="1" applyBorder="1" applyAlignment="1">
      <alignment horizontal="center" vertical="center" wrapText="1"/>
    </xf>
    <xf numFmtId="4" fontId="7" fillId="0" borderId="1" xfId="193" applyNumberFormat="1" applyFont="1" applyFill="1" applyBorder="1" applyAlignment="1">
      <alignment horizontal="right" vertical="center" wrapText="1"/>
    </xf>
    <xf numFmtId="4" fontId="7" fillId="0" borderId="1" xfId="193" applyNumberFormat="1" applyFont="1" applyFill="1" applyBorder="1" applyAlignment="1" applyProtection="1">
      <alignment horizontal="right" vertical="center" wrapText="1"/>
    </xf>
    <xf numFmtId="166" fontId="7" fillId="0" borderId="1" xfId="193" applyNumberFormat="1" applyFont="1" applyFill="1" applyBorder="1"/>
    <xf numFmtId="0" fontId="7" fillId="0" borderId="0" xfId="193" applyNumberFormat="1" applyFont="1" applyFill="1" applyBorder="1" applyAlignment="1" applyProtection="1"/>
    <xf numFmtId="171" fontId="7" fillId="0" borderId="27" xfId="193" applyNumberFormat="1" applyFont="1" applyFill="1" applyBorder="1" applyAlignment="1">
      <alignment horizontal="right" vertical="center" wrapText="1"/>
    </xf>
    <xf numFmtId="167" fontId="4" fillId="0" borderId="27" xfId="193" applyNumberFormat="1" applyFont="1" applyFill="1" applyBorder="1" applyAlignment="1" applyProtection="1">
      <alignment horizontal="center"/>
    </xf>
    <xf numFmtId="171" fontId="4" fillId="0" borderId="27" xfId="193" applyNumberFormat="1" applyFont="1" applyFill="1" applyBorder="1" applyAlignment="1">
      <alignment horizontal="right" vertical="center" wrapText="1"/>
    </xf>
    <xf numFmtId="0" fontId="4" fillId="0" borderId="27" xfId="193" applyNumberFormat="1" applyFont="1" applyFill="1" applyBorder="1" applyAlignment="1" applyProtection="1">
      <alignment horizontal="center"/>
    </xf>
    <xf numFmtId="0" fontId="4" fillId="0" borderId="27" xfId="193" applyNumberFormat="1" applyFont="1" applyFill="1" applyBorder="1" applyAlignment="1" applyProtection="1"/>
    <xf numFmtId="0" fontId="4" fillId="0" borderId="26" xfId="193" applyNumberFormat="1" applyFont="1" applyFill="1" applyBorder="1" applyAlignment="1" applyProtection="1">
      <alignment horizontal="center"/>
    </xf>
    <xf numFmtId="1" fontId="4" fillId="0" borderId="27" xfId="193" applyNumberFormat="1" applyFont="1" applyFill="1" applyBorder="1" applyAlignment="1">
      <alignment horizontal="center"/>
    </xf>
    <xf numFmtId="164" fontId="4" fillId="0" borderId="27" xfId="193" applyNumberFormat="1" applyFont="1" applyFill="1" applyBorder="1" applyAlignment="1" applyProtection="1"/>
    <xf numFmtId="171" fontId="4" fillId="0" borderId="27" xfId="193" applyNumberFormat="1" applyFont="1" applyFill="1" applyBorder="1" applyAlignment="1">
      <alignment horizontal="right"/>
    </xf>
    <xf numFmtId="164" fontId="4" fillId="0" borderId="27" xfId="193" applyNumberFormat="1" applyFont="1" applyFill="1" applyBorder="1" applyAlignment="1">
      <alignment horizontal="right"/>
    </xf>
    <xf numFmtId="171" fontId="7" fillId="0" borderId="27" xfId="193" applyNumberFormat="1" applyFont="1" applyFill="1" applyBorder="1" applyAlignment="1">
      <alignment horizontal="right"/>
    </xf>
    <xf numFmtId="173" fontId="4" fillId="0" borderId="27" xfId="193" applyNumberFormat="1" applyFont="1" applyFill="1" applyBorder="1" applyAlignment="1" applyProtection="1">
      <alignment horizontal="center"/>
    </xf>
    <xf numFmtId="173" fontId="11" fillId="0" borderId="27" xfId="193" applyNumberFormat="1" applyFont="1" applyFill="1" applyBorder="1" applyAlignment="1">
      <alignment horizontal="right"/>
    </xf>
    <xf numFmtId="168" fontId="4" fillId="0" borderId="9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left" vertical="center" wrapText="1"/>
    </xf>
    <xf numFmtId="168" fontId="7" fillId="4" borderId="17" xfId="167" applyNumberFormat="1" applyFont="1" applyFill="1" applyBorder="1" applyAlignment="1" applyProtection="1"/>
    <xf numFmtId="0" fontId="7" fillId="0" borderId="0" xfId="162" applyNumberFormat="1" applyFont="1" applyFill="1" applyBorder="1" applyAlignment="1" applyProtection="1"/>
    <xf numFmtId="0" fontId="4" fillId="0" borderId="1" xfId="162" applyNumberFormat="1" applyFont="1" applyFill="1" applyBorder="1" applyAlignment="1" applyProtection="1">
      <alignment horizontal="center"/>
    </xf>
    <xf numFmtId="0" fontId="4" fillId="0" borderId="1" xfId="162" applyNumberFormat="1" applyFont="1" applyFill="1" applyBorder="1" applyAlignment="1" applyProtection="1"/>
    <xf numFmtId="168" fontId="4" fillId="0" borderId="1" xfId="164" applyNumberFormat="1" applyFont="1" applyFill="1" applyBorder="1" applyAlignment="1" applyProtection="1">
      <alignment horizontal="center" vertical="center"/>
    </xf>
    <xf numFmtId="166" fontId="4" fillId="0" borderId="1" xfId="164" applyNumberFormat="1" applyFont="1" applyFill="1" applyBorder="1" applyAlignment="1" applyProtection="1">
      <alignment horizontal="center" vertical="center"/>
    </xf>
    <xf numFmtId="0" fontId="4" fillId="0" borderId="0" xfId="162" applyNumberFormat="1" applyFont="1" applyFill="1" applyBorder="1" applyAlignment="1" applyProtection="1"/>
    <xf numFmtId="0" fontId="63" fillId="0" borderId="0" xfId="162" applyNumberFormat="1" applyFont="1" applyFill="1" applyBorder="1" applyAlignment="1" applyProtection="1"/>
    <xf numFmtId="0" fontId="7" fillId="0" borderId="1" xfId="162" applyNumberFormat="1" applyFont="1" applyFill="1" applyBorder="1" applyAlignment="1" applyProtection="1">
      <alignment horizontal="center"/>
    </xf>
    <xf numFmtId="0" fontId="7" fillId="0" borderId="1" xfId="162" applyNumberFormat="1" applyFont="1" applyFill="1" applyBorder="1" applyAlignment="1" applyProtection="1"/>
    <xf numFmtId="0" fontId="67" fillId="0" borderId="0" xfId="162" applyNumberFormat="1" applyFont="1" applyFill="1" applyBorder="1" applyAlignment="1" applyProtection="1"/>
    <xf numFmtId="181" fontId="7" fillId="0" borderId="0" xfId="162" applyNumberFormat="1" applyFont="1" applyFill="1" applyBorder="1" applyAlignment="1" applyProtection="1"/>
    <xf numFmtId="0" fontId="26" fillId="0" borderId="0" xfId="0" applyFont="1"/>
    <xf numFmtId="0" fontId="25" fillId="0" borderId="27" xfId="0" applyNumberFormat="1" applyFont="1" applyFill="1" applyBorder="1" applyAlignment="1" applyProtection="1">
      <alignment horizontal="center" vertical="center" wrapText="1"/>
    </xf>
    <xf numFmtId="168" fontId="1" fillId="7" borderId="25" xfId="195" applyNumberFormat="1" applyFont="1" applyFill="1" applyBorder="1" applyAlignment="1">
      <alignment vertical="center" wrapText="1"/>
    </xf>
    <xf numFmtId="168" fontId="26" fillId="7" borderId="25" xfId="195" applyNumberFormat="1" applyFont="1" applyFill="1" applyBorder="1" applyAlignment="1" applyProtection="1"/>
    <xf numFmtId="168" fontId="1" fillId="0" borderId="25" xfId="195" applyNumberFormat="1" applyFont="1" applyFill="1" applyBorder="1" applyAlignment="1" applyProtection="1"/>
    <xf numFmtId="168" fontId="26" fillId="0" borderId="25" xfId="195" applyNumberFormat="1" applyFont="1" applyFill="1" applyBorder="1" applyAlignment="1" applyProtection="1"/>
    <xf numFmtId="0" fontId="35" fillId="0" borderId="0" xfId="195" applyNumberFormat="1" applyFont="1" applyFill="1" applyBorder="1" applyAlignment="1" applyProtection="1"/>
    <xf numFmtId="0" fontId="37" fillId="0" borderId="0" xfId="195" applyNumberFormat="1" applyFont="1" applyFill="1" applyBorder="1" applyAlignment="1" applyProtection="1">
      <alignment horizontal="center" vertical="center" wrapText="1"/>
    </xf>
    <xf numFmtId="0" fontId="1" fillId="0" borderId="0" xfId="195" applyNumberFormat="1" applyFont="1" applyFill="1" applyBorder="1" applyAlignment="1" applyProtection="1">
      <alignment horizontal="center" vertical="center" wrapText="1"/>
    </xf>
    <xf numFmtId="0" fontId="1" fillId="0" borderId="25" xfId="201" applyFont="1" applyFill="1" applyBorder="1" applyAlignment="1">
      <alignment horizontal="center" vertical="top" wrapText="1"/>
    </xf>
    <xf numFmtId="0" fontId="1" fillId="0" borderId="0" xfId="201" applyFont="1" applyFill="1" applyBorder="1" applyAlignment="1">
      <alignment horizontal="center" vertical="top" wrapText="1"/>
    </xf>
    <xf numFmtId="0" fontId="1" fillId="0" borderId="25" xfId="195" applyFont="1" applyFill="1" applyBorder="1" applyAlignment="1">
      <alignment horizontal="center" vertical="top" wrapText="1"/>
    </xf>
    <xf numFmtId="16" fontId="36" fillId="0" borderId="25" xfId="176" applyNumberFormat="1" applyFont="1" applyFill="1" applyBorder="1" applyAlignment="1">
      <alignment horizontal="center" vertical="top" wrapText="1"/>
    </xf>
    <xf numFmtId="0" fontId="35" fillId="0" borderId="0" xfId="195" applyNumberFormat="1" applyFont="1" applyFill="1" applyBorder="1" applyAlignment="1" applyProtection="1">
      <alignment horizontal="center" vertical="center" wrapText="1"/>
    </xf>
    <xf numFmtId="0" fontId="17" fillId="0" borderId="25" xfId="195" applyNumberFormat="1" applyFont="1" applyFill="1" applyBorder="1" applyAlignment="1" applyProtection="1">
      <alignment horizontal="center" vertical="center" wrapText="1"/>
    </xf>
    <xf numFmtId="168" fontId="1" fillId="0" borderId="25" xfId="195" applyNumberFormat="1" applyFont="1" applyFill="1" applyBorder="1" applyAlignment="1">
      <alignment vertical="center" wrapText="1"/>
    </xf>
    <xf numFmtId="168" fontId="1" fillId="0" borderId="25" xfId="195" applyNumberFormat="1" applyFont="1" applyFill="1" applyBorder="1" applyAlignment="1">
      <alignment horizontal="center" vertical="center"/>
    </xf>
    <xf numFmtId="168" fontId="17" fillId="0" borderId="25" xfId="195" applyNumberFormat="1" applyFont="1" applyFill="1" applyBorder="1" applyAlignment="1">
      <alignment horizontal="center" vertical="center"/>
    </xf>
    <xf numFmtId="0" fontId="17" fillId="0" borderId="25" xfId="195" applyNumberFormat="1" applyFont="1" applyFill="1" applyBorder="1" applyAlignment="1" applyProtection="1">
      <alignment horizontal="center" vertical="center"/>
    </xf>
    <xf numFmtId="168" fontId="1" fillId="0" borderId="0" xfId="195" applyNumberFormat="1" applyFont="1" applyFill="1" applyBorder="1" applyAlignment="1">
      <alignment vertical="center" wrapText="1"/>
    </xf>
    <xf numFmtId="0" fontId="1" fillId="0" borderId="25" xfId="195" applyNumberFormat="1" applyFont="1" applyFill="1" applyBorder="1" applyAlignment="1" applyProtection="1">
      <alignment vertical="center" wrapText="1"/>
    </xf>
    <xf numFmtId="0" fontId="5" fillId="0" borderId="25" xfId="195" applyNumberFormat="1" applyFont="1" applyFill="1" applyBorder="1" applyAlignment="1" applyProtection="1">
      <alignment vertical="center" wrapText="1"/>
    </xf>
    <xf numFmtId="164" fontId="18" fillId="0" borderId="25" xfId="198" applyFont="1" applyFill="1" applyBorder="1" applyAlignment="1" applyProtection="1">
      <alignment vertical="center" wrapText="1"/>
    </xf>
    <xf numFmtId="168" fontId="18" fillId="0" borderId="25" xfId="198" applyNumberFormat="1" applyFont="1" applyFill="1" applyBorder="1" applyAlignment="1" applyProtection="1">
      <alignment horizontal="right" vertical="center" wrapText="1"/>
    </xf>
    <xf numFmtId="3" fontId="1" fillId="0" borderId="25" xfId="195" applyNumberFormat="1" applyFont="1" applyFill="1" applyBorder="1" applyAlignment="1">
      <alignment vertical="center" wrapText="1"/>
    </xf>
    <xf numFmtId="168" fontId="1" fillId="0" borderId="25" xfId="195" applyNumberFormat="1" applyFont="1" applyFill="1" applyBorder="1"/>
    <xf numFmtId="0" fontId="26" fillId="0" borderId="25" xfId="195" applyNumberFormat="1" applyFont="1" applyFill="1" applyBorder="1" applyAlignment="1" applyProtection="1">
      <alignment vertical="center" wrapText="1"/>
    </xf>
    <xf numFmtId="168" fontId="26" fillId="0" borderId="25" xfId="195" applyNumberFormat="1" applyFont="1" applyFill="1" applyBorder="1" applyAlignment="1">
      <alignment horizontal="right" vertical="center" wrapText="1"/>
    </xf>
    <xf numFmtId="0" fontId="26" fillId="0" borderId="0" xfId="195" applyNumberFormat="1" applyFont="1" applyFill="1" applyBorder="1" applyAlignment="1" applyProtection="1"/>
    <xf numFmtId="0" fontId="35" fillId="0" borderId="0" xfId="195" applyNumberFormat="1" applyFont="1" applyFill="1" applyBorder="1" applyAlignment="1" applyProtection="1">
      <alignment vertical="center" wrapText="1"/>
    </xf>
    <xf numFmtId="168" fontId="35" fillId="0" borderId="0" xfId="195" applyNumberFormat="1" applyFont="1" applyFill="1" applyBorder="1" applyAlignment="1" applyProtection="1">
      <alignment vertical="center" wrapText="1"/>
    </xf>
    <xf numFmtId="166" fontId="35" fillId="0" borderId="0" xfId="195" applyNumberFormat="1" applyFont="1" applyFill="1" applyBorder="1" applyAlignment="1" applyProtection="1">
      <alignment vertical="center" wrapText="1"/>
    </xf>
    <xf numFmtId="0" fontId="46" fillId="0" borderId="0" xfId="195" applyNumberFormat="1" applyFont="1" applyFill="1" applyBorder="1" applyAlignment="1" applyProtection="1"/>
    <xf numFmtId="0" fontId="69" fillId="0" borderId="0" xfId="195" applyNumberFormat="1" applyFont="1" applyFill="1" applyBorder="1" applyAlignment="1" applyProtection="1"/>
    <xf numFmtId="0" fontId="1" fillId="0" borderId="0" xfId="195" applyNumberFormat="1" applyFont="1" applyFill="1" applyBorder="1" applyAlignment="1" applyProtection="1"/>
    <xf numFmtId="0" fontId="1" fillId="0" borderId="0" xfId="161" applyFill="1" applyAlignment="1">
      <alignment horizontal="center"/>
    </xf>
    <xf numFmtId="0" fontId="48" fillId="0" borderId="0" xfId="161" applyFont="1" applyFill="1" applyAlignment="1">
      <alignment horizontal="center" vertical="center" wrapText="1"/>
    </xf>
    <xf numFmtId="0" fontId="1" fillId="0" borderId="0" xfId="161" applyFill="1"/>
    <xf numFmtId="0" fontId="1" fillId="0" borderId="0" xfId="161" applyFill="1" applyAlignment="1">
      <alignment horizontal="left"/>
    </xf>
    <xf numFmtId="0" fontId="35" fillId="0" borderId="0" xfId="161" applyFont="1" applyFill="1"/>
    <xf numFmtId="0" fontId="35" fillId="0" borderId="9" xfId="161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9" xfId="161" applyFont="1" applyFill="1" applyBorder="1" applyAlignment="1">
      <alignment horizontal="center" vertical="center"/>
    </xf>
    <xf numFmtId="0" fontId="8" fillId="0" borderId="9" xfId="161" applyFont="1" applyFill="1" applyBorder="1" applyAlignment="1">
      <alignment horizontal="center" vertical="center" wrapText="1"/>
    </xf>
    <xf numFmtId="0" fontId="8" fillId="0" borderId="17" xfId="161" applyFont="1" applyFill="1" applyBorder="1" applyAlignment="1">
      <alignment horizontal="center" vertical="center" wrapText="1"/>
    </xf>
    <xf numFmtId="0" fontId="8" fillId="0" borderId="0" xfId="161" applyFont="1" applyFill="1"/>
    <xf numFmtId="0" fontId="57" fillId="0" borderId="9" xfId="161" applyFont="1" applyFill="1" applyBorder="1" applyAlignment="1">
      <alignment horizontal="center"/>
    </xf>
    <xf numFmtId="0" fontId="35" fillId="0" borderId="9" xfId="161" applyFont="1" applyFill="1" applyBorder="1" applyAlignment="1"/>
    <xf numFmtId="168" fontId="35" fillId="0" borderId="9" xfId="167" applyNumberFormat="1" applyFont="1" applyFill="1" applyBorder="1" applyAlignment="1" applyProtection="1"/>
    <xf numFmtId="168" fontId="35" fillId="0" borderId="17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center"/>
    </xf>
    <xf numFmtId="168" fontId="4" fillId="0" borderId="9" xfId="161" applyNumberFormat="1" applyFont="1" applyFill="1" applyBorder="1" applyAlignment="1">
      <alignment horizontal="left" vertical="center" wrapText="1"/>
    </xf>
    <xf numFmtId="168" fontId="4" fillId="0" borderId="17" xfId="167" applyNumberFormat="1" applyFont="1" applyFill="1" applyBorder="1" applyAlignment="1" applyProtection="1"/>
    <xf numFmtId="0" fontId="4" fillId="0" borderId="0" xfId="161" applyFont="1" applyFill="1"/>
    <xf numFmtId="0" fontId="68" fillId="0" borderId="9" xfId="161" applyFont="1" applyFill="1" applyBorder="1" applyAlignment="1">
      <alignment horizontal="center"/>
    </xf>
    <xf numFmtId="0" fontId="7" fillId="0" borderId="9" xfId="161" applyFont="1" applyFill="1" applyBorder="1" applyAlignment="1">
      <alignment horizontal="left" vertical="center" wrapText="1"/>
    </xf>
    <xf numFmtId="168" fontId="7" fillId="0" borderId="9" xfId="161" applyNumberFormat="1" applyFont="1" applyFill="1" applyBorder="1" applyAlignment="1">
      <alignment horizontal="left" vertical="center" wrapText="1"/>
    </xf>
    <xf numFmtId="168" fontId="7" fillId="0" borderId="9" xfId="167" applyNumberFormat="1" applyFont="1" applyFill="1" applyBorder="1" applyAlignment="1" applyProtection="1"/>
    <xf numFmtId="168" fontId="7" fillId="0" borderId="17" xfId="167" applyNumberFormat="1" applyFont="1" applyFill="1" applyBorder="1" applyAlignment="1" applyProtection="1"/>
    <xf numFmtId="0" fontId="7" fillId="0" borderId="0" xfId="161" applyFont="1" applyFill="1"/>
    <xf numFmtId="0" fontId="58" fillId="0" borderId="0" xfId="161" applyFont="1" applyFill="1" applyAlignment="1">
      <alignment horizontal="center" vertical="center"/>
    </xf>
    <xf numFmtId="0" fontId="1" fillId="0" borderId="0" xfId="161" applyFill="1" applyAlignment="1">
      <alignment horizontal="center" vertical="center"/>
    </xf>
    <xf numFmtId="3" fontId="1" fillId="0" borderId="0" xfId="161" applyNumberFormat="1" applyFont="1" applyFill="1"/>
    <xf numFmtId="0" fontId="8" fillId="0" borderId="25" xfId="161" applyFont="1" applyFill="1" applyBorder="1" applyAlignment="1">
      <alignment horizontal="center" vertical="center" wrapText="1"/>
    </xf>
    <xf numFmtId="0" fontId="8" fillId="0" borderId="25" xfId="161" applyFont="1" applyFill="1" applyBorder="1"/>
    <xf numFmtId="0" fontId="35" fillId="0" borderId="25" xfId="161" applyFont="1" applyFill="1" applyBorder="1"/>
    <xf numFmtId="0" fontId="4" fillId="0" borderId="25" xfId="161" applyFont="1" applyFill="1" applyBorder="1"/>
    <xf numFmtId="166" fontId="4" fillId="0" borderId="25" xfId="161" applyNumberFormat="1" applyFont="1" applyFill="1" applyBorder="1" applyAlignment="1"/>
    <xf numFmtId="0" fontId="8" fillId="7" borderId="25" xfId="193" applyFont="1" applyFill="1" applyBorder="1" applyAlignment="1">
      <alignment horizontal="center" vertical="center" wrapText="1"/>
    </xf>
    <xf numFmtId="168" fontId="35" fillId="7" borderId="25" xfId="167" applyNumberFormat="1" applyFont="1" applyFill="1" applyBorder="1" applyAlignment="1" applyProtection="1"/>
    <xf numFmtId="0" fontId="8" fillId="7" borderId="17" xfId="193" applyFont="1" applyFill="1" applyBorder="1" applyAlignment="1">
      <alignment horizontal="center" vertical="center" wrapText="1"/>
    </xf>
    <xf numFmtId="168" fontId="35" fillId="7" borderId="17" xfId="167" applyNumberFormat="1" applyFont="1" applyFill="1" applyBorder="1" applyAlignment="1" applyProtection="1"/>
    <xf numFmtId="168" fontId="4" fillId="0" borderId="25" xfId="161" applyNumberFormat="1" applyFont="1" applyFill="1" applyBorder="1"/>
    <xf numFmtId="168" fontId="7" fillId="0" borderId="25" xfId="167" applyNumberFormat="1" applyFont="1" applyFill="1" applyBorder="1" applyAlignment="1" applyProtection="1"/>
    <xf numFmtId="168" fontId="63" fillId="0" borderId="25" xfId="161" applyNumberFormat="1" applyFont="1" applyFill="1" applyBorder="1"/>
    <xf numFmtId="0" fontId="35" fillId="0" borderId="0" xfId="161" applyNumberFormat="1" applyFont="1" applyFill="1"/>
    <xf numFmtId="166" fontId="7" fillId="0" borderId="17" xfId="167" applyNumberFormat="1" applyFont="1" applyFill="1" applyBorder="1" applyAlignment="1" applyProtection="1"/>
    <xf numFmtId="168" fontId="1" fillId="0" borderId="0" xfId="161" applyNumberFormat="1" applyFill="1"/>
    <xf numFmtId="166" fontId="1" fillId="0" borderId="25" xfId="195" applyNumberFormat="1" applyFont="1" applyFill="1" applyBorder="1" applyAlignment="1" applyProtection="1"/>
    <xf numFmtId="166" fontId="26" fillId="0" borderId="25" xfId="195" applyNumberFormat="1" applyFont="1" applyFill="1" applyBorder="1" applyAlignment="1" applyProtection="1"/>
    <xf numFmtId="168" fontId="4" fillId="0" borderId="25" xfId="167" applyNumberFormat="1" applyFont="1" applyFill="1" applyBorder="1" applyAlignment="1" applyProtection="1"/>
    <xf numFmtId="166" fontId="26" fillId="4" borderId="25" xfId="195" applyNumberFormat="1" applyFont="1" applyFill="1" applyBorder="1" applyAlignment="1" applyProtection="1"/>
    <xf numFmtId="3" fontId="26" fillId="4" borderId="25" xfId="195" applyNumberFormat="1" applyFont="1" applyFill="1" applyBorder="1" applyAlignment="1" applyProtection="1"/>
    <xf numFmtId="0" fontId="8" fillId="0" borderId="17" xfId="161" applyFont="1" applyFill="1" applyBorder="1"/>
    <xf numFmtId="166" fontId="7" fillId="4" borderId="17" xfId="167" applyNumberFormat="1" applyFont="1" applyFill="1" applyBorder="1" applyAlignment="1" applyProtection="1"/>
    <xf numFmtId="3" fontId="7" fillId="4" borderId="17" xfId="167" applyNumberFormat="1" applyFont="1" applyFill="1" applyBorder="1" applyAlignment="1" applyProtection="1"/>
    <xf numFmtId="3" fontId="26" fillId="0" borderId="25" xfId="195" applyNumberFormat="1" applyFont="1" applyFill="1" applyBorder="1" applyAlignment="1" applyProtection="1"/>
    <xf numFmtId="166" fontId="46" fillId="0" borderId="0" xfId="195" applyNumberFormat="1" applyFont="1" applyFill="1" applyBorder="1" applyAlignment="1" applyProtection="1"/>
    <xf numFmtId="182" fontId="1" fillId="0" borderId="0" xfId="161" applyNumberFormat="1" applyFill="1" applyAlignment="1">
      <alignment horizontal="center" vertical="center"/>
    </xf>
    <xf numFmtId="0" fontId="8" fillId="0" borderId="25" xfId="161" applyFont="1" applyFill="1" applyBorder="1" applyAlignment="1">
      <alignment horizontal="center"/>
    </xf>
    <xf numFmtId="1" fontId="35" fillId="7" borderId="25" xfId="193" applyNumberFormat="1" applyFont="1" applyFill="1" applyBorder="1" applyAlignment="1" applyProtection="1">
      <alignment horizontal="center" vertical="center" wrapText="1"/>
    </xf>
    <xf numFmtId="0" fontId="1" fillId="7" borderId="27" xfId="193" applyNumberFormat="1" applyFont="1" applyFill="1" applyBorder="1" applyAlignment="1" applyProtection="1">
      <alignment horizontal="center"/>
    </xf>
    <xf numFmtId="0" fontId="5" fillId="7" borderId="27" xfId="193" applyNumberFormat="1" applyFont="1" applyFill="1" applyBorder="1" applyAlignment="1" applyProtection="1"/>
    <xf numFmtId="0" fontId="16" fillId="7" borderId="27" xfId="193" applyNumberFormat="1" applyFont="1" applyFill="1" applyBorder="1" applyAlignment="1" applyProtection="1">
      <alignment horizontal="center"/>
    </xf>
    <xf numFmtId="1" fontId="1" fillId="7" borderId="29" xfId="193" applyNumberFormat="1" applyFont="1" applyFill="1" applyBorder="1" applyAlignment="1">
      <alignment horizontal="center"/>
    </xf>
    <xf numFmtId="167" fontId="1" fillId="7" borderId="27" xfId="193" applyNumberFormat="1" applyFont="1" applyFill="1" applyBorder="1" applyAlignment="1" applyProtection="1">
      <alignment horizontal="center"/>
    </xf>
    <xf numFmtId="164" fontId="1" fillId="7" borderId="29" xfId="193" applyNumberFormat="1" applyFont="1" applyFill="1" applyBorder="1" applyAlignment="1">
      <alignment horizontal="right"/>
    </xf>
    <xf numFmtId="4" fontId="1" fillId="7" borderId="10" xfId="193" applyNumberFormat="1" applyFont="1" applyFill="1" applyBorder="1" applyAlignment="1">
      <alignment horizontal="right"/>
    </xf>
    <xf numFmtId="164" fontId="1" fillId="7" borderId="38" xfId="193" applyNumberFormat="1" applyFont="1" applyFill="1" applyBorder="1" applyAlignment="1">
      <alignment horizontal="right"/>
    </xf>
    <xf numFmtId="1" fontId="1" fillId="7" borderId="27" xfId="193" applyNumberFormat="1" applyFont="1" applyFill="1" applyBorder="1" applyAlignment="1">
      <alignment horizontal="center"/>
    </xf>
    <xf numFmtId="0" fontId="26" fillId="7" borderId="27" xfId="193" applyNumberFormat="1" applyFont="1" applyFill="1" applyBorder="1" applyAlignment="1" applyProtection="1">
      <alignment horizontal="center"/>
    </xf>
    <xf numFmtId="0" fontId="33" fillId="7" borderId="27" xfId="193" applyNumberFormat="1" applyFont="1" applyFill="1" applyBorder="1" applyAlignment="1" applyProtection="1"/>
    <xf numFmtId="0" fontId="33" fillId="7" borderId="27" xfId="193" applyNumberFormat="1" applyFont="1" applyFill="1" applyBorder="1" applyAlignment="1" applyProtection="1">
      <alignment horizontal="center"/>
    </xf>
    <xf numFmtId="167" fontId="26" fillId="7" borderId="27" xfId="193" applyNumberFormat="1" applyFont="1" applyFill="1" applyBorder="1" applyAlignment="1" applyProtection="1">
      <alignment horizontal="center"/>
    </xf>
    <xf numFmtId="4" fontId="26" fillId="7" borderId="30" xfId="193" applyNumberFormat="1" applyFont="1" applyFill="1" applyBorder="1" applyAlignment="1" applyProtection="1">
      <alignment horizontal="right"/>
    </xf>
    <xf numFmtId="171" fontId="26" fillId="7" borderId="38" xfId="193" applyNumberFormat="1" applyFont="1" applyFill="1" applyBorder="1" applyAlignment="1" applyProtection="1">
      <alignment horizontal="right"/>
    </xf>
    <xf numFmtId="43" fontId="70" fillId="7" borderId="0" xfId="193" applyNumberFormat="1" applyFont="1" applyFill="1" applyBorder="1" applyAlignment="1" applyProtection="1">
      <alignment horizontal="center"/>
    </xf>
    <xf numFmtId="182" fontId="70" fillId="7" borderId="0" xfId="193" applyNumberFormat="1" applyFont="1" applyFill="1" applyBorder="1" applyAlignment="1" applyProtection="1">
      <alignment horizontal="center"/>
    </xf>
    <xf numFmtId="0" fontId="26" fillId="7" borderId="0" xfId="193" applyNumberFormat="1" applyFont="1" applyFill="1" applyBorder="1" applyAlignment="1" applyProtection="1">
      <alignment horizontal="right"/>
    </xf>
    <xf numFmtId="164" fontId="1" fillId="7" borderId="0" xfId="193" applyNumberFormat="1" applyFont="1" applyFill="1" applyBorder="1" applyAlignment="1">
      <alignment horizontal="right"/>
    </xf>
    <xf numFmtId="0" fontId="71" fillId="7" borderId="0" xfId="193" applyNumberFormat="1" applyFont="1" applyFill="1" applyBorder="1" applyAlignment="1" applyProtection="1">
      <alignment horizontal="center" vertical="center" wrapText="1"/>
    </xf>
    <xf numFmtId="0" fontId="70" fillId="7" borderId="0" xfId="193" applyNumberFormat="1" applyFont="1" applyFill="1" applyBorder="1" applyAlignment="1" applyProtection="1">
      <alignment horizontal="center"/>
    </xf>
    <xf numFmtId="0" fontId="72" fillId="7" borderId="0" xfId="193" applyNumberFormat="1" applyFont="1" applyFill="1" applyBorder="1" applyAlignment="1" applyProtection="1">
      <alignment horizontal="left"/>
    </xf>
    <xf numFmtId="168" fontId="1" fillId="7" borderId="0" xfId="193" applyNumberFormat="1" applyFont="1" applyFill="1" applyBorder="1" applyAlignment="1" applyProtection="1">
      <alignment horizontal="center"/>
    </xf>
    <xf numFmtId="1" fontId="1" fillId="7" borderId="27" xfId="193" applyNumberFormat="1" applyFont="1" applyFill="1" applyBorder="1" applyAlignment="1">
      <alignment horizontal="right"/>
    </xf>
    <xf numFmtId="0" fontId="26" fillId="7" borderId="0" xfId="193" applyNumberFormat="1" applyFont="1" applyFill="1" applyBorder="1" applyAlignment="1" applyProtection="1">
      <alignment horizontal="center"/>
    </xf>
    <xf numFmtId="171" fontId="26" fillId="4" borderId="27" xfId="193" applyNumberFormat="1" applyFont="1" applyFill="1" applyBorder="1" applyAlignment="1" applyProtection="1">
      <alignment horizontal="right"/>
    </xf>
    <xf numFmtId="9" fontId="1" fillId="0" borderId="0" xfId="194" applyFill="1" applyBorder="1" applyAlignment="1" applyProtection="1">
      <alignment horizontal="center" vertical="center" wrapText="1"/>
    </xf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166" fontId="7" fillId="0" borderId="19" xfId="0" applyNumberFormat="1" applyFont="1" applyFill="1" applyBorder="1" applyAlignment="1" applyProtection="1"/>
    <xf numFmtId="1" fontId="5" fillId="0" borderId="0" xfId="0" applyNumberFormat="1" applyFont="1" applyFill="1" applyBorder="1" applyAlignment="1" applyProtection="1">
      <alignment horizontal="right" vertical="center"/>
    </xf>
    <xf numFmtId="1" fontId="7" fillId="0" borderId="0" xfId="0" applyNumberFormat="1" applyFont="1" applyFill="1" applyBorder="1" applyAlignment="1">
      <alignment wrapText="1"/>
    </xf>
    <xf numFmtId="9" fontId="1" fillId="0" borderId="35" xfId="194" applyFill="1" applyBorder="1" applyAlignment="1" applyProtection="1">
      <alignment horizontal="center" vertical="center" wrapText="1"/>
    </xf>
    <xf numFmtId="1" fontId="35" fillId="7" borderId="25" xfId="193" applyNumberFormat="1" applyFont="1" applyFill="1" applyBorder="1" applyAlignment="1" applyProtection="1">
      <alignment horizontal="center" vertical="center" wrapText="1"/>
    </xf>
    <xf numFmtId="164" fontId="1" fillId="7" borderId="0" xfId="193" applyNumberFormat="1" applyFont="1" applyFill="1" applyBorder="1" applyAlignment="1" applyProtection="1"/>
    <xf numFmtId="182" fontId="1" fillId="7" borderId="0" xfId="193" applyNumberFormat="1" applyFont="1" applyFill="1" applyBorder="1" applyAlignment="1" applyProtection="1"/>
    <xf numFmtId="166" fontId="5" fillId="0" borderId="0" xfId="193" applyNumberFormat="1" applyFont="1" applyFill="1" applyBorder="1" applyAlignment="1" applyProtection="1"/>
    <xf numFmtId="166" fontId="1" fillId="0" borderId="41" xfId="0" applyNumberFormat="1" applyFont="1" applyFill="1" applyBorder="1" applyAlignment="1" applyProtection="1"/>
    <xf numFmtId="166" fontId="1" fillId="0" borderId="39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24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wrapText="1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1" fontId="24" fillId="0" borderId="26" xfId="0" applyNumberFormat="1" applyFont="1" applyFill="1" applyBorder="1" applyAlignment="1" applyProtection="1">
      <alignment horizontal="center" vertical="center" wrapText="1"/>
    </xf>
    <xf numFmtId="0" fontId="15" fillId="0" borderId="3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166" fontId="4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0" fontId="15" fillId="0" borderId="0" xfId="193" applyNumberFormat="1" applyFont="1" applyFill="1" applyBorder="1" applyAlignment="1" applyProtection="1">
      <alignment horizontal="center" vertical="center" wrapText="1"/>
    </xf>
    <xf numFmtId="166" fontId="7" fillId="0" borderId="40" xfId="193" applyNumberFormat="1" applyFont="1" applyFill="1" applyBorder="1"/>
    <xf numFmtId="166" fontId="7" fillId="0" borderId="42" xfId="0" applyNumberFormat="1" applyFont="1" applyFill="1" applyBorder="1" applyAlignment="1" applyProtection="1"/>
    <xf numFmtId="1" fontId="24" fillId="0" borderId="43" xfId="0" applyNumberFormat="1" applyFont="1" applyFill="1" applyBorder="1" applyAlignment="1" applyProtection="1">
      <alignment horizontal="center" vertical="center" wrapText="1"/>
    </xf>
    <xf numFmtId="166" fontId="4" fillId="0" borderId="39" xfId="0" applyNumberFormat="1" applyFont="1" applyFill="1" applyBorder="1" applyAlignment="1" applyProtection="1"/>
    <xf numFmtId="166" fontId="7" fillId="0" borderId="39" xfId="193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3" applyNumberFormat="1" applyFont="1" applyFill="1" applyBorder="1" applyAlignment="1" applyProtection="1"/>
    <xf numFmtId="0" fontId="38" fillId="0" borderId="25" xfId="193" applyNumberFormat="1" applyFont="1" applyFill="1" applyBorder="1" applyAlignment="1" applyProtection="1">
      <alignment horizontal="center" vertical="center" wrapText="1"/>
    </xf>
    <xf numFmtId="0" fontId="1" fillId="0" borderId="0" xfId="193" applyNumberFormat="1" applyFont="1" applyFill="1" applyBorder="1" applyAlignment="1" applyProtection="1">
      <alignment horizontal="center" vertical="center"/>
    </xf>
    <xf numFmtId="1" fontId="35" fillId="0" borderId="27" xfId="193" applyNumberFormat="1" applyFont="1" applyFill="1" applyBorder="1" applyAlignment="1" applyProtection="1">
      <alignment horizontal="center" vertical="top" wrapText="1"/>
    </xf>
    <xf numFmtId="1" fontId="35" fillId="0" borderId="27" xfId="193" applyNumberFormat="1" applyFont="1" applyFill="1" applyBorder="1" applyAlignment="1" applyProtection="1">
      <alignment horizontal="center" vertical="center" wrapText="1"/>
    </xf>
    <xf numFmtId="1" fontId="35" fillId="0" borderId="29" xfId="193" applyNumberFormat="1" applyFont="1" applyFill="1" applyBorder="1" applyAlignment="1" applyProtection="1">
      <alignment horizontal="center" vertical="center" wrapText="1"/>
    </xf>
    <xf numFmtId="0" fontId="1" fillId="0" borderId="43" xfId="193" applyNumberFormat="1" applyFont="1" applyFill="1" applyBorder="1" applyAlignment="1" applyProtection="1">
      <alignment horizontal="center" vertical="center" wrapText="1"/>
    </xf>
    <xf numFmtId="0" fontId="7" fillId="0" borderId="27" xfId="193" applyNumberFormat="1" applyFont="1" applyFill="1" applyBorder="1" applyAlignment="1" applyProtection="1">
      <alignment horizontal="center"/>
    </xf>
    <xf numFmtId="0" fontId="7" fillId="0" borderId="27" xfId="193" applyNumberFormat="1" applyFont="1" applyFill="1" applyBorder="1" applyAlignment="1" applyProtection="1"/>
    <xf numFmtId="171" fontId="7" fillId="0" borderId="27" xfId="193" applyNumberFormat="1" applyFont="1" applyFill="1" applyBorder="1"/>
    <xf numFmtId="171" fontId="7" fillId="0" borderId="27" xfId="193" applyNumberFormat="1" applyFont="1" applyFill="1" applyBorder="1" applyAlignment="1" applyProtection="1">
      <alignment horizontal="right"/>
    </xf>
    <xf numFmtId="167" fontId="7" fillId="0" borderId="27" xfId="193" applyNumberFormat="1" applyFont="1" applyFill="1" applyBorder="1" applyAlignment="1" applyProtection="1">
      <alignment horizontal="center"/>
    </xf>
    <xf numFmtId="173" fontId="7" fillId="0" borderId="27" xfId="193" applyNumberFormat="1" applyFont="1" applyFill="1" applyBorder="1" applyAlignment="1" applyProtection="1">
      <alignment horizontal="center"/>
    </xf>
    <xf numFmtId="171" fontId="7" fillId="0" borderId="40" xfId="193" applyNumberFormat="1" applyFont="1" applyFill="1" applyBorder="1" applyAlignment="1">
      <alignment horizontal="right"/>
    </xf>
    <xf numFmtId="171" fontId="7" fillId="0" borderId="39" xfId="193" applyNumberFormat="1" applyFont="1" applyFill="1" applyBorder="1" applyAlignment="1">
      <alignment horizontal="right"/>
    </xf>
    <xf numFmtId="0" fontId="39" fillId="0" borderId="0" xfId="193" applyNumberFormat="1" applyFont="1" applyFill="1" applyBorder="1" applyAlignment="1" applyProtection="1">
      <alignment horizontal="center"/>
    </xf>
    <xf numFmtId="0" fontId="28" fillId="0" borderId="0" xfId="193" applyNumberFormat="1" applyFont="1" applyFill="1" applyBorder="1" applyAlignment="1" applyProtection="1"/>
    <xf numFmtId="0" fontId="51" fillId="0" borderId="0" xfId="193" applyNumberFormat="1" applyFont="1" applyFill="1" applyBorder="1" applyAlignment="1" applyProtection="1">
      <alignment horizontal="center"/>
    </xf>
    <xf numFmtId="182" fontId="26" fillId="0" borderId="0" xfId="193" applyNumberFormat="1" applyFont="1" applyFill="1" applyBorder="1" applyAlignment="1" applyProtection="1"/>
    <xf numFmtId="0" fontId="40" fillId="0" borderId="0" xfId="193" applyNumberFormat="1" applyFont="1" applyFill="1" applyBorder="1" applyAlignment="1" applyProtection="1">
      <alignment horizontal="center"/>
    </xf>
    <xf numFmtId="0" fontId="33" fillId="0" borderId="0" xfId="193" applyNumberFormat="1" applyFont="1" applyFill="1" applyBorder="1" applyAlignment="1" applyProtection="1">
      <alignment horizontal="center"/>
    </xf>
    <xf numFmtId="182" fontId="40" fillId="0" borderId="0" xfId="193" applyNumberFormat="1" applyFont="1" applyFill="1" applyBorder="1" applyAlignment="1" applyProtection="1">
      <alignment horizontal="center"/>
    </xf>
    <xf numFmtId="0" fontId="41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center"/>
    </xf>
    <xf numFmtId="0" fontId="5" fillId="0" borderId="27" xfId="193" applyNumberFormat="1" applyFont="1" applyFill="1" applyBorder="1" applyAlignment="1" applyProtection="1">
      <alignment horizontal="left"/>
    </xf>
    <xf numFmtId="0" fontId="5" fillId="0" borderId="27" xfId="193" applyNumberFormat="1" applyFont="1" applyFill="1" applyBorder="1" applyAlignment="1" applyProtection="1">
      <alignment horizontal="center"/>
    </xf>
    <xf numFmtId="0" fontId="1" fillId="0" borderId="27" xfId="193" applyNumberFormat="1" applyFont="1" applyFill="1" applyBorder="1" applyAlignment="1" applyProtection="1"/>
    <xf numFmtId="0" fontId="1" fillId="0" borderId="25" xfId="193" applyNumberFormat="1" applyFont="1" applyFill="1" applyBorder="1" applyAlignment="1" applyProtection="1">
      <alignment horizontal="left" vertical="center"/>
    </xf>
    <xf numFmtId="0" fontId="1" fillId="0" borderId="25" xfId="193" applyNumberFormat="1" applyFont="1" applyFill="1" applyBorder="1" applyAlignment="1" applyProtection="1">
      <alignment horizontal="right" vertical="center"/>
    </xf>
    <xf numFmtId="171" fontId="1" fillId="0" borderId="32" xfId="193" applyNumberFormat="1" applyFont="1" applyFill="1" applyBorder="1" applyAlignment="1">
      <alignment vertical="center" wrapText="1"/>
    </xf>
    <xf numFmtId="0" fontId="30" fillId="0" borderId="0" xfId="193" applyNumberFormat="1" applyFont="1" applyFill="1" applyBorder="1" applyAlignment="1" applyProtection="1"/>
    <xf numFmtId="175" fontId="1" fillId="0" borderId="32" xfId="193" applyNumberFormat="1" applyFont="1" applyFill="1" applyBorder="1" applyAlignment="1">
      <alignment vertical="center" wrapText="1"/>
    </xf>
    <xf numFmtId="179" fontId="5" fillId="0" borderId="0" xfId="173" applyNumberFormat="1" applyFont="1" applyFill="1" applyBorder="1"/>
    <xf numFmtId="0" fontId="1" fillId="0" borderId="25" xfId="193" applyNumberFormat="1" applyFont="1" applyFill="1" applyBorder="1" applyAlignment="1" applyProtection="1">
      <alignment horizontal="right" vertical="center" wrapText="1"/>
    </xf>
    <xf numFmtId="0" fontId="26" fillId="0" borderId="0" xfId="193" applyNumberFormat="1" applyFont="1" applyFill="1" applyBorder="1" applyAlignment="1" applyProtection="1"/>
    <xf numFmtId="1" fontId="4" fillId="0" borderId="1" xfId="193" applyNumberFormat="1" applyFont="1" applyFill="1" applyBorder="1" applyAlignment="1" applyProtection="1">
      <alignment horizontal="center" vertical="center" wrapText="1"/>
    </xf>
    <xf numFmtId="1" fontId="5" fillId="0" borderId="0" xfId="193" applyNumberFormat="1" applyFont="1" applyFill="1" applyBorder="1" applyAlignment="1" applyProtection="1"/>
    <xf numFmtId="0" fontId="8" fillId="7" borderId="0" xfId="233" applyNumberFormat="1" applyFont="1" applyFill="1" applyBorder="1" applyAlignment="1" applyProtection="1"/>
    <xf numFmtId="0" fontId="10" fillId="7" borderId="0" xfId="233" applyNumberFormat="1" applyFont="1" applyFill="1" applyBorder="1" applyAlignment="1" applyProtection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0" fontId="8" fillId="7" borderId="0" xfId="233" applyNumberFormat="1" applyFont="1" applyFill="1" applyBorder="1" applyAlignment="1" applyProtection="1">
      <alignment horizontal="center"/>
    </xf>
    <xf numFmtId="0" fontId="1" fillId="7" borderId="0" xfId="233" applyFill="1" applyBorder="1" applyAlignment="1">
      <alignment horizontal="center" wrapText="1"/>
    </xf>
    <xf numFmtId="14" fontId="11" fillId="7" borderId="39" xfId="233" applyNumberFormat="1" applyFont="1" applyFill="1" applyBorder="1" applyAlignment="1" applyProtection="1">
      <alignment horizontal="center" vertical="center" wrapText="1"/>
    </xf>
    <xf numFmtId="0" fontId="13" fillId="7" borderId="39" xfId="233" applyNumberFormat="1" applyFont="1" applyFill="1" applyBorder="1" applyAlignment="1" applyProtection="1">
      <alignment horizontal="center" vertical="center" wrapText="1"/>
    </xf>
    <xf numFmtId="0" fontId="42" fillId="7" borderId="39" xfId="23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center" vertical="center" wrapText="1"/>
    </xf>
    <xf numFmtId="167" fontId="8" fillId="7" borderId="0" xfId="233" applyNumberFormat="1" applyFont="1" applyFill="1" applyBorder="1" applyAlignment="1">
      <alignment horizontal="center" wrapText="1"/>
    </xf>
    <xf numFmtId="166" fontId="8" fillId="7" borderId="0" xfId="233" applyNumberFormat="1" applyFont="1" applyFill="1" applyBorder="1" applyAlignment="1" applyProtection="1"/>
    <xf numFmtId="0" fontId="4" fillId="7" borderId="39" xfId="233" applyNumberFormat="1" applyFont="1" applyFill="1" applyBorder="1" applyAlignment="1" applyProtection="1">
      <alignment horizontal="center"/>
    </xf>
    <xf numFmtId="0" fontId="4" fillId="7" borderId="39" xfId="233" applyNumberFormat="1" applyFont="1" applyFill="1" applyBorder="1" applyAlignment="1" applyProtection="1">
      <alignment horizontal="left" vertical="center" wrapText="1"/>
    </xf>
    <xf numFmtId="3" fontId="4" fillId="7" borderId="39" xfId="233" applyNumberFormat="1" applyFont="1" applyFill="1" applyBorder="1" applyAlignment="1" applyProtection="1">
      <alignment horizontal="center" vertical="center"/>
    </xf>
    <xf numFmtId="166" fontId="4" fillId="7" borderId="39" xfId="233" applyNumberFormat="1" applyFont="1" applyFill="1" applyBorder="1" applyAlignment="1">
      <alignment horizontal="center" vertical="center"/>
    </xf>
    <xf numFmtId="167" fontId="4" fillId="7" borderId="39" xfId="233" applyNumberFormat="1" applyFont="1" applyFill="1" applyBorder="1" applyAlignment="1" applyProtection="1">
      <alignment horizontal="right" vertical="center"/>
    </xf>
    <xf numFmtId="0" fontId="4" fillId="7" borderId="39" xfId="233" applyNumberFormat="1" applyFont="1" applyFill="1" applyBorder="1" applyAlignment="1" applyProtection="1">
      <alignment horizontal="right" vertical="center"/>
    </xf>
    <xf numFmtId="166" fontId="4" fillId="7" borderId="39" xfId="233" applyNumberFormat="1" applyFont="1" applyFill="1" applyBorder="1" applyAlignment="1">
      <alignment horizontal="right" vertical="center"/>
    </xf>
    <xf numFmtId="166" fontId="4" fillId="7" borderId="39" xfId="233" applyNumberFormat="1" applyFont="1" applyFill="1" applyBorder="1" applyAlignment="1" applyProtection="1">
      <alignment horizontal="right" vertical="center"/>
    </xf>
    <xf numFmtId="166" fontId="4" fillId="7" borderId="39" xfId="233" applyNumberFormat="1" applyFont="1" applyFill="1" applyBorder="1" applyAlignment="1" applyProtection="1"/>
    <xf numFmtId="166" fontId="4" fillId="7" borderId="0" xfId="233" applyNumberFormat="1" applyFont="1" applyFill="1" applyBorder="1" applyAlignment="1" applyProtection="1"/>
    <xf numFmtId="0" fontId="4" fillId="7" borderId="0" xfId="233" applyNumberFormat="1" applyFont="1" applyFill="1" applyBorder="1" applyAlignment="1" applyProtection="1"/>
    <xf numFmtId="0" fontId="4" fillId="7" borderId="39" xfId="233" applyNumberFormat="1" applyFont="1" applyFill="1" applyBorder="1" applyAlignment="1" applyProtection="1"/>
    <xf numFmtId="166" fontId="63" fillId="7" borderId="0" xfId="233" applyNumberFormat="1" applyFont="1" applyFill="1" applyBorder="1" applyAlignment="1" applyProtection="1"/>
    <xf numFmtId="0" fontId="4" fillId="7" borderId="39" xfId="233" applyNumberFormat="1" applyFont="1" applyFill="1" applyBorder="1" applyAlignment="1" applyProtection="1">
      <alignment wrapText="1"/>
    </xf>
    <xf numFmtId="166" fontId="7" fillId="7" borderId="39" xfId="233" applyNumberFormat="1" applyFont="1" applyFill="1" applyBorder="1" applyAlignment="1" applyProtection="1"/>
    <xf numFmtId="1" fontId="7" fillId="7" borderId="39" xfId="233" applyNumberFormat="1" applyFont="1" applyFill="1" applyBorder="1" applyAlignment="1">
      <alignment horizontal="right"/>
    </xf>
    <xf numFmtId="166" fontId="7" fillId="7" borderId="39" xfId="233" applyNumberFormat="1" applyFont="1" applyFill="1" applyBorder="1" applyAlignment="1">
      <alignment horizontal="right"/>
    </xf>
    <xf numFmtId="166" fontId="7" fillId="7" borderId="0" xfId="233" applyNumberFormat="1" applyFont="1" applyFill="1" applyBorder="1" applyAlignment="1">
      <alignment horizontal="right"/>
    </xf>
    <xf numFmtId="166" fontId="7" fillId="7" borderId="41" xfId="233" applyNumberFormat="1" applyFont="1" applyFill="1" applyBorder="1" applyAlignment="1" applyProtection="1"/>
    <xf numFmtId="166" fontId="7" fillId="7" borderId="42" xfId="233" applyNumberFormat="1" applyFont="1" applyFill="1" applyBorder="1" applyAlignment="1" applyProtection="1"/>
    <xf numFmtId="166" fontId="7" fillId="7" borderId="45" xfId="233" applyNumberFormat="1" applyFont="1" applyFill="1" applyBorder="1" applyAlignment="1" applyProtection="1"/>
    <xf numFmtId="0" fontId="12" fillId="7" borderId="0" xfId="233" applyNumberFormat="1" applyFont="1" applyFill="1" applyBorder="1" applyAlignment="1" applyProtection="1">
      <alignment horizontal="center"/>
    </xf>
    <xf numFmtId="0" fontId="12" fillId="7" borderId="0" xfId="233" applyNumberFormat="1" applyFont="1" applyFill="1" applyBorder="1" applyAlignment="1" applyProtection="1"/>
    <xf numFmtId="166" fontId="17" fillId="7" borderId="0" xfId="233" applyNumberFormat="1" applyFont="1" applyFill="1" applyBorder="1" applyAlignment="1">
      <alignment horizontal="center"/>
    </xf>
    <xf numFmtId="4" fontId="62" fillId="7" borderId="0" xfId="233" applyNumberFormat="1" applyFont="1" applyFill="1" applyBorder="1"/>
    <xf numFmtId="4" fontId="62" fillId="7" borderId="0" xfId="233" applyNumberFormat="1" applyFont="1" applyFill="1" applyBorder="1" applyAlignment="1" applyProtection="1"/>
    <xf numFmtId="176" fontId="13" fillId="7" borderId="0" xfId="261" applyNumberFormat="1" applyFont="1" applyFill="1" applyBorder="1" applyAlignment="1">
      <alignment wrapText="1"/>
    </xf>
    <xf numFmtId="176" fontId="12" fillId="7" borderId="0" xfId="233" applyNumberFormat="1" applyFont="1" applyFill="1" applyBorder="1" applyAlignment="1" applyProtection="1"/>
    <xf numFmtId="0" fontId="52" fillId="7" borderId="0" xfId="233" applyNumberFormat="1" applyFont="1" applyFill="1" applyBorder="1" applyAlignment="1" applyProtection="1"/>
    <xf numFmtId="166" fontId="52" fillId="7" borderId="0" xfId="233" applyNumberFormat="1" applyFont="1" applyFill="1" applyBorder="1" applyAlignment="1" applyProtection="1"/>
    <xf numFmtId="0" fontId="45" fillId="7" borderId="0" xfId="233" applyNumberFormat="1" applyFont="1" applyFill="1" applyBorder="1" applyAlignment="1" applyProtection="1"/>
    <xf numFmtId="166" fontId="45" fillId="7" borderId="0" xfId="233" applyNumberFormat="1" applyFont="1" applyFill="1" applyBorder="1" applyAlignment="1" applyProtection="1"/>
    <xf numFmtId="166" fontId="12" fillId="7" borderId="0" xfId="233" applyNumberFormat="1" applyFont="1" applyFill="1" applyBorder="1" applyAlignment="1" applyProtection="1"/>
    <xf numFmtId="0" fontId="18" fillId="7" borderId="0" xfId="233" applyNumberFormat="1" applyFont="1" applyFill="1" applyBorder="1" applyAlignment="1" applyProtection="1"/>
    <xf numFmtId="167" fontId="8" fillId="7" borderId="0" xfId="233" applyNumberFormat="1" applyFont="1" applyFill="1" applyBorder="1" applyAlignment="1">
      <alignment vertical="center" wrapText="1"/>
    </xf>
    <xf numFmtId="169" fontId="8" fillId="7" borderId="0" xfId="233" applyNumberFormat="1" applyFont="1" applyFill="1" applyBorder="1" applyAlignment="1">
      <alignment vertical="center" wrapText="1"/>
    </xf>
    <xf numFmtId="0" fontId="74" fillId="0" borderId="0" xfId="233" applyNumberFormat="1" applyFont="1" applyFill="1" applyBorder="1" applyAlignment="1" applyProtection="1">
      <alignment horizontal="center"/>
    </xf>
    <xf numFmtId="167" fontId="74" fillId="7" borderId="0" xfId="233" applyNumberFormat="1" applyFont="1" applyFill="1" applyBorder="1" applyAlignment="1">
      <alignment vertical="center" wrapText="1"/>
    </xf>
    <xf numFmtId="0" fontId="8" fillId="7" borderId="39" xfId="233" applyNumberFormat="1" applyFont="1" applyFill="1" applyBorder="1" applyAlignment="1" applyProtection="1">
      <alignment horizontal="right"/>
    </xf>
    <xf numFmtId="0" fontId="74" fillId="0" borderId="39" xfId="233" applyNumberFormat="1" applyFont="1" applyFill="1" applyBorder="1" applyAlignment="1" applyProtection="1"/>
    <xf numFmtId="0" fontId="8" fillId="7" borderId="39" xfId="233" applyNumberFormat="1" applyFont="1" applyFill="1" applyBorder="1" applyAlignment="1" applyProtection="1"/>
    <xf numFmtId="0" fontId="75" fillId="0" borderId="0" xfId="0" applyFont="1"/>
    <xf numFmtId="0" fontId="48" fillId="0" borderId="0" xfId="0" applyFont="1"/>
    <xf numFmtId="0" fontId="5" fillId="7" borderId="27" xfId="200" applyNumberFormat="1" applyFont="1" applyFill="1" applyBorder="1" applyAlignment="1" applyProtection="1">
      <alignment horizontal="center" wrapText="1"/>
    </xf>
    <xf numFmtId="0" fontId="5" fillId="7" borderId="25" xfId="200" applyFont="1" applyBorder="1" applyAlignment="1">
      <alignment horizontal="center"/>
    </xf>
    <xf numFmtId="0" fontId="5" fillId="7" borderId="25" xfId="200" applyFont="1" applyBorder="1" applyAlignment="1">
      <alignment horizontal="center" wrapText="1"/>
    </xf>
    <xf numFmtId="14" fontId="5" fillId="7" borderId="25" xfId="200" applyNumberFormat="1" applyFont="1" applyBorder="1" applyAlignment="1">
      <alignment horizontal="center" wrapText="1"/>
    </xf>
    <xf numFmtId="0" fontId="5" fillId="7" borderId="27" xfId="200" applyNumberFormat="1" applyFont="1" applyFill="1" applyBorder="1" applyAlignment="1" applyProtection="1">
      <alignment horizontal="center"/>
    </xf>
    <xf numFmtId="14" fontId="5" fillId="7" borderId="27" xfId="200" applyNumberFormat="1" applyFont="1" applyBorder="1" applyAlignment="1">
      <alignment horizontal="center" wrapText="1"/>
    </xf>
    <xf numFmtId="0" fontId="5" fillId="7" borderId="27" xfId="200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right" vertical="center" wrapText="1"/>
    </xf>
    <xf numFmtId="0" fontId="8" fillId="7" borderId="43" xfId="233" applyNumberFormat="1" applyFont="1" applyFill="1" applyBorder="1" applyAlignment="1" applyProtection="1">
      <alignment horizontal="center" vertical="center" wrapText="1"/>
    </xf>
    <xf numFmtId="0" fontId="8" fillId="7" borderId="11" xfId="233" applyNumberFormat="1" applyFont="1" applyFill="1" applyBorder="1" applyAlignment="1" applyProtection="1">
      <alignment horizontal="center" vertical="center" wrapText="1"/>
    </xf>
    <xf numFmtId="0" fontId="42" fillId="7" borderId="39" xfId="233" applyNumberFormat="1" applyFont="1" applyFill="1" applyBorder="1" applyAlignment="1" applyProtection="1">
      <alignment horizontal="center" wrapText="1"/>
    </xf>
    <xf numFmtId="0" fontId="26" fillId="7" borderId="39" xfId="233" applyFont="1" applyFill="1" applyBorder="1" applyAlignment="1">
      <alignment horizontal="center" wrapText="1"/>
    </xf>
    <xf numFmtId="0" fontId="8" fillId="7" borderId="41" xfId="233" applyNumberFormat="1" applyFont="1" applyFill="1" applyBorder="1" applyAlignment="1" applyProtection="1">
      <alignment horizontal="center" wrapText="1"/>
    </xf>
    <xf numFmtId="0" fontId="1" fillId="7" borderId="42" xfId="233" applyFill="1" applyBorder="1" applyAlignment="1">
      <alignment horizontal="center" wrapText="1"/>
    </xf>
    <xf numFmtId="0" fontId="1" fillId="7" borderId="45" xfId="233" applyFill="1" applyBorder="1" applyAlignment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14" fontId="11" fillId="7" borderId="39" xfId="233" applyNumberFormat="1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5" fillId="0" borderId="27" xfId="20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left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5" fillId="0" borderId="30" xfId="0" applyNumberFormat="1" applyFont="1" applyFill="1" applyBorder="1" applyAlignment="1" applyProtection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wrapText="1"/>
    </xf>
    <xf numFmtId="0" fontId="0" fillId="0" borderId="18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14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3" xfId="0" applyNumberFormat="1" applyFont="1" applyFill="1" applyBorder="1" applyAlignment="1" applyProtection="1">
      <alignment horizontal="center" vertical="center" wrapText="1"/>
    </xf>
    <xf numFmtId="1" fontId="24" fillId="0" borderId="26" xfId="0" applyNumberFormat="1" applyFont="1" applyFill="1" applyBorder="1" applyAlignment="1" applyProtection="1">
      <alignment horizontal="center" vertical="center" wrapText="1"/>
    </xf>
    <xf numFmtId="1" fontId="24" fillId="0" borderId="28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wrapText="1"/>
    </xf>
    <xf numFmtId="14" fontId="24" fillId="0" borderId="1" xfId="0" applyNumberFormat="1" applyFont="1" applyFill="1" applyBorder="1" applyAlignment="1" applyProtection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1" fontId="24" fillId="0" borderId="30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15" fillId="0" borderId="25" xfId="0" applyNumberFormat="1" applyFont="1" applyFill="1" applyBorder="1" applyAlignment="1" applyProtection="1">
      <alignment horizontal="center" vertical="center" wrapText="1"/>
    </xf>
    <xf numFmtId="1" fontId="24" fillId="0" borderId="31" xfId="0" applyNumberFormat="1" applyFont="1" applyFill="1" applyBorder="1" applyAlignment="1" applyProtection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15" fillId="0" borderId="1" xfId="193" applyNumberFormat="1" applyFont="1" applyFill="1" applyBorder="1" applyAlignment="1" applyProtection="1">
      <alignment horizontal="center" vertical="center" wrapText="1"/>
    </xf>
    <xf numFmtId="4" fontId="15" fillId="0" borderId="1" xfId="193" applyNumberFormat="1" applyFont="1" applyFill="1" applyBorder="1" applyAlignment="1" applyProtection="1">
      <alignment horizontal="center" vertical="center" wrapText="1"/>
    </xf>
    <xf numFmtId="0" fontId="24" fillId="0" borderId="1" xfId="193" applyNumberFormat="1" applyFont="1" applyFill="1" applyBorder="1" applyAlignment="1" applyProtection="1">
      <alignment horizontal="center" vertical="center" wrapText="1"/>
    </xf>
    <xf numFmtId="0" fontId="24" fillId="0" borderId="9" xfId="193" applyNumberFormat="1" applyFont="1" applyFill="1" applyBorder="1" applyAlignment="1" applyProtection="1">
      <alignment horizontal="center" vertical="center" wrapText="1"/>
    </xf>
    <xf numFmtId="0" fontId="26" fillId="0" borderId="9" xfId="193" applyFont="1" applyFill="1" applyBorder="1" applyAlignment="1">
      <alignment horizontal="center" vertical="center" wrapText="1"/>
    </xf>
    <xf numFmtId="0" fontId="76" fillId="0" borderId="0" xfId="19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0" fontId="15" fillId="0" borderId="26" xfId="193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44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1" fillId="0" borderId="41" xfId="193" applyNumberFormat="1" applyFont="1" applyFill="1" applyBorder="1" applyAlignment="1" applyProtection="1">
      <alignment horizontal="center" vertical="center" wrapText="1"/>
    </xf>
    <xf numFmtId="1" fontId="24" fillId="0" borderId="46" xfId="0" applyNumberFormat="1" applyFont="1" applyFill="1" applyBorder="1" applyAlignment="1" applyProtection="1">
      <alignment horizontal="center" vertical="center" wrapText="1"/>
    </xf>
    <xf numFmtId="0" fontId="0" fillId="0" borderId="34" xfId="0" applyFill="1" applyBorder="1" applyAlignment="1">
      <alignment horizontal="center" vertical="center"/>
    </xf>
    <xf numFmtId="0" fontId="15" fillId="0" borderId="40" xfId="193" applyNumberFormat="1" applyFont="1" applyFill="1" applyBorder="1" applyAlignment="1" applyProtection="1">
      <alignment horizontal="center" vertical="center" wrapText="1"/>
    </xf>
    <xf numFmtId="0" fontId="35" fillId="0" borderId="27" xfId="193" applyNumberFormat="1" applyFont="1" applyFill="1" applyBorder="1" applyAlignment="1" applyProtection="1">
      <alignment horizontal="center" vertical="center" wrapText="1"/>
    </xf>
    <xf numFmtId="0" fontId="35" fillId="0" borderId="33" xfId="193" applyNumberFormat="1" applyFont="1" applyFill="1" applyBorder="1" applyAlignment="1" applyProtection="1">
      <alignment horizontal="center" vertical="center" wrapText="1"/>
    </xf>
    <xf numFmtId="0" fontId="35" fillId="0" borderId="10" xfId="193" applyNumberFormat="1" applyFont="1" applyFill="1" applyBorder="1" applyAlignment="1" applyProtection="1">
      <alignment horizontal="center" vertical="center" wrapText="1"/>
    </xf>
    <xf numFmtId="0" fontId="35" fillId="0" borderId="27" xfId="193" applyNumberFormat="1" applyFont="1" applyFill="1" applyBorder="1" applyAlignment="1" applyProtection="1">
      <alignment horizontal="center" vertical="top" wrapText="1"/>
    </xf>
    <xf numFmtId="1" fontId="35" fillId="0" borderId="27" xfId="193" applyNumberFormat="1" applyFont="1" applyFill="1" applyBorder="1" applyAlignment="1" applyProtection="1">
      <alignment horizontal="center" vertical="top" wrapText="1"/>
    </xf>
    <xf numFmtId="1" fontId="35" fillId="0" borderId="27" xfId="193" applyNumberFormat="1" applyFont="1" applyFill="1" applyBorder="1" applyAlignment="1" applyProtection="1">
      <alignment horizontal="center" vertical="center"/>
    </xf>
    <xf numFmtId="1" fontId="35" fillId="0" borderId="25" xfId="193" applyNumberFormat="1" applyFont="1" applyFill="1" applyBorder="1" applyAlignment="1" applyProtection="1">
      <alignment horizontal="center" vertical="center" wrapText="1"/>
    </xf>
    <xf numFmtId="0" fontId="1" fillId="0" borderId="25" xfId="193" applyFill="1" applyBorder="1" applyAlignment="1">
      <alignment horizontal="center" vertical="center" wrapText="1"/>
    </xf>
    <xf numFmtId="1" fontId="35" fillId="0" borderId="27" xfId="193" applyNumberFormat="1" applyFont="1" applyFill="1" applyBorder="1" applyAlignment="1" applyProtection="1">
      <alignment horizontal="center" vertical="center" wrapText="1"/>
    </xf>
    <xf numFmtId="0" fontId="35" fillId="0" borderId="25" xfId="193" applyNumberFormat="1" applyFont="1" applyFill="1" applyBorder="1" applyAlignment="1" applyProtection="1">
      <alignment horizontal="center" vertical="center" wrapText="1"/>
    </xf>
    <xf numFmtId="0" fontId="9" fillId="0" borderId="0" xfId="193" applyNumberFormat="1" applyFont="1" applyFill="1" applyBorder="1" applyAlignment="1" applyProtection="1">
      <alignment horizontal="center" wrapText="1"/>
    </xf>
    <xf numFmtId="0" fontId="35" fillId="0" borderId="27" xfId="193" applyNumberFormat="1" applyFont="1" applyFill="1" applyBorder="1" applyAlignment="1" applyProtection="1">
      <alignment horizontal="center" vertical="center"/>
    </xf>
    <xf numFmtId="0" fontId="22" fillId="0" borderId="27" xfId="193" applyNumberFormat="1" applyFont="1" applyFill="1" applyBorder="1" applyAlignment="1" applyProtection="1">
      <alignment horizontal="center" vertical="center" wrapText="1"/>
    </xf>
    <xf numFmtId="0" fontId="37" fillId="0" borderId="27" xfId="193" applyNumberFormat="1" applyFont="1" applyFill="1" applyBorder="1" applyAlignment="1" applyProtection="1">
      <alignment horizontal="center" vertical="center" wrapText="1"/>
    </xf>
    <xf numFmtId="0" fontId="38" fillId="0" borderId="27" xfId="193" applyNumberFormat="1" applyFont="1" applyFill="1" applyBorder="1" applyAlignment="1" applyProtection="1">
      <alignment horizontal="center" vertical="center" wrapText="1"/>
    </xf>
    <xf numFmtId="0" fontId="38" fillId="0" borderId="30" xfId="193" applyNumberFormat="1" applyFont="1" applyFill="1" applyBorder="1" applyAlignment="1" applyProtection="1">
      <alignment horizontal="center" vertical="center" wrapText="1"/>
    </xf>
    <xf numFmtId="0" fontId="1" fillId="7" borderId="25" xfId="193" applyNumberFormat="1" applyFont="1" applyFill="1" applyBorder="1" applyAlignment="1" applyProtection="1">
      <alignment horizontal="center" vertical="center" wrapText="1"/>
    </xf>
    <xf numFmtId="0" fontId="1" fillId="7" borderId="25" xfId="193" applyBorder="1" applyAlignment="1">
      <alignment horizontal="center" vertical="center" wrapText="1"/>
    </xf>
    <xf numFmtId="0" fontId="36" fillId="7" borderId="0" xfId="193" applyNumberFormat="1" applyFont="1" applyFill="1" applyBorder="1" applyAlignment="1" applyProtection="1">
      <alignment horizontal="center" wrapText="1"/>
    </xf>
    <xf numFmtId="0" fontId="35" fillId="7" borderId="27" xfId="193" applyNumberFormat="1" applyFont="1" applyFill="1" applyBorder="1" applyAlignment="1" applyProtection="1">
      <alignment horizontal="center" vertical="center"/>
    </xf>
    <xf numFmtId="0" fontId="35" fillId="7" borderId="27" xfId="193" applyNumberFormat="1" applyFont="1" applyFill="1" applyBorder="1" applyAlignment="1" applyProtection="1">
      <alignment horizontal="center" vertical="center" wrapText="1"/>
    </xf>
    <xf numFmtId="0" fontId="35" fillId="7" borderId="30" xfId="193" applyNumberFormat="1" applyFont="1" applyFill="1" applyBorder="1" applyAlignment="1" applyProtection="1">
      <alignment horizontal="center" vertical="center" wrapText="1"/>
    </xf>
    <xf numFmtId="1" fontId="35" fillId="7" borderId="25" xfId="193" applyNumberFormat="1" applyFont="1" applyFill="1" applyBorder="1" applyAlignment="1" applyProtection="1">
      <alignment horizontal="center" vertical="center" wrapText="1"/>
    </xf>
    <xf numFmtId="0" fontId="1" fillId="7" borderId="25" xfId="193" applyFill="1" applyBorder="1" applyAlignment="1">
      <alignment horizontal="center" vertical="center" wrapText="1"/>
    </xf>
    <xf numFmtId="0" fontId="22" fillId="7" borderId="26" xfId="193" applyNumberFormat="1" applyFont="1" applyFill="1" applyBorder="1" applyAlignment="1" applyProtection="1">
      <alignment horizontal="center" vertical="center" wrapText="1"/>
    </xf>
    <xf numFmtId="0" fontId="22" fillId="7" borderId="28" xfId="193" applyNumberFormat="1" applyFont="1" applyFill="1" applyBorder="1" applyAlignment="1" applyProtection="1">
      <alignment horizontal="center" vertical="center" wrapText="1"/>
    </xf>
    <xf numFmtId="0" fontId="22" fillId="7" borderId="29" xfId="193" applyNumberFormat="1" applyFont="1" applyFill="1" applyBorder="1" applyAlignment="1" applyProtection="1">
      <alignment horizontal="center" vertical="center" wrapText="1"/>
    </xf>
    <xf numFmtId="0" fontId="35" fillId="7" borderId="25" xfId="193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26" fillId="0" borderId="1" xfId="0" applyNumberFormat="1" applyFont="1" applyFill="1" applyBorder="1" applyAlignment="1" applyProtection="1">
      <alignment horizontal="left" vertical="center" wrapText="1"/>
    </xf>
    <xf numFmtId="0" fontId="35" fillId="0" borderId="1" xfId="0" applyNumberFormat="1" applyFont="1" applyFill="1" applyBorder="1" applyAlignment="1" applyProtection="1">
      <alignment horizontal="left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6" fillId="0" borderId="1" xfId="0" applyNumberFormat="1" applyFont="1" applyFill="1" applyBorder="1" applyAlignment="1" applyProtection="1">
      <alignment horizontal="left" vertical="center" wrapText="1"/>
    </xf>
    <xf numFmtId="0" fontId="26" fillId="5" borderId="3" xfId="0" applyNumberFormat="1" applyFont="1" applyFill="1" applyBorder="1" applyAlignment="1" applyProtection="1">
      <alignment horizontal="center" vertical="center" wrapText="1"/>
    </xf>
    <xf numFmtId="0" fontId="26" fillId="5" borderId="4" xfId="0" applyNumberFormat="1" applyFont="1" applyFill="1" applyBorder="1" applyAlignment="1" applyProtection="1">
      <alignment horizontal="center" vertical="center" wrapText="1"/>
    </xf>
    <xf numFmtId="0" fontId="26" fillId="5" borderId="7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5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5" fillId="0" borderId="3" xfId="0" applyNumberFormat="1" applyFont="1" applyFill="1" applyBorder="1" applyAlignment="1" applyProtection="1">
      <alignment horizontal="center" vertical="center" wrapText="1"/>
    </xf>
    <xf numFmtId="0" fontId="35" fillId="0" borderId="13" xfId="0" applyNumberFormat="1" applyFont="1" applyFill="1" applyBorder="1" applyAlignment="1" applyProtection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5" fillId="0" borderId="4" xfId="0" applyNumberFormat="1" applyFont="1" applyFill="1" applyBorder="1" applyAlignment="1" applyProtection="1">
      <alignment horizontal="center" vertical="center" wrapText="1"/>
    </xf>
    <xf numFmtId="0" fontId="35" fillId="0" borderId="7" xfId="0" applyNumberFormat="1" applyFont="1" applyFill="1" applyBorder="1" applyAlignment="1" applyProtection="1">
      <alignment horizontal="center" vertical="center" wrapText="1"/>
    </xf>
    <xf numFmtId="0" fontId="35" fillId="0" borderId="9" xfId="0" applyNumberFormat="1" applyFont="1" applyFill="1" applyBorder="1" applyAlignment="1" applyProtection="1">
      <alignment horizontal="left" vertical="top" wrapText="1"/>
    </xf>
    <xf numFmtId="0" fontId="26" fillId="0" borderId="1" xfId="0" applyNumberFormat="1" applyFont="1" applyFill="1" applyBorder="1" applyAlignment="1" applyProtection="1">
      <alignment horizontal="left" vertical="center" wrapText="1"/>
    </xf>
    <xf numFmtId="0" fontId="35" fillId="0" borderId="1" xfId="0" applyNumberFormat="1" applyFont="1" applyFill="1" applyBorder="1" applyAlignment="1" applyProtection="1">
      <alignment horizontal="center" vertical="center" wrapText="1"/>
    </xf>
    <xf numFmtId="0" fontId="35" fillId="0" borderId="17" xfId="0" applyNumberFormat="1" applyFont="1" applyFill="1" applyBorder="1" applyAlignment="1" applyProtection="1">
      <alignment horizontal="left" vertical="top" wrapText="1"/>
    </xf>
    <xf numFmtId="0" fontId="35" fillId="0" borderId="18" xfId="0" applyNumberFormat="1" applyFont="1" applyFill="1" applyBorder="1" applyAlignment="1" applyProtection="1">
      <alignment horizontal="left" vertical="top" wrapText="1"/>
    </xf>
    <xf numFmtId="0" fontId="35" fillId="0" borderId="19" xfId="0" applyNumberFormat="1" applyFont="1" applyFill="1" applyBorder="1" applyAlignment="1" applyProtection="1">
      <alignment horizontal="left" vertical="top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6" fillId="0" borderId="1" xfId="0" applyNumberFormat="1" applyFont="1" applyFill="1" applyBorder="1" applyAlignment="1" applyProtection="1">
      <alignment horizontal="center" vertical="center" wrapText="1"/>
    </xf>
    <xf numFmtId="0" fontId="26" fillId="5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48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161" applyFill="1" applyAlignment="1">
      <alignment horizontal="center" vertical="center" wrapText="1"/>
    </xf>
    <xf numFmtId="0" fontId="35" fillId="0" borderId="17" xfId="161" applyFont="1" applyFill="1" applyBorder="1" applyAlignment="1">
      <alignment horizontal="center" vertical="center" wrapText="1"/>
    </xf>
    <xf numFmtId="0" fontId="35" fillId="0" borderId="19" xfId="161" applyFont="1" applyFill="1" applyBorder="1" applyAlignment="1">
      <alignment horizontal="center" vertical="center" wrapText="1"/>
    </xf>
    <xf numFmtId="0" fontId="35" fillId="0" borderId="25" xfId="161" applyFont="1" applyFill="1" applyBorder="1" applyAlignment="1">
      <alignment horizontal="center"/>
    </xf>
    <xf numFmtId="0" fontId="35" fillId="0" borderId="25" xfId="161" applyFont="1" applyFill="1" applyBorder="1" applyAlignment="1">
      <alignment horizontal="center" vertical="center" wrapText="1"/>
    </xf>
    <xf numFmtId="0" fontId="35" fillId="0" borderId="17" xfId="161" applyFont="1" applyFill="1" applyBorder="1" applyAlignment="1">
      <alignment horizontal="center"/>
    </xf>
    <xf numFmtId="0" fontId="35" fillId="0" borderId="18" xfId="161" applyFont="1" applyFill="1" applyBorder="1" applyAlignment="1">
      <alignment horizontal="center" vertical="center" wrapText="1"/>
    </xf>
    <xf numFmtId="0" fontId="48" fillId="0" borderId="0" xfId="161" applyFont="1" applyFill="1" applyBorder="1" applyAlignment="1">
      <alignment horizontal="center" vertical="center" wrapText="1"/>
    </xf>
    <xf numFmtId="0" fontId="35" fillId="0" borderId="12" xfId="161" applyFont="1" applyFill="1" applyBorder="1" applyAlignment="1">
      <alignment horizontal="center" vertical="center"/>
    </xf>
    <xf numFmtId="0" fontId="35" fillId="0" borderId="15" xfId="161" applyFont="1" applyFill="1" applyBorder="1" applyAlignment="1">
      <alignment horizontal="center" vertical="center"/>
    </xf>
    <xf numFmtId="0" fontId="35" fillId="0" borderId="11" xfId="161" applyFont="1" applyFill="1" applyBorder="1" applyAlignment="1">
      <alignment horizontal="center" vertical="center"/>
    </xf>
    <xf numFmtId="0" fontId="35" fillId="0" borderId="12" xfId="161" applyFont="1" applyFill="1" applyBorder="1" applyAlignment="1">
      <alignment horizontal="center" vertical="center" wrapText="1"/>
    </xf>
    <xf numFmtId="0" fontId="35" fillId="0" borderId="15" xfId="161" applyFont="1" applyFill="1" applyBorder="1" applyAlignment="1">
      <alignment horizontal="center" vertical="center" wrapText="1"/>
    </xf>
    <xf numFmtId="0" fontId="35" fillId="0" borderId="11" xfId="161" applyFont="1" applyFill="1" applyBorder="1" applyAlignment="1">
      <alignment horizontal="center" vertical="center" wrapText="1"/>
    </xf>
    <xf numFmtId="0" fontId="35" fillId="0" borderId="12" xfId="161" applyFont="1" applyFill="1" applyBorder="1" applyAlignment="1">
      <alignment horizontal="center" wrapText="1"/>
    </xf>
    <xf numFmtId="0" fontId="35" fillId="0" borderId="15" xfId="161" applyFont="1" applyFill="1" applyBorder="1" applyAlignment="1">
      <alignment horizontal="center" wrapText="1"/>
    </xf>
    <xf numFmtId="0" fontId="35" fillId="0" borderId="11" xfId="161" applyFont="1" applyFill="1" applyBorder="1" applyAlignment="1">
      <alignment horizontal="center" wrapText="1"/>
    </xf>
    <xf numFmtId="0" fontId="0" fillId="0" borderId="25" xfId="0" applyBorder="1" applyAlignment="1">
      <alignment wrapText="1"/>
    </xf>
    <xf numFmtId="0" fontId="0" fillId="0" borderId="25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15" xfId="0" applyNumberFormat="1" applyFont="1" applyFill="1" applyBorder="1" applyAlignment="1" applyProtection="1">
      <alignment horizontal="center" vertical="center" wrapText="1"/>
    </xf>
    <xf numFmtId="0" fontId="15" fillId="0" borderId="11" xfId="0" applyNumberFormat="1" applyFont="1" applyFill="1" applyBorder="1" applyAlignment="1" applyProtection="1">
      <alignment horizontal="center" vertical="center" wrapText="1"/>
    </xf>
    <xf numFmtId="0" fontId="35" fillId="7" borderId="25" xfId="193" applyFont="1" applyFill="1" applyBorder="1" applyAlignment="1">
      <alignment horizontal="center" vertical="center" wrapText="1"/>
    </xf>
    <xf numFmtId="0" fontId="35" fillId="7" borderId="25" xfId="193" applyFont="1" applyFill="1" applyBorder="1" applyAlignment="1">
      <alignment horizontal="center"/>
    </xf>
    <xf numFmtId="0" fontId="15" fillId="0" borderId="22" xfId="0" applyNumberFormat="1" applyFont="1" applyFill="1" applyBorder="1" applyAlignment="1" applyProtection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4" xfId="0" applyBorder="1" applyAlignment="1">
      <alignment wrapText="1"/>
    </xf>
    <xf numFmtId="0" fontId="15" fillId="4" borderId="22" xfId="0" applyNumberFormat="1" applyFont="1" applyFill="1" applyBorder="1" applyAlignment="1" applyProtection="1">
      <alignment horizontal="center" vertical="center" wrapText="1"/>
    </xf>
    <xf numFmtId="0" fontId="15" fillId="4" borderId="36" xfId="0" applyNumberFormat="1" applyFont="1" applyFill="1" applyBorder="1" applyAlignment="1" applyProtection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vertical="center" wrapText="1"/>
    </xf>
    <xf numFmtId="0" fontId="0" fillId="4" borderId="34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5" xfId="0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7" xfId="0" applyFill="1" applyBorder="1" applyAlignment="1">
      <alignment wrapText="1"/>
    </xf>
    <xf numFmtId="0" fontId="0" fillId="4" borderId="24" xfId="0" applyFill="1" applyBorder="1" applyAlignment="1">
      <alignment wrapText="1"/>
    </xf>
    <xf numFmtId="0" fontId="1" fillId="0" borderId="25" xfId="195" applyNumberFormat="1" applyFont="1" applyFill="1" applyBorder="1" applyAlignment="1" applyProtection="1">
      <alignment horizontal="center" vertical="center" wrapText="1"/>
    </xf>
    <xf numFmtId="0" fontId="36" fillId="0" borderId="25" xfId="195" applyNumberFormat="1" applyFont="1" applyFill="1" applyBorder="1" applyAlignment="1" applyProtection="1">
      <alignment horizontal="center" vertical="center" wrapText="1"/>
    </xf>
    <xf numFmtId="0" fontId="1" fillId="0" borderId="25" xfId="201" applyFont="1" applyFill="1" applyBorder="1" applyAlignment="1">
      <alignment horizontal="center" vertical="top" wrapText="1"/>
    </xf>
    <xf numFmtId="0" fontId="35" fillId="0" borderId="25" xfId="195" applyNumberFormat="1" applyFont="1" applyFill="1" applyBorder="1" applyAlignment="1" applyProtection="1">
      <alignment horizontal="center" vertical="center" wrapText="1"/>
    </xf>
    <xf numFmtId="0" fontId="50" fillId="0" borderId="25" xfId="195" applyNumberFormat="1" applyFont="1" applyFill="1" applyBorder="1" applyAlignment="1" applyProtection="1">
      <alignment horizontal="left" vertical="center" wrapText="1"/>
    </xf>
    <xf numFmtId="0" fontId="8" fillId="0" borderId="0" xfId="195" applyNumberFormat="1" applyFont="1" applyFill="1" applyBorder="1" applyAlignment="1" applyProtection="1">
      <alignment horizontal="center" wrapText="1"/>
    </xf>
    <xf numFmtId="0" fontId="49" fillId="0" borderId="25" xfId="195" applyNumberFormat="1" applyFont="1" applyFill="1" applyBorder="1" applyAlignment="1" applyProtection="1">
      <alignment horizontal="center" vertical="center" wrapText="1"/>
    </xf>
    <xf numFmtId="0" fontId="1" fillId="0" borderId="12" xfId="195" applyNumberFormat="1" applyFont="1" applyFill="1" applyBorder="1" applyAlignment="1" applyProtection="1">
      <alignment horizontal="center" vertical="center" wrapText="1"/>
    </xf>
    <xf numFmtId="0" fontId="1" fillId="0" borderId="15" xfId="195" applyNumberFormat="1" applyFont="1" applyFill="1" applyBorder="1" applyAlignment="1" applyProtection="1">
      <alignment horizontal="center" vertical="center" wrapText="1"/>
    </xf>
    <xf numFmtId="0" fontId="1" fillId="0" borderId="11" xfId="195" applyNumberFormat="1" applyFont="1" applyFill="1" applyBorder="1" applyAlignment="1" applyProtection="1">
      <alignment horizontal="center" vertical="center" wrapText="1"/>
    </xf>
    <xf numFmtId="0" fontId="0" fillId="0" borderId="25" xfId="0" applyBorder="1" applyAlignment="1">
      <alignment horizontal="center" wrapText="1"/>
    </xf>
    <xf numFmtId="0" fontId="35" fillId="0" borderId="25" xfId="193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34" fillId="0" borderId="0" xfId="162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42" fillId="0" borderId="0" xfId="0" applyNumberFormat="1" applyFont="1" applyFill="1" applyBorder="1" applyAlignment="1" applyProtection="1">
      <alignment horizontal="center" vertical="center" wrapText="1"/>
    </xf>
    <xf numFmtId="1" fontId="77" fillId="7" borderId="0" xfId="0" applyNumberFormat="1" applyFont="1" applyFill="1" applyAlignment="1">
      <alignment horizontal="right" vertical="top"/>
    </xf>
  </cellXfs>
  <cellStyles count="375">
    <cellStyle name="Обычный" xfId="0" builtinId="0"/>
    <cellStyle name="Обычный 10" xfId="1"/>
    <cellStyle name="Обычный 10 2" xfId="233"/>
    <cellStyle name="Обычный 11" xfId="2"/>
    <cellStyle name="Обычный 11 2" xfId="234"/>
    <cellStyle name="Обычный 12" xfId="161"/>
    <cellStyle name="Обычный 12 2" xfId="193"/>
    <cellStyle name="Обычный 13" xfId="3"/>
    <cellStyle name="Обычный 13 2" xfId="235"/>
    <cellStyle name="Обычный 14" xfId="171"/>
    <cellStyle name="Обычный 14 2" xfId="236"/>
    <cellStyle name="Обычный 15" xfId="172"/>
    <cellStyle name="Обычный 16" xfId="181"/>
    <cellStyle name="Обычный 16 2" xfId="237"/>
    <cellStyle name="Обычный 17" xfId="200"/>
    <cellStyle name="Обычный 17 2" xfId="238"/>
    <cellStyle name="Обычный 18" xfId="231"/>
    <cellStyle name="Обычный 18 2" xfId="232"/>
    <cellStyle name="Обычный 19" xfId="239"/>
    <cellStyle name="Обычный 19 2" xfId="240"/>
    <cellStyle name="Обычный 2" xfId="4"/>
    <cellStyle name="Обычный 2 2" xfId="5"/>
    <cellStyle name="Обычный 2 2 2" xfId="6"/>
    <cellStyle name="Обычный 2 2 2 2" xfId="230"/>
    <cellStyle name="Обычный 2 2 3" xfId="162"/>
    <cellStyle name="Обычный 2 2 3 2" xfId="195"/>
    <cellStyle name="Обычный 2 2 4" xfId="175"/>
    <cellStyle name="Обычный 2 3" xfId="7"/>
    <cellStyle name="Обычный 2 3 2" xfId="241"/>
    <cellStyle name="Обычный 2 4" xfId="166"/>
    <cellStyle name="Обычный 2 4 2" xfId="242"/>
    <cellStyle name="Обычный 2 5" xfId="174"/>
    <cellStyle name="Обычный 2_Расчет норматива" xfId="8"/>
    <cellStyle name="Обычный 20" xfId="243"/>
    <cellStyle name="Обычный 20 2" xfId="244"/>
    <cellStyle name="Обычный 21" xfId="245"/>
    <cellStyle name="Обычный 22" xfId="246"/>
    <cellStyle name="Обычный 23" xfId="247"/>
    <cellStyle name="Обычный 3" xfId="9"/>
    <cellStyle name="Обычный 3 2" xfId="10"/>
    <cellStyle name="Обычный 3 2 2" xfId="248"/>
    <cellStyle name="Обычный 3 3" xfId="163"/>
    <cellStyle name="Обычный 3 3 2" xfId="249"/>
    <cellStyle name="Обычный 3 4" xfId="176"/>
    <cellStyle name="Обычный 4" xfId="11"/>
    <cellStyle name="Обычный 4 2" xfId="12"/>
    <cellStyle name="Обычный 4 2 2" xfId="250"/>
    <cellStyle name="Обычный 4 3" xfId="251"/>
    <cellStyle name="Обычный 5" xfId="13"/>
    <cellStyle name="Обычный 5 2" xfId="14"/>
    <cellStyle name="Обычный 5 2 2" xfId="252"/>
    <cellStyle name="Обычный 5 3" xfId="253"/>
    <cellStyle name="Обычный 6" xfId="15"/>
    <cellStyle name="Обычный 6 2" xfId="16"/>
    <cellStyle name="Обычный 6 2 2" xfId="254"/>
    <cellStyle name="Обычный 6 3" xfId="255"/>
    <cellStyle name="Обычный 7" xfId="17"/>
    <cellStyle name="Обычный 7 2" xfId="18"/>
    <cellStyle name="Обычный 7 2 2" xfId="256"/>
    <cellStyle name="Обычный 7 3" xfId="257"/>
    <cellStyle name="Обычный 8" xfId="19"/>
    <cellStyle name="Обычный 8 2" xfId="258"/>
    <cellStyle name="Обычный 9" xfId="20"/>
    <cellStyle name="Обычный 9 2" xfId="259"/>
    <cellStyle name="Обычный_Расчет по заработной плате 01.09 2" xfId="201"/>
    <cellStyle name="Процентный" xfId="199" builtinId="5"/>
    <cellStyle name="Процентный 10" xfId="21"/>
    <cellStyle name="Процентный 10 2" xfId="260"/>
    <cellStyle name="Процентный 11" xfId="170"/>
    <cellStyle name="Процентный 11 2" xfId="261"/>
    <cellStyle name="Процентный 12" xfId="182"/>
    <cellStyle name="Процентный 13" xfId="194"/>
    <cellStyle name="Процентный 2" xfId="22"/>
    <cellStyle name="Процентный 2 10" xfId="191"/>
    <cellStyle name="Процентный 2 11" xfId="262"/>
    <cellStyle name="Процентный 2 2" xfId="23"/>
    <cellStyle name="Процентный 2 2 2" xfId="24"/>
    <cellStyle name="Процентный 2 2 2 2" xfId="263"/>
    <cellStyle name="Процентный 2 2 3" xfId="264"/>
    <cellStyle name="Процентный 2 2_Школы" xfId="25"/>
    <cellStyle name="Процентный 2 3" xfId="26"/>
    <cellStyle name="Процентный 2 3 2" xfId="265"/>
    <cellStyle name="Процентный 2 4" xfId="27"/>
    <cellStyle name="Процентный 2 4 2" xfId="266"/>
    <cellStyle name="Процентный 2 5" xfId="28"/>
    <cellStyle name="Процентный 2 5 2" xfId="267"/>
    <cellStyle name="Процентный 2 6" xfId="29"/>
    <cellStyle name="Процентный 2 6 2" xfId="268"/>
    <cellStyle name="Процентный 2 7" xfId="168"/>
    <cellStyle name="Процентный 2 7 2" xfId="269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70"/>
    <cellStyle name="Процентный 3 2" xfId="32"/>
    <cellStyle name="Процентный 3 2 10" xfId="271"/>
    <cellStyle name="Процентный 3 2 2" xfId="33"/>
    <cellStyle name="Процентный 3 2 2 2" xfId="34"/>
    <cellStyle name="Процентный 3 2 2 2 2" xfId="272"/>
    <cellStyle name="Процентный 3 2 2 3" xfId="273"/>
    <cellStyle name="Процентный 3 2 2_Школы" xfId="35"/>
    <cellStyle name="Процентный 3 2 3" xfId="36"/>
    <cellStyle name="Процентный 3 2 3 2" xfId="274"/>
    <cellStyle name="Процентный 3 2 4" xfId="37"/>
    <cellStyle name="Процентный 3 2 4 2" xfId="275"/>
    <cellStyle name="Процентный 3 2 5" xfId="38"/>
    <cellStyle name="Процентный 3 2 5 2" xfId="276"/>
    <cellStyle name="Процентный 3 2 6" xfId="39"/>
    <cellStyle name="Процентный 3 2 6 2" xfId="277"/>
    <cellStyle name="Процентный 3 2 7" xfId="202"/>
    <cellStyle name="Процентный 3 2 8" xfId="203"/>
    <cellStyle name="Процентный 3 2 9" xfId="204"/>
    <cellStyle name="Процентный 3 2_Школы" xfId="40"/>
    <cellStyle name="Процентный 3 3" xfId="41"/>
    <cellStyle name="Процентный 3 3 10" xfId="278"/>
    <cellStyle name="Процентный 3 3 2" xfId="42"/>
    <cellStyle name="Процентный 3 3 2 2" xfId="43"/>
    <cellStyle name="Процентный 3 3 2 2 2" xfId="279"/>
    <cellStyle name="Процентный 3 3 2 3" xfId="280"/>
    <cellStyle name="Процентный 3 3 2_Школы" xfId="44"/>
    <cellStyle name="Процентный 3 3 3" xfId="45"/>
    <cellStyle name="Процентный 3 3 3 2" xfId="281"/>
    <cellStyle name="Процентный 3 3 4" xfId="46"/>
    <cellStyle name="Процентный 3 3 4 2" xfId="282"/>
    <cellStyle name="Процентный 3 3 5" xfId="47"/>
    <cellStyle name="Процентный 3 3 5 2" xfId="283"/>
    <cellStyle name="Процентный 3 3 6" xfId="48"/>
    <cellStyle name="Процентный 3 3 6 2" xfId="284"/>
    <cellStyle name="Процентный 3 3 7" xfId="205"/>
    <cellStyle name="Процентный 3 3 8" xfId="206"/>
    <cellStyle name="Процентный 3 3 9" xfId="207"/>
    <cellStyle name="Процентный 3 3_Школы" xfId="49"/>
    <cellStyle name="Процентный 3 4" xfId="50"/>
    <cellStyle name="Процентный 3 4 10" xfId="285"/>
    <cellStyle name="Процентный 3 4 2" xfId="51"/>
    <cellStyle name="Процентный 3 4 2 2" xfId="52"/>
    <cellStyle name="Процентный 3 4 2 2 2" xfId="286"/>
    <cellStyle name="Процентный 3 4 2 3" xfId="287"/>
    <cellStyle name="Процентный 3 4 2_Школы" xfId="53"/>
    <cellStyle name="Процентный 3 4 3" xfId="54"/>
    <cellStyle name="Процентный 3 4 3 2" xfId="288"/>
    <cellStyle name="Процентный 3 4 4" xfId="208"/>
    <cellStyle name="Процентный 3 4 5" xfId="209"/>
    <cellStyle name="Процентный 3 4 6" xfId="210"/>
    <cellStyle name="Процентный 3 4 7" xfId="211"/>
    <cellStyle name="Процентный 3 4 8" xfId="212"/>
    <cellStyle name="Процентный 3 4 9" xfId="213"/>
    <cellStyle name="Процентный 3 4_Школы" xfId="55"/>
    <cellStyle name="Процентный 3 5" xfId="56"/>
    <cellStyle name="Процентный 3 5 2" xfId="57"/>
    <cellStyle name="Процентный 3 5 2 2" xfId="289"/>
    <cellStyle name="Процентный 3 5 3" xfId="290"/>
    <cellStyle name="Процентный 3 5_Школы" xfId="58"/>
    <cellStyle name="Процентный 3 6" xfId="59"/>
    <cellStyle name="Процентный 3 6 2" xfId="291"/>
    <cellStyle name="Процентный 3 7" xfId="60"/>
    <cellStyle name="Процентный 3 7 2" xfId="292"/>
    <cellStyle name="Процентный 3 8" xfId="61"/>
    <cellStyle name="Процентный 3 8 2" xfId="293"/>
    <cellStyle name="Процентный 3 9" xfId="62"/>
    <cellStyle name="Процентный 3 9 2" xfId="294"/>
    <cellStyle name="Процентный 3_Школы" xfId="63"/>
    <cellStyle name="Процентный 4" xfId="64"/>
    <cellStyle name="Процентный 4 10" xfId="295"/>
    <cellStyle name="Процентный 4 2" xfId="65"/>
    <cellStyle name="Процентный 4 2 2" xfId="66"/>
    <cellStyle name="Процентный 4 2 2 2" xfId="296"/>
    <cellStyle name="Процентный 4 2 3" xfId="297"/>
    <cellStyle name="Процентный 4 2_Школы" xfId="67"/>
    <cellStyle name="Процентный 4 3" xfId="68"/>
    <cellStyle name="Процентный 4 3 2" xfId="298"/>
    <cellStyle name="Процентный 4 4" xfId="69"/>
    <cellStyle name="Процентный 4 4 2" xfId="299"/>
    <cellStyle name="Процентный 4 5" xfId="70"/>
    <cellStyle name="Процентный 4 5 2" xfId="300"/>
    <cellStyle name="Процентный 4 6" xfId="71"/>
    <cellStyle name="Процентный 4 6 2" xfId="301"/>
    <cellStyle name="Процентный 4 7" xfId="214"/>
    <cellStyle name="Процентный 4 8" xfId="215"/>
    <cellStyle name="Процентный 4 9" xfId="216"/>
    <cellStyle name="Процентный 4_Школы" xfId="72"/>
    <cellStyle name="Процентный 5" xfId="73"/>
    <cellStyle name="Процентный 5 2" xfId="74"/>
    <cellStyle name="Процентный 5 2 2" xfId="302"/>
    <cellStyle name="Процентный 5 3" xfId="303"/>
    <cellStyle name="Процентный 5_Школы" xfId="75"/>
    <cellStyle name="Процентный 6" xfId="76"/>
    <cellStyle name="Процентный 6 2" xfId="165"/>
    <cellStyle name="Процентный 6 2 2" xfId="304"/>
    <cellStyle name="Процентный 6 3" xfId="305"/>
    <cellStyle name="Процентный 7" xfId="77"/>
    <cellStyle name="Процентный 7 2" xfId="306"/>
    <cellStyle name="Процентный 8" xfId="78"/>
    <cellStyle name="Процентный 8 2" xfId="307"/>
    <cellStyle name="Процентный 9" xfId="79"/>
    <cellStyle name="Процентный 9 2" xfId="308"/>
    <cellStyle name="Финансовый 10" xfId="80"/>
    <cellStyle name="Финансовый 10 2" xfId="309"/>
    <cellStyle name="Финансовый 11" xfId="81"/>
    <cellStyle name="Финансовый 11 2" xfId="310"/>
    <cellStyle name="Финансовый 12" xfId="169"/>
    <cellStyle name="Финансовый 12 2" xfId="311"/>
    <cellStyle name="Финансовый 13" xfId="173"/>
    <cellStyle name="Финансовый 14" xfId="196"/>
    <cellStyle name="Финансовый 15" xfId="197"/>
    <cellStyle name="Финансовый 2" xfId="82"/>
    <cellStyle name="Финансовый 2 10" xfId="183"/>
    <cellStyle name="Финансовый 2 11" xfId="312"/>
    <cellStyle name="Финансовый 2 2" xfId="83"/>
    <cellStyle name="Финансовый 2 2 10" xfId="185"/>
    <cellStyle name="Финансовый 2 2 11" xfId="313"/>
    <cellStyle name="Финансовый 2 2 2" xfId="84"/>
    <cellStyle name="Финансовый 2 2 2 2" xfId="85"/>
    <cellStyle name="Финансовый 2 2 2 2 2" xfId="314"/>
    <cellStyle name="Финансовый 2 2 2 3" xfId="315"/>
    <cellStyle name="Финансовый 2 2 2_Школы" xfId="86"/>
    <cellStyle name="Финансовый 2 2 3" xfId="87"/>
    <cellStyle name="Финансовый 2 2 3 2" xfId="316"/>
    <cellStyle name="Финансовый 2 2 4" xfId="88"/>
    <cellStyle name="Финансовый 2 2 4 2" xfId="317"/>
    <cellStyle name="Финансовый 2 2 5" xfId="89"/>
    <cellStyle name="Финансовый 2 2 5 2" xfId="318"/>
    <cellStyle name="Финансовый 2 2 6" xfId="90"/>
    <cellStyle name="Финансовый 2 2 6 2" xfId="319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20"/>
    <cellStyle name="Финансовый 2 3 3" xfId="321"/>
    <cellStyle name="Финансовый 2 3_Школы" xfId="94"/>
    <cellStyle name="Финансовый 2 4" xfId="95"/>
    <cellStyle name="Финансовый 2 4 2" xfId="322"/>
    <cellStyle name="Финансовый 2 5" xfId="96"/>
    <cellStyle name="Финансовый 2 5 2" xfId="323"/>
    <cellStyle name="Финансовый 2 6" xfId="97"/>
    <cellStyle name="Финансовый 2 6 2" xfId="324"/>
    <cellStyle name="Финансовый 2 7" xfId="98"/>
    <cellStyle name="Финансовый 2 7 2" xfId="325"/>
    <cellStyle name="Финансовый 2 8" xfId="167"/>
    <cellStyle name="Финансовый 2 8 2" xfId="326"/>
    <cellStyle name="Финансовый 2 9" xfId="178"/>
    <cellStyle name="Финансовый 2_Школы" xfId="99"/>
    <cellStyle name="Финансовый 3" xfId="100"/>
    <cellStyle name="Финансовый 3 10" xfId="327"/>
    <cellStyle name="Финансовый 3 2" xfId="101"/>
    <cellStyle name="Финансовый 3 2 2" xfId="102"/>
    <cellStyle name="Финансовый 3 2 2 2" xfId="328"/>
    <cellStyle name="Финансовый 3 2 3" xfId="329"/>
    <cellStyle name="Финансовый 3 2_Школы" xfId="103"/>
    <cellStyle name="Финансовый 3 3" xfId="104"/>
    <cellStyle name="Финансовый 3 3 2" xfId="330"/>
    <cellStyle name="Финансовый 3 4" xfId="105"/>
    <cellStyle name="Финансовый 3 4 2" xfId="331"/>
    <cellStyle name="Финансовый 3 5" xfId="106"/>
    <cellStyle name="Финансовый 3 5 2" xfId="332"/>
    <cellStyle name="Финансовый 3 6" xfId="107"/>
    <cellStyle name="Финансовый 3 6 2" xfId="333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4"/>
    <cellStyle name="Финансовый 4 2" xfId="110"/>
    <cellStyle name="Финансовый 4 2 10" xfId="335"/>
    <cellStyle name="Финансовый 4 2 2" xfId="111"/>
    <cellStyle name="Финансовый 4 2 2 2" xfId="112"/>
    <cellStyle name="Финансовый 4 2 2 2 2" xfId="336"/>
    <cellStyle name="Финансовый 4 2 2 3" xfId="337"/>
    <cellStyle name="Финансовый 4 2 2_Школы" xfId="113"/>
    <cellStyle name="Финансовый 4 2 3" xfId="114"/>
    <cellStyle name="Финансовый 4 2 3 2" xfId="338"/>
    <cellStyle name="Финансовый 4 2 4" xfId="115"/>
    <cellStyle name="Финансовый 4 2 4 2" xfId="339"/>
    <cellStyle name="Финансовый 4 2 5" xfId="116"/>
    <cellStyle name="Финансовый 4 2 5 2" xfId="340"/>
    <cellStyle name="Финансовый 4 2 6" xfId="117"/>
    <cellStyle name="Финансовый 4 2 6 2" xfId="341"/>
    <cellStyle name="Финансовый 4 2 7" xfId="217"/>
    <cellStyle name="Финансовый 4 2 8" xfId="218"/>
    <cellStyle name="Финансовый 4 2 9" xfId="219"/>
    <cellStyle name="Финансовый 4 2_Школы" xfId="118"/>
    <cellStyle name="Финансовый 4 3" xfId="119"/>
    <cellStyle name="Финансовый 4 3 10" xfId="342"/>
    <cellStyle name="Финансовый 4 3 2" xfId="120"/>
    <cellStyle name="Финансовый 4 3 2 2" xfId="121"/>
    <cellStyle name="Финансовый 4 3 2 2 2" xfId="343"/>
    <cellStyle name="Финансовый 4 3 2 3" xfId="344"/>
    <cellStyle name="Финансовый 4 3 2_Школы" xfId="122"/>
    <cellStyle name="Финансовый 4 3 3" xfId="123"/>
    <cellStyle name="Финансовый 4 3 3 2" xfId="345"/>
    <cellStyle name="Финансовый 4 3 4" xfId="124"/>
    <cellStyle name="Финансовый 4 3 4 2" xfId="346"/>
    <cellStyle name="Финансовый 4 3 5" xfId="125"/>
    <cellStyle name="Финансовый 4 3 5 2" xfId="347"/>
    <cellStyle name="Финансовый 4 3 6" xfId="126"/>
    <cellStyle name="Финансовый 4 3 6 2" xfId="348"/>
    <cellStyle name="Финансовый 4 3 7" xfId="220"/>
    <cellStyle name="Финансовый 4 3 8" xfId="221"/>
    <cellStyle name="Финансовый 4 3 9" xfId="222"/>
    <cellStyle name="Финансовый 4 3_Школы" xfId="127"/>
    <cellStyle name="Финансовый 4 4" xfId="128"/>
    <cellStyle name="Финансовый 4 4 10" xfId="349"/>
    <cellStyle name="Финансовый 4 4 2" xfId="129"/>
    <cellStyle name="Финансовый 4 4 2 2" xfId="130"/>
    <cellStyle name="Финансовый 4 4 2 2 2" xfId="350"/>
    <cellStyle name="Финансовый 4 4 2 3" xfId="351"/>
    <cellStyle name="Финансовый 4 4 2_Школы" xfId="131"/>
    <cellStyle name="Финансовый 4 4 3" xfId="132"/>
    <cellStyle name="Финансовый 4 4 3 2" xfId="352"/>
    <cellStyle name="Финансовый 4 4 4" xfId="133"/>
    <cellStyle name="Финансовый 4 4 4 2" xfId="353"/>
    <cellStyle name="Финансовый 4 4 5" xfId="223"/>
    <cellStyle name="Финансовый 4 4 6" xfId="224"/>
    <cellStyle name="Финансовый 4 4 7" xfId="225"/>
    <cellStyle name="Финансовый 4 4 8" xfId="226"/>
    <cellStyle name="Финансовый 4 4 9" xfId="227"/>
    <cellStyle name="Финансовый 4 4_Школы" xfId="134"/>
    <cellStyle name="Финансовый 4 5" xfId="135"/>
    <cellStyle name="Финансовый 4 5 2" xfId="136"/>
    <cellStyle name="Финансовый 4 5 2 2" xfId="354"/>
    <cellStyle name="Финансовый 4 5 3" xfId="355"/>
    <cellStyle name="Финансовый 4 5_Школы" xfId="137"/>
    <cellStyle name="Финансовый 4 6" xfId="138"/>
    <cellStyle name="Финансовый 4 6 2" xfId="356"/>
    <cellStyle name="Финансовый 4 7" xfId="139"/>
    <cellStyle name="Финансовый 4 7 2" xfId="357"/>
    <cellStyle name="Финансовый 4 8" xfId="140"/>
    <cellStyle name="Финансовый 4 8 2" xfId="358"/>
    <cellStyle name="Финансовый 4 9" xfId="141"/>
    <cellStyle name="Финансовый 4 9 2" xfId="359"/>
    <cellStyle name="Финансовый 4_Школы" xfId="142"/>
    <cellStyle name="Финансовый 5" xfId="143"/>
    <cellStyle name="Финансовый 5 10" xfId="360"/>
    <cellStyle name="Финансовый 5 2" xfId="144"/>
    <cellStyle name="Финансовый 5 2 2" xfId="145"/>
    <cellStyle name="Финансовый 5 2 2 2" xfId="361"/>
    <cellStyle name="Финансовый 5 2 3" xfId="362"/>
    <cellStyle name="Финансовый 5 2_Школы" xfId="146"/>
    <cellStyle name="Финансовый 5 3" xfId="147"/>
    <cellStyle name="Финансовый 5 3 2" xfId="363"/>
    <cellStyle name="Финансовый 5 4" xfId="148"/>
    <cellStyle name="Финансовый 5 4 2" xfId="364"/>
    <cellStyle name="Финансовый 5 5" xfId="149"/>
    <cellStyle name="Финансовый 5 5 2" xfId="365"/>
    <cellStyle name="Финансовый 5 6" xfId="150"/>
    <cellStyle name="Финансовый 5 6 2" xfId="366"/>
    <cellStyle name="Финансовый 5 7" xfId="151"/>
    <cellStyle name="Финансовый 5 7 2" xfId="367"/>
    <cellStyle name="Финансовый 5 8" xfId="228"/>
    <cellStyle name="Финансовый 5 9" xfId="229"/>
    <cellStyle name="Финансовый 5_Школы" xfId="152"/>
    <cellStyle name="Финансовый 6" xfId="153"/>
    <cellStyle name="Финансовый 6 2" xfId="154"/>
    <cellStyle name="Финансовый 6 2 2" xfId="368"/>
    <cellStyle name="Финансовый 6 3" xfId="369"/>
    <cellStyle name="Финансовый 6_Школы" xfId="155"/>
    <cellStyle name="Финансовый 7" xfId="156"/>
    <cellStyle name="Финансовый 7 2" xfId="157"/>
    <cellStyle name="Финансовый 7 2 2" xfId="370"/>
    <cellStyle name="Финансовый 7 3" xfId="158"/>
    <cellStyle name="Финансовый 7 3 2" xfId="371"/>
    <cellStyle name="Финансовый 7 4" xfId="164"/>
    <cellStyle name="Финансовый 7 4 2" xfId="372"/>
    <cellStyle name="Финансовый 7 5" xfId="198"/>
    <cellStyle name="Финансовый 8" xfId="159"/>
    <cellStyle name="Финансовый 8 2" xfId="373"/>
    <cellStyle name="Финансовый 9" xfId="160"/>
    <cellStyle name="Финансовый 9 2" xfId="37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469"/>
    </row>
    <row r="3" spans="2:2" s="228" customFormat="1" ht="18" x14ac:dyDescent="0.25">
      <c r="B3" s="470" t="s">
        <v>331</v>
      </c>
    </row>
    <row r="4" spans="2:2" ht="18" x14ac:dyDescent="0.25">
      <c r="B4" s="469" t="e">
        <f>#REF!+#REF!+#REF!+#REF!</f>
        <v>#REF!</v>
      </c>
    </row>
    <row r="5" spans="2:2" ht="18" x14ac:dyDescent="0.25">
      <c r="B5" s="469"/>
    </row>
    <row r="6" spans="2:2" ht="18" x14ac:dyDescent="0.25">
      <c r="B6" s="469"/>
    </row>
    <row r="7" spans="2:2" ht="18" x14ac:dyDescent="0.25">
      <c r="B7" s="469"/>
    </row>
    <row r="8" spans="2:2" ht="18" x14ac:dyDescent="0.25">
      <c r="B8" s="469"/>
    </row>
    <row r="9" spans="2:2" ht="18" x14ac:dyDescent="0.25">
      <c r="B9" s="469"/>
    </row>
    <row r="22" s="228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26" bestFit="1" customWidth="1"/>
    <col min="2" max="2" width="17.7109375" style="126" customWidth="1"/>
    <col min="3" max="3" width="15.140625" style="126" customWidth="1"/>
    <col min="4" max="4" width="19.28515625" style="126" customWidth="1"/>
    <col min="5" max="5" width="9.140625" style="126"/>
    <col min="6" max="6" width="5.7109375" style="126" bestFit="1" customWidth="1"/>
    <col min="7" max="7" width="17.7109375" style="126" customWidth="1"/>
    <col min="8" max="8" width="14.28515625" style="126" customWidth="1"/>
    <col min="9" max="9" width="19.85546875" style="126" customWidth="1"/>
    <col min="10" max="10" width="9.140625" style="126"/>
    <col min="11" max="11" width="14.42578125" style="126" customWidth="1"/>
    <col min="12" max="12" width="21.28515625" style="126" customWidth="1"/>
    <col min="13" max="16384" width="9.140625" style="126"/>
  </cols>
  <sheetData>
    <row r="1" spans="1:12" x14ac:dyDescent="0.2">
      <c r="A1" s="472" t="s">
        <v>0</v>
      </c>
      <c r="B1" s="473" t="s">
        <v>1</v>
      </c>
      <c r="C1" s="474" t="s">
        <v>252</v>
      </c>
      <c r="D1" s="474" t="s">
        <v>253</v>
      </c>
      <c r="F1" s="475" t="s">
        <v>0</v>
      </c>
      <c r="G1" s="471" t="s">
        <v>1</v>
      </c>
      <c r="H1" s="476" t="s">
        <v>223</v>
      </c>
      <c r="I1" s="476" t="s">
        <v>2</v>
      </c>
      <c r="K1" s="477" t="s">
        <v>3</v>
      </c>
      <c r="L1" s="477"/>
    </row>
    <row r="2" spans="1:12" ht="33" customHeight="1" x14ac:dyDescent="0.2">
      <c r="A2" s="472"/>
      <c r="B2" s="473"/>
      <c r="C2" s="474"/>
      <c r="D2" s="474"/>
      <c r="F2" s="475"/>
      <c r="G2" s="471"/>
      <c r="H2" s="476"/>
      <c r="I2" s="476"/>
      <c r="K2" s="477" t="s">
        <v>4</v>
      </c>
      <c r="L2" s="471" t="s">
        <v>2</v>
      </c>
    </row>
    <row r="3" spans="1:12" ht="17.45" customHeight="1" x14ac:dyDescent="0.2">
      <c r="A3" s="472"/>
      <c r="B3" s="473"/>
      <c r="C3" s="474"/>
      <c r="D3" s="474"/>
      <c r="F3" s="475"/>
      <c r="G3" s="471"/>
      <c r="H3" s="476"/>
      <c r="I3" s="476"/>
      <c r="K3" s="477"/>
      <c r="L3" s="471"/>
    </row>
    <row r="4" spans="1:12" ht="16.5" customHeight="1" x14ac:dyDescent="0.25">
      <c r="A4" s="127">
        <v>1</v>
      </c>
      <c r="B4" s="128" t="s">
        <v>5</v>
      </c>
      <c r="C4" s="129">
        <v>49256</v>
      </c>
      <c r="D4" s="130">
        <v>9280</v>
      </c>
      <c r="F4" s="131">
        <v>1</v>
      </c>
      <c r="G4" s="131" t="s">
        <v>5</v>
      </c>
      <c r="H4" s="132">
        <v>50019</v>
      </c>
      <c r="I4" s="133">
        <v>9361</v>
      </c>
      <c r="K4" s="134">
        <f t="shared" ref="K4:L21" si="0">C4-H4</f>
        <v>-763</v>
      </c>
      <c r="L4" s="134">
        <f t="shared" si="0"/>
        <v>-81</v>
      </c>
    </row>
    <row r="5" spans="1:12" ht="15" x14ac:dyDescent="0.25">
      <c r="A5" s="127">
        <v>2</v>
      </c>
      <c r="B5" s="128" t="s">
        <v>6</v>
      </c>
      <c r="C5" s="129">
        <v>51668</v>
      </c>
      <c r="D5" s="130">
        <v>9888</v>
      </c>
      <c r="F5" s="131">
        <v>2</v>
      </c>
      <c r="G5" s="131" t="s">
        <v>6</v>
      </c>
      <c r="H5" s="132">
        <v>51675</v>
      </c>
      <c r="I5" s="133">
        <v>9802</v>
      </c>
      <c r="K5" s="134">
        <f t="shared" si="0"/>
        <v>-7</v>
      </c>
      <c r="L5" s="134">
        <f t="shared" si="0"/>
        <v>86</v>
      </c>
    </row>
    <row r="6" spans="1:12" ht="15" x14ac:dyDescent="0.25">
      <c r="A6" s="127">
        <v>3</v>
      </c>
      <c r="B6" s="128" t="s">
        <v>7</v>
      </c>
      <c r="C6" s="129">
        <v>89070</v>
      </c>
      <c r="D6" s="130">
        <v>15298</v>
      </c>
      <c r="F6" s="131">
        <v>3</v>
      </c>
      <c r="G6" s="131" t="s">
        <v>7</v>
      </c>
      <c r="H6" s="132">
        <v>90174</v>
      </c>
      <c r="I6" s="133">
        <v>15510</v>
      </c>
      <c r="K6" s="134">
        <f t="shared" si="0"/>
        <v>-1104</v>
      </c>
      <c r="L6" s="134">
        <f t="shared" si="0"/>
        <v>-212</v>
      </c>
    </row>
    <row r="7" spans="1:12" ht="15" x14ac:dyDescent="0.25">
      <c r="A7" s="127">
        <v>4</v>
      </c>
      <c r="B7" s="128" t="s">
        <v>8</v>
      </c>
      <c r="C7" s="129">
        <v>398896</v>
      </c>
      <c r="D7" s="130">
        <v>78461</v>
      </c>
      <c r="F7" s="131">
        <v>4</v>
      </c>
      <c r="G7" s="131" t="s">
        <v>8</v>
      </c>
      <c r="H7" s="132">
        <v>354723</v>
      </c>
      <c r="I7" s="133">
        <v>66623</v>
      </c>
      <c r="K7" s="134">
        <f t="shared" si="0"/>
        <v>44173</v>
      </c>
      <c r="L7" s="134">
        <f t="shared" si="0"/>
        <v>11838</v>
      </c>
    </row>
    <row r="8" spans="1:12" ht="15" x14ac:dyDescent="0.25">
      <c r="A8" s="127">
        <v>5</v>
      </c>
      <c r="B8" s="128" t="s">
        <v>9</v>
      </c>
      <c r="C8" s="129">
        <v>199571</v>
      </c>
      <c r="D8" s="130">
        <v>34452</v>
      </c>
      <c r="F8" s="131">
        <v>5</v>
      </c>
      <c r="G8" s="131" t="s">
        <v>9</v>
      </c>
      <c r="H8" s="132">
        <v>201239</v>
      </c>
      <c r="I8" s="133">
        <v>34776</v>
      </c>
      <c r="K8" s="134">
        <f t="shared" si="0"/>
        <v>-1668</v>
      </c>
      <c r="L8" s="134">
        <f t="shared" si="0"/>
        <v>-324</v>
      </c>
    </row>
    <row r="9" spans="1:12" ht="15" x14ac:dyDescent="0.25">
      <c r="A9" s="127">
        <v>6</v>
      </c>
      <c r="B9" s="128" t="s">
        <v>10</v>
      </c>
      <c r="C9" s="129">
        <v>243156</v>
      </c>
      <c r="D9" s="130">
        <v>41294</v>
      </c>
      <c r="F9" s="131">
        <v>6</v>
      </c>
      <c r="G9" s="131" t="s">
        <v>10</v>
      </c>
      <c r="H9" s="132">
        <v>244252</v>
      </c>
      <c r="I9" s="133">
        <v>41277</v>
      </c>
      <c r="K9" s="134">
        <f t="shared" si="0"/>
        <v>-1096</v>
      </c>
      <c r="L9" s="134">
        <f t="shared" si="0"/>
        <v>17</v>
      </c>
    </row>
    <row r="10" spans="1:12" ht="15" x14ac:dyDescent="0.25">
      <c r="A10" s="127">
        <v>7</v>
      </c>
      <c r="B10" s="128" t="s">
        <v>11</v>
      </c>
      <c r="C10" s="129">
        <v>76182</v>
      </c>
      <c r="D10" s="130">
        <v>14400</v>
      </c>
      <c r="F10" s="131">
        <v>7</v>
      </c>
      <c r="G10" s="131" t="s">
        <v>11</v>
      </c>
      <c r="H10" s="132">
        <v>78839</v>
      </c>
      <c r="I10" s="133">
        <v>14652</v>
      </c>
      <c r="K10" s="134">
        <f t="shared" si="0"/>
        <v>-2657</v>
      </c>
      <c r="L10" s="134">
        <f t="shared" si="0"/>
        <v>-252</v>
      </c>
    </row>
    <row r="11" spans="1:12" ht="15" x14ac:dyDescent="0.25">
      <c r="A11" s="127">
        <v>8</v>
      </c>
      <c r="B11" s="128" t="s">
        <v>12</v>
      </c>
      <c r="C11" s="129">
        <v>62069</v>
      </c>
      <c r="D11" s="130">
        <v>12561</v>
      </c>
      <c r="F11" s="131">
        <v>8</v>
      </c>
      <c r="G11" s="131" t="s">
        <v>12</v>
      </c>
      <c r="H11" s="132">
        <v>62456</v>
      </c>
      <c r="I11" s="133">
        <v>12691</v>
      </c>
      <c r="K11" s="134">
        <f t="shared" si="0"/>
        <v>-387</v>
      </c>
      <c r="L11" s="134">
        <f t="shared" si="0"/>
        <v>-130</v>
      </c>
    </row>
    <row r="12" spans="1:12" ht="15" x14ac:dyDescent="0.25">
      <c r="A12" s="127">
        <v>9</v>
      </c>
      <c r="B12" s="128" t="s">
        <v>13</v>
      </c>
      <c r="C12" s="129">
        <v>105936</v>
      </c>
      <c r="D12" s="130">
        <v>18214</v>
      </c>
      <c r="F12" s="131">
        <v>9</v>
      </c>
      <c r="G12" s="131" t="s">
        <v>13</v>
      </c>
      <c r="H12" s="132">
        <v>105698</v>
      </c>
      <c r="I12" s="133">
        <v>17953</v>
      </c>
      <c r="K12" s="134">
        <f t="shared" si="0"/>
        <v>238</v>
      </c>
      <c r="L12" s="134">
        <f t="shared" si="0"/>
        <v>261</v>
      </c>
    </row>
    <row r="13" spans="1:12" ht="15" x14ac:dyDescent="0.25">
      <c r="A13" s="127">
        <v>10</v>
      </c>
      <c r="B13" s="128" t="s">
        <v>14</v>
      </c>
      <c r="C13" s="129">
        <v>28530</v>
      </c>
      <c r="D13" s="130">
        <v>5064</v>
      </c>
      <c r="F13" s="131">
        <v>10</v>
      </c>
      <c r="G13" s="131" t="s">
        <v>14</v>
      </c>
      <c r="H13" s="132">
        <v>28916</v>
      </c>
      <c r="I13" s="133">
        <v>5233</v>
      </c>
      <c r="K13" s="134">
        <f t="shared" si="0"/>
        <v>-386</v>
      </c>
      <c r="L13" s="134">
        <f t="shared" si="0"/>
        <v>-169</v>
      </c>
    </row>
    <row r="14" spans="1:12" ht="15" x14ac:dyDescent="0.25">
      <c r="A14" s="127">
        <v>11</v>
      </c>
      <c r="B14" s="128" t="s">
        <v>15</v>
      </c>
      <c r="C14" s="129">
        <v>73475</v>
      </c>
      <c r="D14" s="130">
        <v>12156</v>
      </c>
      <c r="F14" s="131">
        <v>11</v>
      </c>
      <c r="G14" s="131" t="s">
        <v>15</v>
      </c>
      <c r="H14" s="132">
        <v>71850</v>
      </c>
      <c r="I14" s="133">
        <v>11720</v>
      </c>
      <c r="K14" s="134">
        <f t="shared" si="0"/>
        <v>1625</v>
      </c>
      <c r="L14" s="134">
        <f t="shared" si="0"/>
        <v>436</v>
      </c>
    </row>
    <row r="15" spans="1:12" ht="15" x14ac:dyDescent="0.25">
      <c r="A15" s="127">
        <v>12</v>
      </c>
      <c r="B15" s="128" t="s">
        <v>16</v>
      </c>
      <c r="C15" s="129">
        <v>72035</v>
      </c>
      <c r="D15" s="130">
        <v>12464</v>
      </c>
      <c r="F15" s="131">
        <v>12</v>
      </c>
      <c r="G15" s="131" t="s">
        <v>16</v>
      </c>
      <c r="H15" s="132">
        <v>72879</v>
      </c>
      <c r="I15" s="133">
        <v>12492</v>
      </c>
      <c r="K15" s="134">
        <f t="shared" si="0"/>
        <v>-844</v>
      </c>
      <c r="L15" s="134">
        <f t="shared" si="0"/>
        <v>-28</v>
      </c>
    </row>
    <row r="16" spans="1:12" ht="15" x14ac:dyDescent="0.25">
      <c r="A16" s="127">
        <v>13</v>
      </c>
      <c r="B16" s="128" t="s">
        <v>17</v>
      </c>
      <c r="C16" s="129">
        <v>28263</v>
      </c>
      <c r="D16" s="130">
        <v>5544</v>
      </c>
      <c r="F16" s="131">
        <v>13</v>
      </c>
      <c r="G16" s="131" t="s">
        <v>17</v>
      </c>
      <c r="H16" s="132">
        <v>28924</v>
      </c>
      <c r="I16" s="133">
        <v>5326</v>
      </c>
      <c r="K16" s="134">
        <f t="shared" si="0"/>
        <v>-661</v>
      </c>
      <c r="L16" s="134">
        <f t="shared" si="0"/>
        <v>218</v>
      </c>
    </row>
    <row r="17" spans="1:12" ht="15" x14ac:dyDescent="0.25">
      <c r="A17" s="127">
        <v>14</v>
      </c>
      <c r="B17" s="128" t="s">
        <v>18</v>
      </c>
      <c r="C17" s="129">
        <v>61028</v>
      </c>
      <c r="D17" s="130">
        <v>10949</v>
      </c>
      <c r="F17" s="131">
        <v>14</v>
      </c>
      <c r="G17" s="131" t="s">
        <v>18</v>
      </c>
      <c r="H17" s="132">
        <v>61702</v>
      </c>
      <c r="I17" s="133">
        <v>10950</v>
      </c>
      <c r="K17" s="134">
        <f t="shared" si="0"/>
        <v>-674</v>
      </c>
      <c r="L17" s="134">
        <f t="shared" si="0"/>
        <v>-1</v>
      </c>
    </row>
    <row r="18" spans="1:12" ht="15" x14ac:dyDescent="0.25">
      <c r="A18" s="127">
        <v>15</v>
      </c>
      <c r="B18" s="128" t="s">
        <v>19</v>
      </c>
      <c r="C18" s="129">
        <v>42494</v>
      </c>
      <c r="D18" s="130">
        <v>7382</v>
      </c>
      <c r="F18" s="131">
        <v>15</v>
      </c>
      <c r="G18" s="131" t="s">
        <v>19</v>
      </c>
      <c r="H18" s="132">
        <v>42791</v>
      </c>
      <c r="I18" s="133">
        <v>7474</v>
      </c>
      <c r="K18" s="134">
        <f t="shared" si="0"/>
        <v>-297</v>
      </c>
      <c r="L18" s="134">
        <f t="shared" si="0"/>
        <v>-92</v>
      </c>
    </row>
    <row r="19" spans="1:12" ht="15" x14ac:dyDescent="0.25">
      <c r="A19" s="127">
        <v>16</v>
      </c>
      <c r="B19" s="139" t="s">
        <v>20</v>
      </c>
      <c r="C19" s="129">
        <v>69567</v>
      </c>
      <c r="D19" s="140">
        <v>13472</v>
      </c>
      <c r="F19" s="131">
        <v>16</v>
      </c>
      <c r="G19" s="131" t="s">
        <v>20</v>
      </c>
      <c r="H19" s="132">
        <v>69905</v>
      </c>
      <c r="I19" s="133">
        <v>13311</v>
      </c>
      <c r="K19" s="134">
        <f t="shared" si="0"/>
        <v>-338</v>
      </c>
      <c r="L19" s="134">
        <f t="shared" si="0"/>
        <v>161</v>
      </c>
    </row>
    <row r="20" spans="1:12" ht="15" x14ac:dyDescent="0.25">
      <c r="A20" s="127">
        <v>17</v>
      </c>
      <c r="B20" s="139" t="s">
        <v>21</v>
      </c>
      <c r="C20" s="129">
        <v>128327</v>
      </c>
      <c r="D20" s="140">
        <v>20983</v>
      </c>
      <c r="F20" s="131">
        <v>17</v>
      </c>
      <c r="G20" s="131" t="s">
        <v>21</v>
      </c>
      <c r="H20" s="132">
        <v>129761</v>
      </c>
      <c r="I20" s="133">
        <v>21115</v>
      </c>
      <c r="K20" s="134">
        <f t="shared" si="0"/>
        <v>-1434</v>
      </c>
      <c r="L20" s="134">
        <f t="shared" si="0"/>
        <v>-132</v>
      </c>
    </row>
    <row r="21" spans="1:12" ht="15" x14ac:dyDescent="0.25">
      <c r="A21" s="127">
        <v>18</v>
      </c>
      <c r="B21" s="139" t="s">
        <v>22</v>
      </c>
      <c r="C21" s="129">
        <v>68344</v>
      </c>
      <c r="D21" s="140">
        <v>12146</v>
      </c>
      <c r="F21" s="131">
        <v>18</v>
      </c>
      <c r="G21" s="131" t="s">
        <v>22</v>
      </c>
      <c r="H21" s="132">
        <v>68013</v>
      </c>
      <c r="I21" s="133">
        <v>11918</v>
      </c>
      <c r="K21" s="134">
        <f t="shared" si="0"/>
        <v>331</v>
      </c>
      <c r="L21" s="134">
        <f t="shared" si="0"/>
        <v>228</v>
      </c>
    </row>
    <row r="22" spans="1:12" x14ac:dyDescent="0.2">
      <c r="A22" s="127"/>
      <c r="B22" s="135" t="s">
        <v>23</v>
      </c>
      <c r="C22" s="136">
        <f>SUM(C4:C21)</f>
        <v>1847867</v>
      </c>
      <c r="D22" s="136">
        <f>SUM(D4:D21)</f>
        <v>334008</v>
      </c>
      <c r="F22" s="131"/>
      <c r="G22" s="137" t="s">
        <v>23</v>
      </c>
      <c r="H22" s="138">
        <f>SUM(H4:H21)</f>
        <v>1813816</v>
      </c>
      <c r="I22" s="138">
        <f>SUM(I4:I21)</f>
        <v>322184</v>
      </c>
      <c r="K22" s="134">
        <f>SUM(K4:K21)</f>
        <v>34051</v>
      </c>
      <c r="L22" s="134">
        <f>SUM(L4:L21)</f>
        <v>11824</v>
      </c>
    </row>
  </sheetData>
  <mergeCells count="11">
    <mergeCell ref="H1:H3"/>
    <mergeCell ref="I1:I3"/>
    <mergeCell ref="K1:L1"/>
    <mergeCell ref="K2:K3"/>
    <mergeCell ref="L2:L3"/>
    <mergeCell ref="G1:G3"/>
    <mergeCell ref="A1:A3"/>
    <mergeCell ref="B1:B3"/>
    <mergeCell ref="C1:C3"/>
    <mergeCell ref="D1:D3"/>
    <mergeCell ref="F1:F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417" customWidth="1"/>
    <col min="2" max="2" width="18.5703125" style="417" customWidth="1"/>
    <col min="3" max="3" width="13" style="417" customWidth="1"/>
    <col min="4" max="4" width="13.140625" style="417" customWidth="1"/>
    <col min="5" max="5" width="20.140625" style="417" customWidth="1"/>
    <col min="6" max="6" width="18.7109375" style="417" customWidth="1"/>
    <col min="7" max="7" width="17.140625" style="417" customWidth="1"/>
    <col min="8" max="8" width="13.140625" style="417" customWidth="1"/>
    <col min="9" max="9" width="10.85546875" style="417" customWidth="1"/>
    <col min="10" max="10" width="16.7109375" style="417" customWidth="1"/>
    <col min="11" max="11" width="12.28515625" style="420" customWidth="1"/>
    <col min="12" max="12" width="13.7109375" style="417" customWidth="1"/>
    <col min="13" max="13" width="9.7109375" style="417" bestFit="1" customWidth="1"/>
    <col min="14" max="14" width="11" style="417" customWidth="1"/>
    <col min="15" max="15" width="10.7109375" style="417" customWidth="1"/>
    <col min="16" max="16" width="10.5703125" style="417" customWidth="1"/>
    <col min="17" max="17" width="4.28515625" style="417" customWidth="1"/>
    <col min="18" max="20" width="12.85546875" style="417" bestFit="1" customWidth="1"/>
    <col min="21" max="22" width="13.5703125" style="417" customWidth="1"/>
    <col min="23" max="23" width="9.28515625" style="417" bestFit="1" customWidth="1"/>
    <col min="24" max="24" width="10.7109375" style="417" bestFit="1" customWidth="1"/>
    <col min="25" max="16384" width="8.85546875" style="417"/>
  </cols>
  <sheetData>
    <row r="1" spans="1:24" ht="36" customHeight="1" x14ac:dyDescent="0.2">
      <c r="B1" s="486" t="s">
        <v>258</v>
      </c>
      <c r="C1" s="486"/>
      <c r="D1" s="486"/>
      <c r="E1" s="486"/>
      <c r="F1" s="486"/>
      <c r="G1" s="486"/>
      <c r="H1" s="486"/>
      <c r="I1" s="486"/>
      <c r="J1" s="486"/>
      <c r="K1" s="486"/>
    </row>
    <row r="2" spans="1:24" ht="18" customHeight="1" x14ac:dyDescent="0.2">
      <c r="B2" s="418"/>
      <c r="C2" s="419"/>
      <c r="D2" s="419"/>
      <c r="E2" s="419"/>
      <c r="F2" s="419"/>
      <c r="G2" s="419"/>
      <c r="H2" s="419"/>
      <c r="I2" s="419"/>
      <c r="J2" s="419"/>
    </row>
    <row r="3" spans="1:24" ht="25.15" customHeight="1" x14ac:dyDescent="0.2">
      <c r="A3" s="487" t="s">
        <v>24</v>
      </c>
      <c r="B3" s="487" t="s">
        <v>25</v>
      </c>
      <c r="C3" s="487" t="s">
        <v>256</v>
      </c>
      <c r="D3" s="487" t="s">
        <v>26</v>
      </c>
      <c r="E3" s="487" t="s">
        <v>27</v>
      </c>
      <c r="F3" s="487" t="s">
        <v>28</v>
      </c>
      <c r="G3" s="487" t="s">
        <v>29</v>
      </c>
      <c r="H3" s="487" t="s">
        <v>30</v>
      </c>
      <c r="I3" s="487" t="s">
        <v>257</v>
      </c>
      <c r="J3" s="487"/>
      <c r="K3" s="487"/>
      <c r="L3" s="479" t="s">
        <v>287</v>
      </c>
      <c r="M3" s="479" t="s">
        <v>329</v>
      </c>
      <c r="N3" s="481" t="s">
        <v>290</v>
      </c>
      <c r="O3" s="482"/>
      <c r="P3" s="482"/>
      <c r="Q3" s="421"/>
    </row>
    <row r="4" spans="1:24" ht="84" customHeight="1" x14ac:dyDescent="0.2">
      <c r="A4" s="487"/>
      <c r="B4" s="487"/>
      <c r="C4" s="487"/>
      <c r="D4" s="487"/>
      <c r="E4" s="487"/>
      <c r="F4" s="487"/>
      <c r="G4" s="487"/>
      <c r="H4" s="487"/>
      <c r="I4" s="422" t="s">
        <v>31</v>
      </c>
      <c r="J4" s="422" t="s">
        <v>249</v>
      </c>
      <c r="K4" s="423" t="s">
        <v>255</v>
      </c>
      <c r="L4" s="480"/>
      <c r="M4" s="480"/>
      <c r="N4" s="424">
        <v>2021</v>
      </c>
      <c r="O4" s="424">
        <v>2022</v>
      </c>
      <c r="P4" s="424">
        <v>2023</v>
      </c>
      <c r="Q4" s="425"/>
      <c r="R4" s="483" t="s">
        <v>306</v>
      </c>
      <c r="S4" s="484"/>
      <c r="T4" s="485"/>
      <c r="W4" s="426">
        <f>ROUND(E27*E28*E29,0)/1000</f>
        <v>908.96900000000005</v>
      </c>
      <c r="X4" s="427">
        <f>E5+F5+G5</f>
        <v>5.8999999999999995</v>
      </c>
    </row>
    <row r="5" spans="1:24" s="438" customFormat="1" ht="12.75" x14ac:dyDescent="0.2">
      <c r="A5" s="428">
        <v>1</v>
      </c>
      <c r="B5" s="429" t="s">
        <v>32</v>
      </c>
      <c r="C5" s="430">
        <f>'[1]Население на 01.01.2019'!C4</f>
        <v>49256</v>
      </c>
      <c r="D5" s="430">
        <f>'[1]Население на 01.01.2019'!D4</f>
        <v>9280</v>
      </c>
      <c r="E5" s="431">
        <f>ROUND(D5/$E$24,1)</f>
        <v>4.5999999999999996</v>
      </c>
      <c r="F5" s="431">
        <f>ROUND((C5-D5)/$F$24,1)</f>
        <v>0.3</v>
      </c>
      <c r="G5" s="431">
        <f>IF(D5/$G$24&lt;1,1,IF(D5/$G$24&gt;1.5,1.5,D5/$G$24))</f>
        <v>1</v>
      </c>
      <c r="H5" s="431">
        <f>ROUND(E5+F5+G5,1)</f>
        <v>5.9</v>
      </c>
      <c r="I5" s="432">
        <f>ROUND(H5*$E$30,1)</f>
        <v>5434.5</v>
      </c>
      <c r="J5" s="433">
        <f>ROUND(I5*0.2,1)</f>
        <v>1086.9000000000001</v>
      </c>
      <c r="K5" s="434">
        <f t="shared" ref="K5:K22" si="0">ROUND(I5+J5,1)</f>
        <v>6521.4</v>
      </c>
      <c r="L5" s="435">
        <v>6544.8</v>
      </c>
      <c r="M5" s="436">
        <f>ROUND(L5*1.04,1)</f>
        <v>6806.6</v>
      </c>
      <c r="N5" s="436">
        <f>K5</f>
        <v>6521.4</v>
      </c>
      <c r="O5" s="436">
        <f>N5</f>
        <v>6521.4</v>
      </c>
      <c r="P5" s="436">
        <f>N5</f>
        <v>6521.4</v>
      </c>
      <c r="Q5" s="437"/>
      <c r="R5" s="437">
        <f>K5*1000</f>
        <v>6521400</v>
      </c>
      <c r="S5" s="437">
        <f>R5</f>
        <v>6521400</v>
      </c>
      <c r="T5" s="437">
        <f>S5</f>
        <v>6521400</v>
      </c>
      <c r="U5" s="437"/>
      <c r="V5" s="437"/>
      <c r="X5" s="437"/>
    </row>
    <row r="6" spans="1:24" s="438" customFormat="1" ht="12.75" x14ac:dyDescent="0.2">
      <c r="A6" s="428">
        <v>2</v>
      </c>
      <c r="B6" s="439" t="s">
        <v>6</v>
      </c>
      <c r="C6" s="430">
        <f>'[1]Население на 01.01.2019'!C5</f>
        <v>51668</v>
      </c>
      <c r="D6" s="430">
        <f>'[1]Население на 01.01.2019'!D5</f>
        <v>9888</v>
      </c>
      <c r="E6" s="431">
        <f t="shared" ref="E6:E22" si="1">ROUND(D6/$E$24,1)</f>
        <v>4.9000000000000004</v>
      </c>
      <c r="F6" s="431">
        <f t="shared" ref="F6:F22" si="2">ROUND((C6-D6)/$F$24,1)</f>
        <v>0.3</v>
      </c>
      <c r="G6" s="431">
        <f t="shared" ref="G6:G22" si="3">IF(D6/$G$24&lt;1,1,IF(D6/$G$24&gt;1.5,1.5,D6/$G$24))</f>
        <v>1</v>
      </c>
      <c r="H6" s="431">
        <f t="shared" ref="H6:H22" si="4">ROUND(E6+F6+G6,1)</f>
        <v>6.2</v>
      </c>
      <c r="I6" s="432">
        <f t="shared" ref="I6:I22" si="5">ROUND(H6*$E$30,1)</f>
        <v>5710.8</v>
      </c>
      <c r="J6" s="433">
        <f>ROUND(I6*0.2,1)</f>
        <v>1142.2</v>
      </c>
      <c r="K6" s="434">
        <f t="shared" si="0"/>
        <v>6853</v>
      </c>
      <c r="L6" s="435">
        <v>6763</v>
      </c>
      <c r="M6" s="436">
        <f t="shared" ref="M6:M22" si="6">ROUND(L6*1.04,1)</f>
        <v>7033.5</v>
      </c>
      <c r="N6" s="436">
        <f t="shared" ref="N6:N22" si="7">K6</f>
        <v>6853</v>
      </c>
      <c r="O6" s="436">
        <f t="shared" ref="O6:O22" si="8">N6</f>
        <v>6853</v>
      </c>
      <c r="P6" s="436">
        <f t="shared" ref="P6:P22" si="9">N6</f>
        <v>6853</v>
      </c>
      <c r="Q6" s="437"/>
      <c r="R6" s="437">
        <f t="shared" ref="R6:R22" si="10">K6*1000</f>
        <v>6853000</v>
      </c>
      <c r="S6" s="437">
        <f t="shared" ref="S6:T21" si="11">R6</f>
        <v>6853000</v>
      </c>
      <c r="T6" s="437">
        <f t="shared" si="11"/>
        <v>6853000</v>
      </c>
      <c r="U6" s="437"/>
      <c r="V6" s="437"/>
      <c r="X6" s="437"/>
    </row>
    <row r="7" spans="1:24" s="438" customFormat="1" ht="12.75" x14ac:dyDescent="0.2">
      <c r="A7" s="428">
        <v>3</v>
      </c>
      <c r="B7" s="439" t="s">
        <v>7</v>
      </c>
      <c r="C7" s="430">
        <f>'[1]Население на 01.01.2019'!C6</f>
        <v>89070</v>
      </c>
      <c r="D7" s="430">
        <f>'[1]Население на 01.01.2019'!D6</f>
        <v>15298</v>
      </c>
      <c r="E7" s="431">
        <f t="shared" si="1"/>
        <v>7.6</v>
      </c>
      <c r="F7" s="431">
        <f t="shared" si="2"/>
        <v>0.5</v>
      </c>
      <c r="G7" s="431">
        <f t="shared" si="3"/>
        <v>1.0198666666666667</v>
      </c>
      <c r="H7" s="431">
        <f t="shared" si="4"/>
        <v>9.1</v>
      </c>
      <c r="I7" s="432">
        <f t="shared" si="5"/>
        <v>8382</v>
      </c>
      <c r="J7" s="433">
        <f t="shared" ref="J7:J22" si="12">ROUND(I7*0.2,1)</f>
        <v>1676.4</v>
      </c>
      <c r="K7" s="434">
        <f t="shared" si="0"/>
        <v>10058.4</v>
      </c>
      <c r="L7" s="435">
        <v>10181.5</v>
      </c>
      <c r="M7" s="436">
        <f t="shared" si="6"/>
        <v>10588.8</v>
      </c>
      <c r="N7" s="436">
        <f t="shared" si="7"/>
        <v>10058.4</v>
      </c>
      <c r="O7" s="436">
        <f t="shared" si="8"/>
        <v>10058.4</v>
      </c>
      <c r="P7" s="436">
        <f t="shared" si="9"/>
        <v>10058.4</v>
      </c>
      <c r="Q7" s="437"/>
      <c r="R7" s="437">
        <f>K7*1000</f>
        <v>10058400</v>
      </c>
      <c r="S7" s="437">
        <f t="shared" si="11"/>
        <v>10058400</v>
      </c>
      <c r="T7" s="437">
        <f t="shared" si="11"/>
        <v>10058400</v>
      </c>
      <c r="U7" s="437"/>
      <c r="V7" s="437"/>
      <c r="W7" s="438">
        <f>1.2*W4</f>
        <v>1090.7628</v>
      </c>
      <c r="X7" s="437"/>
    </row>
    <row r="8" spans="1:24" s="438" customFormat="1" ht="12.75" x14ac:dyDescent="0.2">
      <c r="A8" s="428">
        <v>4</v>
      </c>
      <c r="B8" s="439" t="s">
        <v>8</v>
      </c>
      <c r="C8" s="430">
        <f>'[1]Население на 01.01.2019'!C7</f>
        <v>398896</v>
      </c>
      <c r="D8" s="430">
        <f>'[1]Население на 01.01.2019'!D7</f>
        <v>78461</v>
      </c>
      <c r="E8" s="431">
        <f t="shared" si="1"/>
        <v>39.200000000000003</v>
      </c>
      <c r="F8" s="431">
        <f t="shared" si="2"/>
        <v>2.1</v>
      </c>
      <c r="G8" s="431">
        <f t="shared" si="3"/>
        <v>1.5</v>
      </c>
      <c r="H8" s="431">
        <f t="shared" si="4"/>
        <v>42.8</v>
      </c>
      <c r="I8" s="432">
        <f t="shared" si="5"/>
        <v>39423.1</v>
      </c>
      <c r="J8" s="433">
        <f t="shared" si="12"/>
        <v>7884.6</v>
      </c>
      <c r="K8" s="434">
        <f t="shared" si="0"/>
        <v>47307.7</v>
      </c>
      <c r="L8" s="435">
        <v>40032.400000000001</v>
      </c>
      <c r="M8" s="436">
        <f t="shared" si="6"/>
        <v>41633.699999999997</v>
      </c>
      <c r="N8" s="436">
        <f t="shared" si="7"/>
        <v>47307.7</v>
      </c>
      <c r="O8" s="436">
        <f t="shared" si="8"/>
        <v>47307.7</v>
      </c>
      <c r="P8" s="436">
        <f t="shared" si="9"/>
        <v>47307.7</v>
      </c>
      <c r="Q8" s="437"/>
      <c r="R8" s="437">
        <f t="shared" si="10"/>
        <v>47307700</v>
      </c>
      <c r="S8" s="437">
        <f t="shared" si="11"/>
        <v>47307700</v>
      </c>
      <c r="T8" s="437">
        <f t="shared" si="11"/>
        <v>47307700</v>
      </c>
      <c r="U8" s="437"/>
      <c r="V8" s="437"/>
      <c r="W8" s="438">
        <f>W7*X4</f>
        <v>6435.5005199999996</v>
      </c>
      <c r="X8" s="437"/>
    </row>
    <row r="9" spans="1:24" s="438" customFormat="1" ht="12.75" x14ac:dyDescent="0.2">
      <c r="A9" s="428">
        <v>5</v>
      </c>
      <c r="B9" s="439" t="s">
        <v>9</v>
      </c>
      <c r="C9" s="430">
        <f>'[1]Население на 01.01.2019'!C8</f>
        <v>199571</v>
      </c>
      <c r="D9" s="430">
        <f>'[1]Население на 01.01.2019'!D8</f>
        <v>34452</v>
      </c>
      <c r="E9" s="431">
        <f t="shared" si="1"/>
        <v>17.2</v>
      </c>
      <c r="F9" s="431">
        <f t="shared" si="2"/>
        <v>1.1000000000000001</v>
      </c>
      <c r="G9" s="431">
        <f t="shared" si="3"/>
        <v>1.5</v>
      </c>
      <c r="H9" s="431">
        <f t="shared" si="4"/>
        <v>19.8</v>
      </c>
      <c r="I9" s="432">
        <f t="shared" si="5"/>
        <v>18237.8</v>
      </c>
      <c r="J9" s="433">
        <f t="shared" si="12"/>
        <v>3647.6</v>
      </c>
      <c r="K9" s="434">
        <f t="shared" si="0"/>
        <v>21885.4</v>
      </c>
      <c r="L9" s="435">
        <v>21816</v>
      </c>
      <c r="M9" s="436">
        <f t="shared" si="6"/>
        <v>22688.6</v>
      </c>
      <c r="N9" s="436">
        <f t="shared" si="7"/>
        <v>21885.4</v>
      </c>
      <c r="O9" s="436">
        <f t="shared" si="8"/>
        <v>21885.4</v>
      </c>
      <c r="P9" s="436">
        <f t="shared" si="9"/>
        <v>21885.4</v>
      </c>
      <c r="Q9" s="437"/>
      <c r="R9" s="437">
        <f t="shared" si="10"/>
        <v>21885400</v>
      </c>
      <c r="S9" s="437">
        <f t="shared" si="11"/>
        <v>21885400</v>
      </c>
      <c r="T9" s="437">
        <f t="shared" si="11"/>
        <v>21885400</v>
      </c>
      <c r="U9" s="437"/>
      <c r="V9" s="437"/>
      <c r="X9" s="437"/>
    </row>
    <row r="10" spans="1:24" s="438" customFormat="1" ht="12.75" x14ac:dyDescent="0.2">
      <c r="A10" s="428">
        <v>6</v>
      </c>
      <c r="B10" s="439" t="s">
        <v>10</v>
      </c>
      <c r="C10" s="430">
        <f>'[1]Население на 01.01.2019'!C9</f>
        <v>243156</v>
      </c>
      <c r="D10" s="430">
        <f>'[1]Население на 01.01.2019'!D9</f>
        <v>41294</v>
      </c>
      <c r="E10" s="431">
        <f t="shared" si="1"/>
        <v>20.6</v>
      </c>
      <c r="F10" s="431">
        <f t="shared" si="2"/>
        <v>1.3</v>
      </c>
      <c r="G10" s="431">
        <f t="shared" si="3"/>
        <v>1.5</v>
      </c>
      <c r="H10" s="431">
        <f t="shared" si="4"/>
        <v>23.4</v>
      </c>
      <c r="I10" s="432">
        <f>ROUND(H10*$E$30,1)</f>
        <v>21553.7</v>
      </c>
      <c r="J10" s="433">
        <f t="shared" si="12"/>
        <v>4310.7</v>
      </c>
      <c r="K10" s="434">
        <f t="shared" si="0"/>
        <v>25864.400000000001</v>
      </c>
      <c r="L10" s="435">
        <v>25633.8</v>
      </c>
      <c r="M10" s="436">
        <f t="shared" si="6"/>
        <v>26659.200000000001</v>
      </c>
      <c r="N10" s="436">
        <f t="shared" si="7"/>
        <v>25864.400000000001</v>
      </c>
      <c r="O10" s="436">
        <f t="shared" si="8"/>
        <v>25864.400000000001</v>
      </c>
      <c r="P10" s="436">
        <f t="shared" si="9"/>
        <v>25864.400000000001</v>
      </c>
      <c r="Q10" s="437"/>
      <c r="R10" s="437">
        <f t="shared" si="10"/>
        <v>25864400</v>
      </c>
      <c r="S10" s="437">
        <f t="shared" si="11"/>
        <v>25864400</v>
      </c>
      <c r="T10" s="437">
        <f t="shared" si="11"/>
        <v>25864400</v>
      </c>
      <c r="U10" s="437"/>
      <c r="V10" s="437"/>
      <c r="X10" s="437"/>
    </row>
    <row r="11" spans="1:24" s="438" customFormat="1" ht="12.75" x14ac:dyDescent="0.2">
      <c r="A11" s="428">
        <v>7</v>
      </c>
      <c r="B11" s="439" t="s">
        <v>11</v>
      </c>
      <c r="C11" s="430">
        <f>'[1]Население на 01.01.2019'!C10</f>
        <v>76182</v>
      </c>
      <c r="D11" s="430">
        <f>'[1]Население на 01.01.2019'!D10</f>
        <v>14400</v>
      </c>
      <c r="E11" s="431">
        <f t="shared" si="1"/>
        <v>7.2</v>
      </c>
      <c r="F11" s="431">
        <f t="shared" si="2"/>
        <v>0.4</v>
      </c>
      <c r="G11" s="431">
        <f t="shared" si="3"/>
        <v>1</v>
      </c>
      <c r="H11" s="431">
        <f t="shared" si="4"/>
        <v>8.6</v>
      </c>
      <c r="I11" s="432">
        <f t="shared" si="5"/>
        <v>7921.5</v>
      </c>
      <c r="J11" s="433">
        <f t="shared" si="12"/>
        <v>1584.3</v>
      </c>
      <c r="K11" s="434">
        <f t="shared" si="0"/>
        <v>9505.7999999999993</v>
      </c>
      <c r="L11" s="435">
        <v>9490</v>
      </c>
      <c r="M11" s="436">
        <f t="shared" si="6"/>
        <v>9869.6</v>
      </c>
      <c r="N11" s="436">
        <f t="shared" si="7"/>
        <v>9505.7999999999993</v>
      </c>
      <c r="O11" s="436">
        <f t="shared" si="8"/>
        <v>9505.7999999999993</v>
      </c>
      <c r="P11" s="436">
        <f t="shared" si="9"/>
        <v>9505.7999999999993</v>
      </c>
      <c r="Q11" s="437"/>
      <c r="R11" s="437">
        <f t="shared" si="10"/>
        <v>9505800</v>
      </c>
      <c r="S11" s="437">
        <f t="shared" si="11"/>
        <v>9505800</v>
      </c>
      <c r="T11" s="437">
        <f t="shared" si="11"/>
        <v>9505800</v>
      </c>
      <c r="U11" s="437"/>
      <c r="V11" s="437"/>
      <c r="X11" s="437"/>
    </row>
    <row r="12" spans="1:24" s="438" customFormat="1" ht="12.75" x14ac:dyDescent="0.2">
      <c r="A12" s="428">
        <v>8</v>
      </c>
      <c r="B12" s="439" t="s">
        <v>12</v>
      </c>
      <c r="C12" s="430">
        <f>'[1]Население на 01.01.2019'!C11</f>
        <v>62069</v>
      </c>
      <c r="D12" s="430">
        <f>'[1]Население на 01.01.2019'!D11</f>
        <v>12561</v>
      </c>
      <c r="E12" s="431">
        <f t="shared" si="1"/>
        <v>6.3</v>
      </c>
      <c r="F12" s="431">
        <f t="shared" si="2"/>
        <v>0.3</v>
      </c>
      <c r="G12" s="431">
        <f t="shared" si="3"/>
        <v>1</v>
      </c>
      <c r="H12" s="431">
        <f t="shared" si="4"/>
        <v>7.6</v>
      </c>
      <c r="I12" s="432">
        <f t="shared" si="5"/>
        <v>7000.4</v>
      </c>
      <c r="J12" s="433">
        <f t="shared" si="12"/>
        <v>1400.1</v>
      </c>
      <c r="K12" s="434">
        <f t="shared" si="0"/>
        <v>8400.5</v>
      </c>
      <c r="L12" s="435">
        <v>8290.1</v>
      </c>
      <c r="M12" s="436">
        <f t="shared" si="6"/>
        <v>8621.7000000000007</v>
      </c>
      <c r="N12" s="436">
        <f t="shared" si="7"/>
        <v>8400.5</v>
      </c>
      <c r="O12" s="436">
        <f t="shared" si="8"/>
        <v>8400.5</v>
      </c>
      <c r="P12" s="436">
        <f t="shared" si="9"/>
        <v>8400.5</v>
      </c>
      <c r="Q12" s="437"/>
      <c r="R12" s="437">
        <f t="shared" si="10"/>
        <v>8400500</v>
      </c>
      <c r="S12" s="437">
        <f t="shared" si="11"/>
        <v>8400500</v>
      </c>
      <c r="T12" s="437">
        <f t="shared" si="11"/>
        <v>8400500</v>
      </c>
      <c r="U12" s="437"/>
      <c r="V12" s="437"/>
      <c r="X12" s="437"/>
    </row>
    <row r="13" spans="1:24" s="438" customFormat="1" ht="12.75" x14ac:dyDescent="0.2">
      <c r="A13" s="428">
        <v>9</v>
      </c>
      <c r="B13" s="439" t="s">
        <v>13</v>
      </c>
      <c r="C13" s="430">
        <f>'[1]Население на 01.01.2019'!C12</f>
        <v>105936</v>
      </c>
      <c r="D13" s="430">
        <f>'[1]Население на 01.01.2019'!D12</f>
        <v>18214</v>
      </c>
      <c r="E13" s="431">
        <f t="shared" si="1"/>
        <v>9.1</v>
      </c>
      <c r="F13" s="431">
        <f>ROUND((C13-D13)/$F$24,1)</f>
        <v>0.6</v>
      </c>
      <c r="G13" s="431">
        <f t="shared" si="3"/>
        <v>1.2142666666666666</v>
      </c>
      <c r="H13" s="431">
        <f t="shared" si="4"/>
        <v>10.9</v>
      </c>
      <c r="I13" s="432">
        <f t="shared" si="5"/>
        <v>10040</v>
      </c>
      <c r="J13" s="433">
        <f t="shared" si="12"/>
        <v>2008</v>
      </c>
      <c r="K13" s="434">
        <f t="shared" si="0"/>
        <v>12048</v>
      </c>
      <c r="L13" s="435">
        <v>11777.3</v>
      </c>
      <c r="M13" s="436">
        <f t="shared" si="6"/>
        <v>12248.4</v>
      </c>
      <c r="N13" s="436">
        <f t="shared" si="7"/>
        <v>12048</v>
      </c>
      <c r="O13" s="436">
        <f t="shared" si="8"/>
        <v>12048</v>
      </c>
      <c r="P13" s="436">
        <f t="shared" si="9"/>
        <v>12048</v>
      </c>
      <c r="Q13" s="437"/>
      <c r="R13" s="437">
        <f t="shared" si="10"/>
        <v>12048000</v>
      </c>
      <c r="S13" s="437">
        <f t="shared" si="11"/>
        <v>12048000</v>
      </c>
      <c r="T13" s="437">
        <f t="shared" si="11"/>
        <v>12048000</v>
      </c>
      <c r="U13" s="437"/>
      <c r="V13" s="437"/>
      <c r="X13" s="437"/>
    </row>
    <row r="14" spans="1:24" s="438" customFormat="1" ht="12.75" x14ac:dyDescent="0.2">
      <c r="A14" s="428">
        <v>10</v>
      </c>
      <c r="B14" s="439" t="s">
        <v>33</v>
      </c>
      <c r="C14" s="430">
        <f>'[1]Население на 01.01.2019'!C13</f>
        <v>28530</v>
      </c>
      <c r="D14" s="430">
        <f>'[1]Население на 01.01.2019'!D13</f>
        <v>5064</v>
      </c>
      <c r="E14" s="431">
        <f t="shared" si="1"/>
        <v>2.5</v>
      </c>
      <c r="F14" s="431">
        <f t="shared" si="2"/>
        <v>0.2</v>
      </c>
      <c r="G14" s="431">
        <f t="shared" si="3"/>
        <v>1</v>
      </c>
      <c r="H14" s="431">
        <f t="shared" si="4"/>
        <v>3.7</v>
      </c>
      <c r="I14" s="432">
        <f t="shared" si="5"/>
        <v>3408.1</v>
      </c>
      <c r="J14" s="433">
        <f t="shared" si="12"/>
        <v>681.6</v>
      </c>
      <c r="K14" s="434">
        <f t="shared" si="0"/>
        <v>4089.7</v>
      </c>
      <c r="L14" s="435">
        <v>4145</v>
      </c>
      <c r="M14" s="436">
        <f t="shared" si="6"/>
        <v>4310.8</v>
      </c>
      <c r="N14" s="436">
        <f t="shared" si="7"/>
        <v>4089.7</v>
      </c>
      <c r="O14" s="436">
        <f t="shared" si="8"/>
        <v>4089.7</v>
      </c>
      <c r="P14" s="436">
        <f t="shared" si="9"/>
        <v>4089.7</v>
      </c>
      <c r="Q14" s="437"/>
      <c r="R14" s="437">
        <f t="shared" si="10"/>
        <v>4089700</v>
      </c>
      <c r="S14" s="437">
        <f t="shared" si="11"/>
        <v>4089700</v>
      </c>
      <c r="T14" s="437">
        <f t="shared" si="11"/>
        <v>4089700</v>
      </c>
      <c r="U14" s="437"/>
      <c r="V14" s="437"/>
      <c r="X14" s="437"/>
    </row>
    <row r="15" spans="1:24" s="438" customFormat="1" ht="12.75" x14ac:dyDescent="0.2">
      <c r="A15" s="428">
        <v>11</v>
      </c>
      <c r="B15" s="439" t="s">
        <v>15</v>
      </c>
      <c r="C15" s="430">
        <f>'[1]Население на 01.01.2019'!C14</f>
        <v>73475</v>
      </c>
      <c r="D15" s="430">
        <f>'[1]Население на 01.01.2019'!D14</f>
        <v>12156</v>
      </c>
      <c r="E15" s="431">
        <f t="shared" si="1"/>
        <v>6.1</v>
      </c>
      <c r="F15" s="431">
        <f t="shared" si="2"/>
        <v>0.4</v>
      </c>
      <c r="G15" s="431">
        <f t="shared" si="3"/>
        <v>1</v>
      </c>
      <c r="H15" s="431">
        <f t="shared" si="4"/>
        <v>7.5</v>
      </c>
      <c r="I15" s="432">
        <f t="shared" si="5"/>
        <v>6908.3</v>
      </c>
      <c r="J15" s="433">
        <f t="shared" si="12"/>
        <v>1381.7</v>
      </c>
      <c r="K15" s="434">
        <f t="shared" si="0"/>
        <v>8290</v>
      </c>
      <c r="L15" s="435">
        <v>7962.8</v>
      </c>
      <c r="M15" s="436">
        <f t="shared" si="6"/>
        <v>8281.2999999999993</v>
      </c>
      <c r="N15" s="436">
        <f t="shared" si="7"/>
        <v>8290</v>
      </c>
      <c r="O15" s="436">
        <f t="shared" si="8"/>
        <v>8290</v>
      </c>
      <c r="P15" s="436">
        <f t="shared" si="9"/>
        <v>8290</v>
      </c>
      <c r="Q15" s="437"/>
      <c r="R15" s="437">
        <f t="shared" si="10"/>
        <v>8290000</v>
      </c>
      <c r="S15" s="437">
        <f t="shared" si="11"/>
        <v>8290000</v>
      </c>
      <c r="T15" s="437">
        <f t="shared" si="11"/>
        <v>8290000</v>
      </c>
      <c r="U15" s="437"/>
      <c r="V15" s="437"/>
      <c r="X15" s="437"/>
    </row>
    <row r="16" spans="1:24" s="438" customFormat="1" ht="12.75" x14ac:dyDescent="0.2">
      <c r="A16" s="428">
        <v>12</v>
      </c>
      <c r="B16" s="439" t="s">
        <v>16</v>
      </c>
      <c r="C16" s="430">
        <f>'[1]Население на 01.01.2019'!C15</f>
        <v>72035</v>
      </c>
      <c r="D16" s="430">
        <f>'[1]Население на 01.01.2019'!D15</f>
        <v>12464</v>
      </c>
      <c r="E16" s="431">
        <f t="shared" si="1"/>
        <v>6.2</v>
      </c>
      <c r="F16" s="431">
        <f t="shared" si="2"/>
        <v>0.4</v>
      </c>
      <c r="G16" s="431">
        <f t="shared" si="3"/>
        <v>1</v>
      </c>
      <c r="H16" s="431">
        <f t="shared" si="4"/>
        <v>7.6</v>
      </c>
      <c r="I16" s="432">
        <f t="shared" si="5"/>
        <v>7000.4</v>
      </c>
      <c r="J16" s="433">
        <f t="shared" si="12"/>
        <v>1400.1</v>
      </c>
      <c r="K16" s="434">
        <f t="shared" si="0"/>
        <v>8400.5</v>
      </c>
      <c r="L16" s="435">
        <v>8290.1</v>
      </c>
      <c r="M16" s="436">
        <f t="shared" si="6"/>
        <v>8621.7000000000007</v>
      </c>
      <c r="N16" s="436">
        <f t="shared" si="7"/>
        <v>8400.5</v>
      </c>
      <c r="O16" s="436">
        <f t="shared" si="8"/>
        <v>8400.5</v>
      </c>
      <c r="P16" s="436">
        <f t="shared" si="9"/>
        <v>8400.5</v>
      </c>
      <c r="Q16" s="437"/>
      <c r="R16" s="437">
        <f t="shared" si="10"/>
        <v>8400500</v>
      </c>
      <c r="S16" s="437">
        <f t="shared" si="11"/>
        <v>8400500</v>
      </c>
      <c r="T16" s="437">
        <f t="shared" si="11"/>
        <v>8400500</v>
      </c>
      <c r="U16" s="437"/>
      <c r="V16" s="437"/>
      <c r="X16" s="437"/>
    </row>
    <row r="17" spans="1:24" s="438" customFormat="1" ht="12.75" x14ac:dyDescent="0.2">
      <c r="A17" s="428">
        <v>13</v>
      </c>
      <c r="B17" s="439" t="s">
        <v>17</v>
      </c>
      <c r="C17" s="430">
        <f>'[1]Население на 01.01.2019'!C16</f>
        <v>28263</v>
      </c>
      <c r="D17" s="430">
        <f>'[1]Население на 01.01.2019'!D16</f>
        <v>5544</v>
      </c>
      <c r="E17" s="431">
        <f t="shared" si="1"/>
        <v>2.8</v>
      </c>
      <c r="F17" s="431">
        <f t="shared" si="2"/>
        <v>0.2</v>
      </c>
      <c r="G17" s="431">
        <f t="shared" si="3"/>
        <v>1</v>
      </c>
      <c r="H17" s="431">
        <f t="shared" si="4"/>
        <v>4</v>
      </c>
      <c r="I17" s="432">
        <f t="shared" si="5"/>
        <v>3684.4</v>
      </c>
      <c r="J17" s="433">
        <f t="shared" si="12"/>
        <v>736.9</v>
      </c>
      <c r="K17" s="434">
        <f t="shared" si="0"/>
        <v>4421.3</v>
      </c>
      <c r="L17" s="435">
        <v>4254.1000000000004</v>
      </c>
      <c r="M17" s="436">
        <f t="shared" si="6"/>
        <v>4424.3</v>
      </c>
      <c r="N17" s="436">
        <f t="shared" si="7"/>
        <v>4421.3</v>
      </c>
      <c r="O17" s="436">
        <f t="shared" si="8"/>
        <v>4421.3</v>
      </c>
      <c r="P17" s="436">
        <f t="shared" si="9"/>
        <v>4421.3</v>
      </c>
      <c r="Q17" s="437"/>
      <c r="R17" s="437">
        <f t="shared" si="10"/>
        <v>4421300</v>
      </c>
      <c r="S17" s="437">
        <f t="shared" si="11"/>
        <v>4421300</v>
      </c>
      <c r="T17" s="437">
        <f t="shared" si="11"/>
        <v>4421300</v>
      </c>
      <c r="U17" s="437"/>
      <c r="V17" s="437"/>
      <c r="X17" s="437"/>
    </row>
    <row r="18" spans="1:24" s="438" customFormat="1" ht="12.75" x14ac:dyDescent="0.2">
      <c r="A18" s="428">
        <v>14</v>
      </c>
      <c r="B18" s="439" t="s">
        <v>18</v>
      </c>
      <c r="C18" s="430">
        <f>'[1]Население на 01.01.2019'!C17</f>
        <v>61028</v>
      </c>
      <c r="D18" s="430">
        <f>'[1]Население на 01.01.2019'!D17</f>
        <v>10949</v>
      </c>
      <c r="E18" s="431">
        <f t="shared" si="1"/>
        <v>5.5</v>
      </c>
      <c r="F18" s="431">
        <f t="shared" si="2"/>
        <v>0.3</v>
      </c>
      <c r="G18" s="431">
        <f t="shared" si="3"/>
        <v>1</v>
      </c>
      <c r="H18" s="431">
        <f t="shared" si="4"/>
        <v>6.8</v>
      </c>
      <c r="I18" s="432">
        <f t="shared" si="5"/>
        <v>6263.5</v>
      </c>
      <c r="J18" s="433">
        <f t="shared" si="12"/>
        <v>1252.7</v>
      </c>
      <c r="K18" s="434">
        <f t="shared" si="0"/>
        <v>7516.2</v>
      </c>
      <c r="L18" s="435">
        <v>7417.4</v>
      </c>
      <c r="M18" s="436">
        <f t="shared" si="6"/>
        <v>7714.1</v>
      </c>
      <c r="N18" s="436">
        <f t="shared" si="7"/>
        <v>7516.2</v>
      </c>
      <c r="O18" s="436">
        <f t="shared" si="8"/>
        <v>7516.2</v>
      </c>
      <c r="P18" s="436">
        <f t="shared" si="9"/>
        <v>7516.2</v>
      </c>
      <c r="Q18" s="437"/>
      <c r="R18" s="437">
        <f t="shared" si="10"/>
        <v>7516200</v>
      </c>
      <c r="S18" s="437">
        <f t="shared" si="11"/>
        <v>7516200</v>
      </c>
      <c r="T18" s="437">
        <f t="shared" si="11"/>
        <v>7516200</v>
      </c>
      <c r="U18" s="437"/>
      <c r="V18" s="437"/>
      <c r="X18" s="437"/>
    </row>
    <row r="19" spans="1:24" s="438" customFormat="1" ht="12.75" x14ac:dyDescent="0.2">
      <c r="A19" s="428">
        <v>15</v>
      </c>
      <c r="B19" s="439" t="s">
        <v>19</v>
      </c>
      <c r="C19" s="430">
        <f>'[1]Население на 01.01.2019'!C18</f>
        <v>42494</v>
      </c>
      <c r="D19" s="430">
        <f>'[1]Население на 01.01.2019'!D18</f>
        <v>7382</v>
      </c>
      <c r="E19" s="431">
        <f t="shared" si="1"/>
        <v>3.7</v>
      </c>
      <c r="F19" s="431">
        <f t="shared" si="2"/>
        <v>0.2</v>
      </c>
      <c r="G19" s="431">
        <f t="shared" si="3"/>
        <v>1</v>
      </c>
      <c r="H19" s="431">
        <f t="shared" si="4"/>
        <v>4.9000000000000004</v>
      </c>
      <c r="I19" s="432">
        <f t="shared" si="5"/>
        <v>4513.3999999999996</v>
      </c>
      <c r="J19" s="433">
        <f t="shared" si="12"/>
        <v>902.7</v>
      </c>
      <c r="K19" s="434">
        <f t="shared" si="0"/>
        <v>5416.1</v>
      </c>
      <c r="L19" s="435">
        <v>5344.9</v>
      </c>
      <c r="M19" s="436">
        <f t="shared" si="6"/>
        <v>5558.7</v>
      </c>
      <c r="N19" s="436">
        <f t="shared" si="7"/>
        <v>5416.1</v>
      </c>
      <c r="O19" s="436">
        <f t="shared" si="8"/>
        <v>5416.1</v>
      </c>
      <c r="P19" s="436">
        <f t="shared" si="9"/>
        <v>5416.1</v>
      </c>
      <c r="Q19" s="437"/>
      <c r="R19" s="437">
        <f t="shared" si="10"/>
        <v>5416100</v>
      </c>
      <c r="S19" s="437">
        <f t="shared" si="11"/>
        <v>5416100</v>
      </c>
      <c r="T19" s="437">
        <f t="shared" si="11"/>
        <v>5416100</v>
      </c>
      <c r="U19" s="437"/>
      <c r="V19" s="437"/>
      <c r="X19" s="437"/>
    </row>
    <row r="20" spans="1:24" s="438" customFormat="1" ht="12.75" x14ac:dyDescent="0.2">
      <c r="A20" s="428">
        <v>16</v>
      </c>
      <c r="B20" s="439" t="s">
        <v>20</v>
      </c>
      <c r="C20" s="430">
        <f>'[1]Население на 01.01.2019'!C19</f>
        <v>69567</v>
      </c>
      <c r="D20" s="430">
        <f>'[1]Население на 01.01.2019'!D19</f>
        <v>13472</v>
      </c>
      <c r="E20" s="431">
        <f t="shared" si="1"/>
        <v>6.7</v>
      </c>
      <c r="F20" s="431">
        <f t="shared" si="2"/>
        <v>0.4</v>
      </c>
      <c r="G20" s="431">
        <f t="shared" si="3"/>
        <v>1</v>
      </c>
      <c r="H20" s="431">
        <f t="shared" si="4"/>
        <v>8.1</v>
      </c>
      <c r="I20" s="432">
        <f t="shared" si="5"/>
        <v>7460.9</v>
      </c>
      <c r="J20" s="433">
        <f t="shared" si="12"/>
        <v>1492.2</v>
      </c>
      <c r="K20" s="434">
        <f t="shared" si="0"/>
        <v>8953.1</v>
      </c>
      <c r="L20" s="435">
        <v>8835.5</v>
      </c>
      <c r="M20" s="436">
        <f t="shared" si="6"/>
        <v>9188.9</v>
      </c>
      <c r="N20" s="436">
        <f>K20</f>
        <v>8953.1</v>
      </c>
      <c r="O20" s="436">
        <f t="shared" si="8"/>
        <v>8953.1</v>
      </c>
      <c r="P20" s="436">
        <f t="shared" si="9"/>
        <v>8953.1</v>
      </c>
      <c r="Q20" s="437"/>
      <c r="R20" s="437">
        <f t="shared" si="10"/>
        <v>8953100</v>
      </c>
      <c r="S20" s="437">
        <f t="shared" si="11"/>
        <v>8953100</v>
      </c>
      <c r="T20" s="437">
        <f t="shared" si="11"/>
        <v>8953100</v>
      </c>
      <c r="U20" s="437"/>
      <c r="V20" s="437"/>
      <c r="X20" s="437"/>
    </row>
    <row r="21" spans="1:24" s="438" customFormat="1" ht="12.75" x14ac:dyDescent="0.2">
      <c r="A21" s="428">
        <v>17</v>
      </c>
      <c r="B21" s="439" t="s">
        <v>21</v>
      </c>
      <c r="C21" s="430">
        <f>'[1]Население на 01.01.2019'!C20</f>
        <v>128327</v>
      </c>
      <c r="D21" s="430">
        <f>'[1]Население на 01.01.2019'!D20</f>
        <v>20983</v>
      </c>
      <c r="E21" s="431">
        <f t="shared" si="1"/>
        <v>10.5</v>
      </c>
      <c r="F21" s="431">
        <f t="shared" si="2"/>
        <v>0.7</v>
      </c>
      <c r="G21" s="431">
        <f t="shared" si="3"/>
        <v>1.3988666666666667</v>
      </c>
      <c r="H21" s="431">
        <f t="shared" si="4"/>
        <v>12.6</v>
      </c>
      <c r="I21" s="432">
        <f t="shared" si="5"/>
        <v>11605.9</v>
      </c>
      <c r="J21" s="433">
        <f t="shared" si="12"/>
        <v>2321.1999999999998</v>
      </c>
      <c r="K21" s="434">
        <f t="shared" si="0"/>
        <v>13927.1</v>
      </c>
      <c r="L21" s="435">
        <v>13861.6</v>
      </c>
      <c r="M21" s="436">
        <f t="shared" si="6"/>
        <v>14416.1</v>
      </c>
      <c r="N21" s="436">
        <f t="shared" si="7"/>
        <v>13927.1</v>
      </c>
      <c r="O21" s="436">
        <f t="shared" si="8"/>
        <v>13927.1</v>
      </c>
      <c r="P21" s="436">
        <f t="shared" si="9"/>
        <v>13927.1</v>
      </c>
      <c r="Q21" s="437"/>
      <c r="R21" s="437">
        <f t="shared" si="10"/>
        <v>13927100</v>
      </c>
      <c r="S21" s="437">
        <f t="shared" si="11"/>
        <v>13927100</v>
      </c>
      <c r="T21" s="437">
        <f t="shared" si="11"/>
        <v>13927100</v>
      </c>
      <c r="U21" s="437"/>
      <c r="V21" s="437"/>
      <c r="X21" s="440"/>
    </row>
    <row r="22" spans="1:24" s="438" customFormat="1" ht="15" customHeight="1" x14ac:dyDescent="0.2">
      <c r="A22" s="428">
        <v>18</v>
      </c>
      <c r="B22" s="441" t="s">
        <v>34</v>
      </c>
      <c r="C22" s="430">
        <f>'[1]Население на 01.01.2019'!C21</f>
        <v>68344</v>
      </c>
      <c r="D22" s="430">
        <f>'[1]Население на 01.01.2019'!D21</f>
        <v>12146</v>
      </c>
      <c r="E22" s="431">
        <f t="shared" si="1"/>
        <v>6.1</v>
      </c>
      <c r="F22" s="431">
        <f t="shared" si="2"/>
        <v>0.4</v>
      </c>
      <c r="G22" s="431">
        <f t="shared" si="3"/>
        <v>1</v>
      </c>
      <c r="H22" s="431">
        <f t="shared" si="4"/>
        <v>7.5</v>
      </c>
      <c r="I22" s="432">
        <f t="shared" si="5"/>
        <v>6908.3</v>
      </c>
      <c r="J22" s="433">
        <f t="shared" si="12"/>
        <v>1381.7</v>
      </c>
      <c r="K22" s="434">
        <f t="shared" si="0"/>
        <v>8290</v>
      </c>
      <c r="L22" s="435">
        <v>8071.9</v>
      </c>
      <c r="M22" s="436">
        <f t="shared" si="6"/>
        <v>8394.7999999999993</v>
      </c>
      <c r="N22" s="436">
        <f t="shared" si="7"/>
        <v>8290</v>
      </c>
      <c r="O22" s="436">
        <f t="shared" si="8"/>
        <v>8290</v>
      </c>
      <c r="P22" s="436">
        <f t="shared" si="9"/>
        <v>8290</v>
      </c>
      <c r="Q22" s="437"/>
      <c r="R22" s="437">
        <f t="shared" si="10"/>
        <v>8290000</v>
      </c>
      <c r="S22" s="437">
        <f t="shared" ref="S22:T22" si="13">R22</f>
        <v>8290000</v>
      </c>
      <c r="T22" s="437">
        <f t="shared" si="13"/>
        <v>8290000</v>
      </c>
      <c r="U22" s="437"/>
      <c r="V22" s="437"/>
      <c r="X22" s="437"/>
    </row>
    <row r="23" spans="1:24" s="437" customFormat="1" ht="12.75" x14ac:dyDescent="0.2">
      <c r="A23" s="436"/>
      <c r="B23" s="442" t="s">
        <v>35</v>
      </c>
      <c r="C23" s="443">
        <f>SUM(C5:C22)</f>
        <v>1847867</v>
      </c>
      <c r="D23" s="443">
        <f>SUM(D5:D22)</f>
        <v>334008</v>
      </c>
      <c r="E23" s="444">
        <f t="shared" ref="E23:P23" si="14">SUM(E5:E22)</f>
        <v>166.79999999999995</v>
      </c>
      <c r="F23" s="444">
        <f t="shared" si="14"/>
        <v>10.100000000000001</v>
      </c>
      <c r="G23" s="444">
        <f t="shared" si="14"/>
        <v>20.132999999999999</v>
      </c>
      <c r="H23" s="444">
        <f t="shared" si="14"/>
        <v>196.99999999999997</v>
      </c>
      <c r="I23" s="444">
        <f t="shared" si="14"/>
        <v>181456.99999999994</v>
      </c>
      <c r="J23" s="444">
        <f t="shared" si="14"/>
        <v>36291.599999999999</v>
      </c>
      <c r="K23" s="444">
        <f>SUM(K5:K22)</f>
        <v>217748.6</v>
      </c>
      <c r="L23" s="444">
        <f t="shared" si="14"/>
        <v>208712.19999999998</v>
      </c>
      <c r="M23" s="444">
        <f t="shared" si="14"/>
        <v>217060.8</v>
      </c>
      <c r="N23" s="444">
        <f t="shared" si="14"/>
        <v>217748.6</v>
      </c>
      <c r="O23" s="444">
        <f t="shared" si="14"/>
        <v>217748.6</v>
      </c>
      <c r="P23" s="444">
        <f t="shared" si="14"/>
        <v>217748.6</v>
      </c>
      <c r="Q23" s="445"/>
      <c r="R23" s="446">
        <f>SUM(R5:R22)</f>
        <v>217748600</v>
      </c>
      <c r="S23" s="447">
        <f t="shared" ref="S23:T23" si="15">SUM(S5:S22)</f>
        <v>217748600</v>
      </c>
      <c r="T23" s="448">
        <f t="shared" si="15"/>
        <v>217748600</v>
      </c>
    </row>
    <row r="24" spans="1:24" s="450" customFormat="1" ht="12.75" x14ac:dyDescent="0.2">
      <c r="A24" s="449"/>
      <c r="C24" s="451"/>
      <c r="E24" s="452">
        <v>2000</v>
      </c>
      <c r="F24" s="452">
        <v>150000</v>
      </c>
      <c r="G24" s="453">
        <v>15000</v>
      </c>
      <c r="K24" s="454">
        <f>K23/L23-100%</f>
        <v>4.3295983655962766E-2</v>
      </c>
      <c r="L24" s="455"/>
      <c r="M24" s="454">
        <f>M23/L23-100%</f>
        <v>4.0000536624116956E-2</v>
      </c>
      <c r="N24" s="454"/>
      <c r="O24" s="454"/>
    </row>
    <row r="25" spans="1:24" s="456" customFormat="1" x14ac:dyDescent="0.2">
      <c r="A25" s="456">
        <v>1</v>
      </c>
      <c r="B25" s="456">
        <v>2</v>
      </c>
      <c r="C25" s="456">
        <v>3</v>
      </c>
      <c r="D25" s="456">
        <v>4</v>
      </c>
      <c r="E25" s="456">
        <v>5</v>
      </c>
      <c r="F25" s="456">
        <v>6</v>
      </c>
      <c r="G25" s="456">
        <v>7</v>
      </c>
      <c r="H25" s="456">
        <v>8</v>
      </c>
      <c r="I25" s="456">
        <v>9</v>
      </c>
      <c r="J25" s="456">
        <v>10</v>
      </c>
      <c r="K25" s="456">
        <v>11</v>
      </c>
      <c r="L25" s="456">
        <v>13</v>
      </c>
      <c r="S25" s="457"/>
      <c r="T25" s="457"/>
      <c r="W25" s="457"/>
    </row>
    <row r="26" spans="1:24" s="450" customFormat="1" x14ac:dyDescent="0.2">
      <c r="A26" s="458"/>
      <c r="B26" s="458"/>
      <c r="C26" s="459">
        <v>1775540</v>
      </c>
      <c r="D26" s="459"/>
      <c r="E26" s="459"/>
      <c r="F26" s="458"/>
      <c r="H26" s="460"/>
      <c r="K26" s="449"/>
    </row>
    <row r="27" spans="1:24" ht="10.15" customHeight="1" x14ac:dyDescent="0.2">
      <c r="A27" s="458"/>
      <c r="B27" s="478" t="s">
        <v>36</v>
      </c>
      <c r="C27" s="478"/>
      <c r="D27" s="478"/>
      <c r="E27" s="462">
        <f>ROUND(4700*1.1*1.1*1.1*1.1*1.06*1.06*1.1*1.06*1.06*1.1*1.06*1.04*1.04*1.04,1)</f>
        <v>12533.8</v>
      </c>
      <c r="F27" s="461"/>
    </row>
    <row r="28" spans="1:24" ht="10.15" customHeight="1" x14ac:dyDescent="0.2">
      <c r="A28" s="458"/>
      <c r="B28" s="478" t="s">
        <v>37</v>
      </c>
      <c r="C28" s="478"/>
      <c r="D28" s="478"/>
      <c r="E28" s="462">
        <v>55.7</v>
      </c>
      <c r="F28" s="461"/>
    </row>
    <row r="29" spans="1:24" ht="10.15" customHeight="1" x14ac:dyDescent="0.2">
      <c r="A29" s="458"/>
      <c r="B29" s="478" t="s">
        <v>38</v>
      </c>
      <c r="C29" s="478"/>
      <c r="D29" s="478"/>
      <c r="E29" s="463">
        <v>1.302</v>
      </c>
      <c r="F29" s="461"/>
    </row>
    <row r="30" spans="1:24" ht="27" customHeight="1" x14ac:dyDescent="0.2">
      <c r="A30" s="458"/>
      <c r="B30" s="478" t="s">
        <v>39</v>
      </c>
      <c r="C30" s="478"/>
      <c r="D30" s="478"/>
      <c r="E30" s="465">
        <v>921.1</v>
      </c>
      <c r="F30" s="461">
        <f>ROUND((E27*E28*E29)/1000*1.2,1)</f>
        <v>1090.8</v>
      </c>
      <c r="G30" s="417" t="s">
        <v>250</v>
      </c>
      <c r="H30" s="466">
        <v>9940</v>
      </c>
      <c r="I30" s="467">
        <v>909</v>
      </c>
      <c r="J30" s="467">
        <f>I30*8</f>
        <v>7272</v>
      </c>
      <c r="K30" s="464"/>
    </row>
    <row r="31" spans="1:24" x14ac:dyDescent="0.2">
      <c r="A31" s="458"/>
      <c r="H31" s="466">
        <v>10340</v>
      </c>
      <c r="I31" s="467">
        <v>945.3</v>
      </c>
      <c r="J31" s="467">
        <f>I31*4</f>
        <v>3781.2</v>
      </c>
      <c r="K31" s="464"/>
    </row>
    <row r="32" spans="1:24" x14ac:dyDescent="0.2">
      <c r="A32" s="458"/>
      <c r="H32" s="468"/>
      <c r="I32" s="467"/>
      <c r="J32" s="467">
        <f>SUM(J30:J31)/12</f>
        <v>921.1</v>
      </c>
      <c r="K32" s="464"/>
    </row>
    <row r="33" spans="1:6" x14ac:dyDescent="0.2">
      <c r="A33" s="458"/>
    </row>
    <row r="34" spans="1:6" x14ac:dyDescent="0.2">
      <c r="A34" s="458"/>
      <c r="D34" s="417">
        <v>2018</v>
      </c>
      <c r="E34" s="417">
        <v>2019</v>
      </c>
      <c r="F34" s="417">
        <v>2020</v>
      </c>
    </row>
    <row r="35" spans="1:6" x14ac:dyDescent="0.2">
      <c r="D35" s="417">
        <v>11588.2</v>
      </c>
      <c r="E35" s="417">
        <v>12051.7</v>
      </c>
      <c r="F35" s="417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C29"/>
  <sheetViews>
    <sheetView tabSelected="1" view="pageBreakPreview" zoomScaleNormal="85" zoomScaleSheetLayoutView="100" workbookViewId="0">
      <selection activeCell="R9" sqref="R9"/>
    </sheetView>
  </sheetViews>
  <sheetFormatPr defaultColWidth="9.140625" defaultRowHeight="12" x14ac:dyDescent="0.2"/>
  <cols>
    <col min="1" max="1" width="4.7109375" style="5" customWidth="1"/>
    <col min="2" max="2" width="15.28515625" style="5" customWidth="1"/>
    <col min="3" max="3" width="12.42578125" style="5" customWidth="1"/>
    <col min="4" max="4" width="5.28515625" style="5" customWidth="1"/>
    <col min="5" max="5" width="5.7109375" style="5" customWidth="1"/>
    <col min="6" max="6" width="5.140625" style="5" customWidth="1"/>
    <col min="7" max="7" width="4.7109375" style="5" customWidth="1"/>
    <col min="8" max="9" width="4.5703125" style="5" customWidth="1"/>
    <col min="10" max="10" width="4.7109375" style="5" customWidth="1"/>
    <col min="11" max="11" width="4.28515625" style="5" customWidth="1"/>
    <col min="12" max="12" width="7.140625" style="5" hidden="1" customWidth="1"/>
    <col min="13" max="13" width="10.28515625" style="5" customWidth="1"/>
    <col min="14" max="14" width="15.140625" style="5" customWidth="1"/>
    <col min="15" max="15" width="11.28515625" style="5" customWidth="1"/>
    <col min="16" max="16" width="10.140625" style="5" customWidth="1"/>
    <col min="17" max="17" width="9.140625" style="5" customWidth="1"/>
    <col min="18" max="18" width="13.28515625" style="5" customWidth="1"/>
    <col min="19" max="19" width="12" style="5" hidden="1" customWidth="1"/>
    <col min="20" max="20" width="10.28515625" style="5" hidden="1" customWidth="1"/>
    <col min="21" max="23" width="10.28515625" style="5" customWidth="1"/>
    <col min="24" max="24" width="13" style="5" hidden="1" customWidth="1"/>
    <col min="25" max="26" width="9.5703125" style="5" hidden="1" customWidth="1"/>
    <col min="27" max="29" width="13.5703125" style="5" hidden="1" customWidth="1"/>
    <col min="30" max="31" width="10.28515625" style="5" hidden="1" customWidth="1"/>
    <col min="32" max="32" width="15.28515625" style="5" hidden="1" customWidth="1"/>
    <col min="33" max="42" width="0" style="5" hidden="1" customWidth="1"/>
    <col min="43" max="16384" width="9.140625" style="5"/>
  </cols>
  <sheetData>
    <row r="1" spans="1:55" ht="15.75" x14ac:dyDescent="0.2">
      <c r="W1" s="671" t="s">
        <v>334</v>
      </c>
    </row>
    <row r="3" spans="1:55" ht="28.15" customHeight="1" x14ac:dyDescent="0.2">
      <c r="A3" s="670" t="s">
        <v>335</v>
      </c>
      <c r="B3" s="670"/>
      <c r="C3" s="670"/>
      <c r="D3" s="670"/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670"/>
      <c r="Q3" s="670"/>
      <c r="R3" s="670"/>
      <c r="S3" s="670"/>
      <c r="T3" s="670"/>
      <c r="U3" s="670"/>
      <c r="V3" s="670"/>
      <c r="W3" s="670"/>
      <c r="AK3" s="5" t="s">
        <v>261</v>
      </c>
    </row>
    <row r="4" spans="1:55" ht="12" customHeight="1" x14ac:dyDescent="0.2">
      <c r="B4" s="6"/>
    </row>
    <row r="5" spans="1:55" s="8" customFormat="1" ht="38.450000000000003" customHeight="1" x14ac:dyDescent="0.2">
      <c r="A5" s="499" t="s">
        <v>24</v>
      </c>
      <c r="B5" s="499" t="s">
        <v>40</v>
      </c>
      <c r="C5" s="492" t="s">
        <v>41</v>
      </c>
      <c r="D5" s="500" t="s">
        <v>42</v>
      </c>
      <c r="E5" s="500"/>
      <c r="F5" s="500"/>
      <c r="G5" s="500"/>
      <c r="H5" s="500"/>
      <c r="I5" s="500"/>
      <c r="J5" s="500"/>
      <c r="K5" s="500"/>
      <c r="L5" s="7"/>
      <c r="M5" s="492" t="s">
        <v>43</v>
      </c>
      <c r="N5" s="492" t="s">
        <v>44</v>
      </c>
      <c r="O5" s="361" t="s">
        <v>45</v>
      </c>
      <c r="P5" s="361" t="s">
        <v>245</v>
      </c>
      <c r="Q5" s="361" t="s">
        <v>46</v>
      </c>
      <c r="R5" s="501" t="s">
        <v>260</v>
      </c>
      <c r="S5" s="491" t="s">
        <v>254</v>
      </c>
      <c r="T5" s="491" t="s">
        <v>329</v>
      </c>
      <c r="U5" s="493" t="s">
        <v>291</v>
      </c>
      <c r="V5" s="494"/>
      <c r="W5" s="495"/>
      <c r="X5" s="492" t="s">
        <v>283</v>
      </c>
      <c r="Y5" s="492" t="s">
        <v>47</v>
      </c>
      <c r="Z5" s="100"/>
      <c r="AF5" s="488" t="s">
        <v>41</v>
      </c>
      <c r="AG5" s="488" t="s">
        <v>42</v>
      </c>
      <c r="AH5" s="488"/>
      <c r="AI5" s="488"/>
      <c r="AJ5" s="488"/>
      <c r="AK5" s="488"/>
      <c r="AL5" s="488"/>
      <c r="AM5" s="488"/>
      <c r="AN5" s="488"/>
      <c r="AO5" s="489" t="s">
        <v>43</v>
      </c>
      <c r="AP5" s="360" t="s">
        <v>44</v>
      </c>
    </row>
    <row r="6" spans="1:55" s="8" customFormat="1" ht="22.5" x14ac:dyDescent="0.2">
      <c r="A6" s="499"/>
      <c r="B6" s="499"/>
      <c r="C6" s="492"/>
      <c r="D6" s="361">
        <v>1</v>
      </c>
      <c r="E6" s="361">
        <v>2</v>
      </c>
      <c r="F6" s="361">
        <v>3</v>
      </c>
      <c r="G6" s="361">
        <v>4</v>
      </c>
      <c r="H6" s="361">
        <v>5</v>
      </c>
      <c r="I6" s="361">
        <v>6</v>
      </c>
      <c r="J6" s="361">
        <v>7</v>
      </c>
      <c r="K6" s="361">
        <v>8</v>
      </c>
      <c r="L6" s="361" t="s">
        <v>262</v>
      </c>
      <c r="M6" s="492"/>
      <c r="N6" s="492"/>
      <c r="O6" s="364" t="s">
        <v>259</v>
      </c>
      <c r="P6" s="361" t="s">
        <v>48</v>
      </c>
      <c r="Q6" s="361"/>
      <c r="R6" s="501"/>
      <c r="S6" s="491"/>
      <c r="T6" s="491"/>
      <c r="U6" s="229">
        <v>2021</v>
      </c>
      <c r="V6" s="229">
        <v>2022</v>
      </c>
      <c r="W6" s="229">
        <v>2023</v>
      </c>
      <c r="X6" s="492"/>
      <c r="Y6" s="492"/>
      <c r="Z6" s="100"/>
      <c r="AA6" s="496" t="s">
        <v>306</v>
      </c>
      <c r="AB6" s="497"/>
      <c r="AC6" s="498"/>
      <c r="AD6" s="2"/>
      <c r="AE6" s="367"/>
      <c r="AF6" s="488"/>
      <c r="AG6" s="360">
        <v>1</v>
      </c>
      <c r="AH6" s="360">
        <v>2</v>
      </c>
      <c r="AI6" s="360">
        <v>3</v>
      </c>
      <c r="AJ6" s="360">
        <v>4</v>
      </c>
      <c r="AK6" s="360">
        <v>5</v>
      </c>
      <c r="AL6" s="360">
        <v>6</v>
      </c>
      <c r="AM6" s="360">
        <v>7</v>
      </c>
      <c r="AN6" s="360">
        <v>8</v>
      </c>
      <c r="AO6" s="489"/>
      <c r="AP6" s="360"/>
    </row>
    <row r="7" spans="1:55" s="1" customFormat="1" ht="12" customHeight="1" x14ac:dyDescent="0.2">
      <c r="A7" s="32">
        <v>1</v>
      </c>
      <c r="B7" s="16" t="s">
        <v>32</v>
      </c>
      <c r="C7" s="9">
        <f t="shared" ref="C7:C24" si="0">SUM(D7:K7)</f>
        <v>59</v>
      </c>
      <c r="D7" s="9">
        <v>45</v>
      </c>
      <c r="E7" s="9">
        <v>10</v>
      </c>
      <c r="F7" s="9">
        <v>2</v>
      </c>
      <c r="G7" s="9">
        <v>1</v>
      </c>
      <c r="H7" s="9">
        <v>1</v>
      </c>
      <c r="I7" s="9"/>
      <c r="J7" s="9"/>
      <c r="K7" s="9"/>
      <c r="L7" s="163">
        <v>61</v>
      </c>
      <c r="M7" s="9">
        <v>7</v>
      </c>
      <c r="N7" s="31">
        <f t="shared" ref="N7:N24" si="1">D7*$D$6+E7*$E$6+F7*$F$6+G7*$G$6+H7*$H$6+I7*$I$6+J7*$J$6+K7*$K$6</f>
        <v>80</v>
      </c>
      <c r="O7" s="164">
        <v>12060</v>
      </c>
      <c r="P7" s="164">
        <f t="shared" ref="P7:P24" si="2">D7*$D$28+E7*$E$28+F7*$F$28+G7*$G$28+H7*$H$28+I7*$I$28+J7*$J$28+K7*$K$28+M7*O7/1000</f>
        <v>855.42</v>
      </c>
      <c r="Q7" s="165">
        <f t="shared" ref="Q7:Q24" si="3">P7*0.271</f>
        <v>231.81882000000002</v>
      </c>
      <c r="R7" s="368">
        <f t="shared" ref="R7:R24" si="4">ROUND((P7+Q7)*12,1)</f>
        <v>13046.9</v>
      </c>
      <c r="S7" s="98">
        <v>14240.5</v>
      </c>
      <c r="T7" s="166">
        <f>ROUND(S7*1.04,1)</f>
        <v>14810.1</v>
      </c>
      <c r="U7" s="166">
        <f>R7</f>
        <v>13046.9</v>
      </c>
      <c r="V7" s="166">
        <f>U7</f>
        <v>13046.9</v>
      </c>
      <c r="W7" s="166">
        <f>V7</f>
        <v>13046.9</v>
      </c>
      <c r="X7" s="167">
        <v>61</v>
      </c>
      <c r="Y7" s="168">
        <f t="shared" ref="Y7:Y24" si="5">C7-X7</f>
        <v>-2</v>
      </c>
      <c r="Z7" s="350"/>
      <c r="AA7" s="162">
        <f>U7*1000</f>
        <v>13046900</v>
      </c>
      <c r="AB7" s="162">
        <f>AA7</f>
        <v>13046900</v>
      </c>
      <c r="AC7" s="162">
        <f>AB7</f>
        <v>13046900</v>
      </c>
      <c r="AD7" s="162"/>
      <c r="AE7" s="162"/>
      <c r="AF7" s="39">
        <f>SUM(AG7:AN7)</f>
        <v>61</v>
      </c>
      <c r="AG7" s="39">
        <v>45</v>
      </c>
      <c r="AH7" s="39">
        <v>10</v>
      </c>
      <c r="AI7" s="39">
        <v>3</v>
      </c>
      <c r="AJ7" s="39">
        <v>2</v>
      </c>
      <c r="AK7" s="39">
        <v>1</v>
      </c>
      <c r="AL7" s="39"/>
      <c r="AM7" s="39"/>
      <c r="AN7" s="39"/>
      <c r="AO7" s="39">
        <v>11</v>
      </c>
      <c r="AP7" s="31">
        <f t="shared" ref="AP7:AP24" si="6">AG7*$D$6+AH7*$E$6+AI7*$F$6+AJ7*$G$6+AK7*$H$6+AL7*$I$6+AM7*$J$6+AN7*$K$6</f>
        <v>87</v>
      </c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</row>
    <row r="8" spans="1:55" s="1" customFormat="1" ht="12" customHeight="1" x14ac:dyDescent="0.2">
      <c r="A8" s="32">
        <v>2</v>
      </c>
      <c r="B8" s="16" t="s">
        <v>6</v>
      </c>
      <c r="C8" s="9">
        <f t="shared" si="0"/>
        <v>35</v>
      </c>
      <c r="D8" s="9">
        <v>24</v>
      </c>
      <c r="E8" s="9">
        <v>8</v>
      </c>
      <c r="F8" s="9">
        <v>3</v>
      </c>
      <c r="G8" s="9"/>
      <c r="H8" s="9"/>
      <c r="I8" s="9"/>
      <c r="J8" s="9"/>
      <c r="K8" s="9"/>
      <c r="L8" s="163">
        <v>37</v>
      </c>
      <c r="M8" s="9">
        <v>7</v>
      </c>
      <c r="N8" s="31">
        <f t="shared" si="1"/>
        <v>49</v>
      </c>
      <c r="O8" s="164">
        <v>12060</v>
      </c>
      <c r="P8" s="164">
        <f t="shared" si="2"/>
        <v>546.41999999999996</v>
      </c>
      <c r="Q8" s="165">
        <f t="shared" si="3"/>
        <v>148.07982000000001</v>
      </c>
      <c r="R8" s="368">
        <f t="shared" si="4"/>
        <v>8334</v>
      </c>
      <c r="S8" s="98">
        <v>7504</v>
      </c>
      <c r="T8" s="166">
        <f t="shared" ref="T8:T24" si="7">ROUND(S8*1.04,1)</f>
        <v>7804.2</v>
      </c>
      <c r="U8" s="166">
        <f t="shared" ref="U8:U24" si="8">R8</f>
        <v>8334</v>
      </c>
      <c r="V8" s="166">
        <f t="shared" ref="V8:W8" si="9">U8</f>
        <v>8334</v>
      </c>
      <c r="W8" s="166">
        <f t="shared" si="9"/>
        <v>8334</v>
      </c>
      <c r="X8" s="167">
        <v>37</v>
      </c>
      <c r="Y8" s="168">
        <f t="shared" si="5"/>
        <v>-2</v>
      </c>
      <c r="Z8" s="350"/>
      <c r="AA8" s="162">
        <f t="shared" ref="AA8:AA24" si="10">U8*1000</f>
        <v>8334000</v>
      </c>
      <c r="AB8" s="162">
        <f t="shared" ref="AB8:AC8" si="11">AA8</f>
        <v>8334000</v>
      </c>
      <c r="AC8" s="162">
        <f t="shared" si="11"/>
        <v>8334000</v>
      </c>
      <c r="AD8" s="162"/>
      <c r="AE8" s="162"/>
      <c r="AF8" s="39">
        <f t="shared" ref="AF8:AF24" si="12">SUM(AG8:AN8)</f>
        <v>37</v>
      </c>
      <c r="AG8" s="40">
        <v>24</v>
      </c>
      <c r="AH8" s="40">
        <v>10</v>
      </c>
      <c r="AI8" s="40">
        <v>3</v>
      </c>
      <c r="AJ8" s="40"/>
      <c r="AK8" s="40"/>
      <c r="AL8" s="40"/>
      <c r="AM8" s="40"/>
      <c r="AN8" s="40"/>
      <c r="AO8" s="40">
        <v>0</v>
      </c>
      <c r="AP8" s="31">
        <f t="shared" si="6"/>
        <v>53</v>
      </c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</row>
    <row r="9" spans="1:55" s="1" customFormat="1" ht="12" customHeight="1" x14ac:dyDescent="0.2">
      <c r="A9" s="32">
        <v>3</v>
      </c>
      <c r="B9" s="16" t="s">
        <v>7</v>
      </c>
      <c r="C9" s="9">
        <f t="shared" si="0"/>
        <v>57</v>
      </c>
      <c r="D9" s="9">
        <v>44</v>
      </c>
      <c r="E9" s="9">
        <v>9</v>
      </c>
      <c r="F9" s="9">
        <v>3</v>
      </c>
      <c r="G9" s="9">
        <v>1</v>
      </c>
      <c r="H9" s="9"/>
      <c r="I9" s="9"/>
      <c r="J9" s="9"/>
      <c r="K9" s="9"/>
      <c r="L9" s="163">
        <v>66</v>
      </c>
      <c r="M9" s="9">
        <v>25</v>
      </c>
      <c r="N9" s="31">
        <f t="shared" si="1"/>
        <v>75</v>
      </c>
      <c r="O9" s="164">
        <v>12060</v>
      </c>
      <c r="P9" s="164">
        <f t="shared" si="2"/>
        <v>1039.5</v>
      </c>
      <c r="Q9" s="165">
        <f t="shared" si="3"/>
        <v>281.7045</v>
      </c>
      <c r="R9" s="368">
        <f t="shared" si="4"/>
        <v>15854.5</v>
      </c>
      <c r="S9" s="98">
        <v>17670.8</v>
      </c>
      <c r="T9" s="166">
        <f t="shared" si="7"/>
        <v>18377.599999999999</v>
      </c>
      <c r="U9" s="166">
        <f t="shared" si="8"/>
        <v>15854.5</v>
      </c>
      <c r="V9" s="166">
        <f t="shared" ref="V9:W9" si="13">U9</f>
        <v>15854.5</v>
      </c>
      <c r="W9" s="166">
        <f t="shared" si="13"/>
        <v>15854.5</v>
      </c>
      <c r="X9" s="167">
        <v>66</v>
      </c>
      <c r="Y9" s="168">
        <f t="shared" si="5"/>
        <v>-9</v>
      </c>
      <c r="Z9" s="350"/>
      <c r="AA9" s="162">
        <f t="shared" si="10"/>
        <v>15854500</v>
      </c>
      <c r="AB9" s="162">
        <f t="shared" ref="AB9:AC9" si="14">AA9</f>
        <v>15854500</v>
      </c>
      <c r="AC9" s="162">
        <f t="shared" si="14"/>
        <v>15854500</v>
      </c>
      <c r="AD9" s="162"/>
      <c r="AE9" s="162"/>
      <c r="AF9" s="39">
        <f t="shared" si="12"/>
        <v>66</v>
      </c>
      <c r="AG9" s="40">
        <v>53</v>
      </c>
      <c r="AH9" s="40">
        <v>8</v>
      </c>
      <c r="AI9" s="40">
        <v>3</v>
      </c>
      <c r="AJ9" s="40">
        <v>1</v>
      </c>
      <c r="AK9" s="40">
        <v>1</v>
      </c>
      <c r="AL9" s="40">
        <v>0</v>
      </c>
      <c r="AM9" s="40">
        <v>0</v>
      </c>
      <c r="AN9" s="40">
        <v>0</v>
      </c>
      <c r="AO9" s="40">
        <v>27</v>
      </c>
      <c r="AP9" s="31">
        <f t="shared" si="6"/>
        <v>87</v>
      </c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</row>
    <row r="10" spans="1:55" s="1" customFormat="1" ht="12" customHeight="1" x14ac:dyDescent="0.2">
      <c r="A10" s="32">
        <v>4</v>
      </c>
      <c r="B10" s="16" t="s">
        <v>8</v>
      </c>
      <c r="C10" s="9">
        <f t="shared" si="0"/>
        <v>182</v>
      </c>
      <c r="D10" s="9">
        <v>134</v>
      </c>
      <c r="E10" s="9">
        <v>32</v>
      </c>
      <c r="F10" s="9">
        <v>12</v>
      </c>
      <c r="G10" s="9">
        <v>3</v>
      </c>
      <c r="H10" s="9">
        <v>1</v>
      </c>
      <c r="I10" s="9"/>
      <c r="J10" s="9"/>
      <c r="K10" s="9"/>
      <c r="L10" s="163">
        <v>152</v>
      </c>
      <c r="M10" s="9">
        <v>102</v>
      </c>
      <c r="N10" s="31">
        <f t="shared" si="1"/>
        <v>251</v>
      </c>
      <c r="O10" s="164">
        <v>12060</v>
      </c>
      <c r="P10" s="164">
        <f t="shared" si="2"/>
        <v>3621.12</v>
      </c>
      <c r="Q10" s="165">
        <f t="shared" si="3"/>
        <v>981.32352000000003</v>
      </c>
      <c r="R10" s="368">
        <f t="shared" si="4"/>
        <v>55229.3</v>
      </c>
      <c r="S10" s="98">
        <v>44032.6</v>
      </c>
      <c r="T10" s="166">
        <f t="shared" si="7"/>
        <v>45793.9</v>
      </c>
      <c r="U10" s="166">
        <f t="shared" si="8"/>
        <v>55229.3</v>
      </c>
      <c r="V10" s="166">
        <f t="shared" ref="V10:W10" si="15">U10</f>
        <v>55229.3</v>
      </c>
      <c r="W10" s="166">
        <f t="shared" si="15"/>
        <v>55229.3</v>
      </c>
      <c r="X10" s="167">
        <v>152</v>
      </c>
      <c r="Y10" s="168">
        <f t="shared" si="5"/>
        <v>30</v>
      </c>
      <c r="Z10" s="350"/>
      <c r="AA10" s="162">
        <f t="shared" si="10"/>
        <v>55229300</v>
      </c>
      <c r="AB10" s="162">
        <f t="shared" ref="AB10:AC10" si="16">AA10</f>
        <v>55229300</v>
      </c>
      <c r="AC10" s="162">
        <f t="shared" si="16"/>
        <v>55229300</v>
      </c>
      <c r="AD10" s="162"/>
      <c r="AE10" s="162"/>
      <c r="AF10" s="39">
        <f t="shared" si="12"/>
        <v>152</v>
      </c>
      <c r="AG10" s="39">
        <v>117</v>
      </c>
      <c r="AH10" s="39">
        <v>27</v>
      </c>
      <c r="AI10" s="39">
        <v>5</v>
      </c>
      <c r="AJ10" s="39">
        <v>2</v>
      </c>
      <c r="AK10" s="39">
        <v>1</v>
      </c>
      <c r="AL10" s="39"/>
      <c r="AM10" s="39"/>
      <c r="AN10" s="39"/>
      <c r="AO10" s="39">
        <v>82</v>
      </c>
      <c r="AP10" s="31">
        <f t="shared" si="6"/>
        <v>199</v>
      </c>
      <c r="AR10" s="169"/>
      <c r="AS10" s="169"/>
      <c r="AT10" s="169"/>
      <c r="AU10" s="169"/>
      <c r="AV10" s="169"/>
      <c r="AW10" s="169"/>
      <c r="AX10" s="169"/>
      <c r="AY10" s="169"/>
      <c r="AZ10" s="169"/>
      <c r="BA10" s="169"/>
      <c r="BB10" s="169"/>
    </row>
    <row r="11" spans="1:55" s="1" customFormat="1" ht="12" customHeight="1" x14ac:dyDescent="0.2">
      <c r="A11" s="32">
        <v>5</v>
      </c>
      <c r="B11" s="16" t="s">
        <v>9</v>
      </c>
      <c r="C11" s="9">
        <f t="shared" si="0"/>
        <v>89</v>
      </c>
      <c r="D11" s="9">
        <v>68</v>
      </c>
      <c r="E11" s="9">
        <v>12</v>
      </c>
      <c r="F11" s="9">
        <v>7</v>
      </c>
      <c r="G11" s="9">
        <v>2</v>
      </c>
      <c r="H11" s="9"/>
      <c r="I11" s="9"/>
      <c r="J11" s="9"/>
      <c r="K11" s="9"/>
      <c r="L11" s="163">
        <v>86</v>
      </c>
      <c r="M11" s="9">
        <v>40</v>
      </c>
      <c r="N11" s="31">
        <f t="shared" si="1"/>
        <v>121</v>
      </c>
      <c r="O11" s="164">
        <v>12060</v>
      </c>
      <c r="P11" s="164">
        <f t="shared" si="2"/>
        <v>1646.4</v>
      </c>
      <c r="Q11" s="165">
        <f t="shared" si="3"/>
        <v>446.17440000000005</v>
      </c>
      <c r="R11" s="368">
        <f t="shared" si="4"/>
        <v>25110.9</v>
      </c>
      <c r="S11" s="98">
        <v>21571.599999999999</v>
      </c>
      <c r="T11" s="166">
        <f t="shared" si="7"/>
        <v>22434.5</v>
      </c>
      <c r="U11" s="166">
        <f t="shared" si="8"/>
        <v>25110.9</v>
      </c>
      <c r="V11" s="166">
        <f t="shared" ref="V11:W11" si="17">U11</f>
        <v>25110.9</v>
      </c>
      <c r="W11" s="166">
        <f t="shared" si="17"/>
        <v>25110.9</v>
      </c>
      <c r="X11" s="167">
        <v>86</v>
      </c>
      <c r="Y11" s="168">
        <f t="shared" si="5"/>
        <v>3</v>
      </c>
      <c r="Z11" s="350"/>
      <c r="AA11" s="162">
        <f t="shared" si="10"/>
        <v>25110900</v>
      </c>
      <c r="AB11" s="162">
        <f t="shared" ref="AB11:AC11" si="18">AA11</f>
        <v>25110900</v>
      </c>
      <c r="AC11" s="162">
        <f t="shared" si="18"/>
        <v>25110900</v>
      </c>
      <c r="AD11" s="162"/>
      <c r="AE11" s="162"/>
      <c r="AF11" s="39">
        <f t="shared" si="12"/>
        <v>86</v>
      </c>
      <c r="AG11" s="39">
        <v>65</v>
      </c>
      <c r="AH11" s="39">
        <v>14</v>
      </c>
      <c r="AI11" s="39">
        <v>5</v>
      </c>
      <c r="AJ11" s="39">
        <v>2</v>
      </c>
      <c r="AK11" s="39"/>
      <c r="AL11" s="39"/>
      <c r="AM11" s="39"/>
      <c r="AN11" s="39"/>
      <c r="AO11" s="39">
        <v>26</v>
      </c>
      <c r="AP11" s="31">
        <f t="shared" si="6"/>
        <v>116</v>
      </c>
      <c r="AR11" s="169"/>
      <c r="AS11" s="169"/>
      <c r="AT11" s="169"/>
      <c r="AU11" s="169"/>
      <c r="AV11" s="169"/>
      <c r="AW11" s="169"/>
      <c r="AX11" s="169"/>
      <c r="AY11" s="169"/>
      <c r="AZ11" s="169"/>
      <c r="BA11" s="169"/>
      <c r="BB11" s="169"/>
    </row>
    <row r="12" spans="1:55" s="1" customFormat="1" ht="12" customHeight="1" x14ac:dyDescent="0.2">
      <c r="A12" s="32">
        <v>6</v>
      </c>
      <c r="B12" s="16" t="s">
        <v>10</v>
      </c>
      <c r="C12" s="9">
        <f t="shared" si="0"/>
        <v>76</v>
      </c>
      <c r="D12" s="9">
        <v>32</v>
      </c>
      <c r="E12" s="9">
        <v>18</v>
      </c>
      <c r="F12" s="9">
        <v>10</v>
      </c>
      <c r="G12" s="9">
        <v>6</v>
      </c>
      <c r="H12" s="9">
        <v>4</v>
      </c>
      <c r="I12" s="9">
        <v>3</v>
      </c>
      <c r="J12" s="9">
        <v>0</v>
      </c>
      <c r="K12" s="9">
        <v>3</v>
      </c>
      <c r="L12" s="163">
        <v>65</v>
      </c>
      <c r="M12" s="9">
        <v>85</v>
      </c>
      <c r="N12" s="31">
        <f t="shared" si="1"/>
        <v>184</v>
      </c>
      <c r="O12" s="164">
        <v>12060</v>
      </c>
      <c r="P12" s="164">
        <f t="shared" si="2"/>
        <v>2261.1</v>
      </c>
      <c r="Q12" s="165">
        <f t="shared" si="3"/>
        <v>612.75810000000001</v>
      </c>
      <c r="R12" s="368">
        <f t="shared" si="4"/>
        <v>34486.300000000003</v>
      </c>
      <c r="S12" s="98">
        <v>26601.4</v>
      </c>
      <c r="T12" s="166">
        <f t="shared" si="7"/>
        <v>27665.5</v>
      </c>
      <c r="U12" s="166">
        <f t="shared" si="8"/>
        <v>34486.300000000003</v>
      </c>
      <c r="V12" s="166">
        <f t="shared" ref="V12:W12" si="19">U12</f>
        <v>34486.300000000003</v>
      </c>
      <c r="W12" s="166">
        <f t="shared" si="19"/>
        <v>34486.300000000003</v>
      </c>
      <c r="X12" s="167">
        <v>65</v>
      </c>
      <c r="Y12" s="168">
        <f t="shared" si="5"/>
        <v>11</v>
      </c>
      <c r="Z12" s="350"/>
      <c r="AA12" s="162">
        <f t="shared" si="10"/>
        <v>34486300</v>
      </c>
      <c r="AB12" s="162">
        <f t="shared" ref="AB12:AC12" si="20">AA12</f>
        <v>34486300</v>
      </c>
      <c r="AC12" s="162">
        <f t="shared" si="20"/>
        <v>34486300</v>
      </c>
      <c r="AD12" s="162"/>
      <c r="AE12" s="162"/>
      <c r="AF12" s="39">
        <f t="shared" si="12"/>
        <v>65</v>
      </c>
      <c r="AG12" s="39">
        <v>26</v>
      </c>
      <c r="AH12" s="39">
        <v>18</v>
      </c>
      <c r="AI12" s="39">
        <v>8</v>
      </c>
      <c r="AJ12" s="39">
        <v>5</v>
      </c>
      <c r="AK12" s="39">
        <v>3</v>
      </c>
      <c r="AL12" s="39">
        <v>3</v>
      </c>
      <c r="AM12" s="39">
        <v>1</v>
      </c>
      <c r="AN12" s="39">
        <v>1</v>
      </c>
      <c r="AO12" s="39">
        <v>62</v>
      </c>
      <c r="AP12" s="31">
        <f t="shared" si="6"/>
        <v>154</v>
      </c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</row>
    <row r="13" spans="1:55" s="1" customFormat="1" ht="12" customHeight="1" x14ac:dyDescent="0.2">
      <c r="A13" s="32">
        <v>7</v>
      </c>
      <c r="B13" s="16" t="s">
        <v>11</v>
      </c>
      <c r="C13" s="9">
        <f t="shared" si="0"/>
        <v>27</v>
      </c>
      <c r="D13" s="9">
        <v>22</v>
      </c>
      <c r="E13" s="9">
        <v>3</v>
      </c>
      <c r="F13" s="9">
        <v>2</v>
      </c>
      <c r="G13" s="9"/>
      <c r="H13" s="9"/>
      <c r="I13" s="9"/>
      <c r="J13" s="9"/>
      <c r="K13" s="9"/>
      <c r="L13" s="163">
        <v>25</v>
      </c>
      <c r="M13" s="9">
        <v>16</v>
      </c>
      <c r="N13" s="31">
        <f t="shared" si="1"/>
        <v>34</v>
      </c>
      <c r="O13" s="164">
        <v>12060</v>
      </c>
      <c r="P13" s="164">
        <f t="shared" si="2"/>
        <v>537.96</v>
      </c>
      <c r="Q13" s="165">
        <f t="shared" si="3"/>
        <v>145.78716000000003</v>
      </c>
      <c r="R13" s="368">
        <f>ROUND((P13+Q13)*12,1)</f>
        <v>8205</v>
      </c>
      <c r="S13" s="98">
        <v>7125.3</v>
      </c>
      <c r="T13" s="166">
        <f t="shared" si="7"/>
        <v>7410.3</v>
      </c>
      <c r="U13" s="166">
        <f t="shared" si="8"/>
        <v>8205</v>
      </c>
      <c r="V13" s="166">
        <f t="shared" ref="V13:W13" si="21">U13</f>
        <v>8205</v>
      </c>
      <c r="W13" s="166">
        <f t="shared" si="21"/>
        <v>8205</v>
      </c>
      <c r="X13" s="167">
        <v>25</v>
      </c>
      <c r="Y13" s="168">
        <f t="shared" si="5"/>
        <v>2</v>
      </c>
      <c r="Z13" s="350"/>
      <c r="AA13" s="162">
        <f t="shared" si="10"/>
        <v>8205000</v>
      </c>
      <c r="AB13" s="162">
        <f t="shared" ref="AB13:AC13" si="22">AA13</f>
        <v>8205000</v>
      </c>
      <c r="AC13" s="162">
        <f t="shared" si="22"/>
        <v>8205000</v>
      </c>
      <c r="AD13" s="162"/>
      <c r="AE13" s="162"/>
      <c r="AF13" s="39">
        <f t="shared" si="12"/>
        <v>25</v>
      </c>
      <c r="AG13" s="39">
        <v>20</v>
      </c>
      <c r="AH13" s="39">
        <v>3</v>
      </c>
      <c r="AI13" s="39">
        <v>2</v>
      </c>
      <c r="AJ13" s="39">
        <v>0</v>
      </c>
      <c r="AK13" s="39"/>
      <c r="AL13" s="39"/>
      <c r="AM13" s="39"/>
      <c r="AN13" s="39"/>
      <c r="AO13" s="39">
        <v>13</v>
      </c>
      <c r="AP13" s="31">
        <f t="shared" si="6"/>
        <v>32</v>
      </c>
      <c r="AR13" s="169"/>
      <c r="AS13" s="169"/>
      <c r="AT13" s="169"/>
      <c r="AU13" s="169"/>
      <c r="AV13" s="169"/>
      <c r="AW13" s="169"/>
      <c r="AX13" s="169"/>
      <c r="AY13" s="169"/>
      <c r="AZ13" s="169"/>
      <c r="BA13" s="169"/>
      <c r="BB13" s="169"/>
    </row>
    <row r="14" spans="1:55" s="1" customFormat="1" ht="12" customHeight="1" x14ac:dyDescent="0.2">
      <c r="A14" s="32">
        <v>8</v>
      </c>
      <c r="B14" s="16" t="s">
        <v>12</v>
      </c>
      <c r="C14" s="9">
        <f t="shared" si="0"/>
        <v>46</v>
      </c>
      <c r="D14" s="9">
        <v>36</v>
      </c>
      <c r="E14" s="9">
        <v>8</v>
      </c>
      <c r="F14" s="9">
        <v>1</v>
      </c>
      <c r="G14" s="9"/>
      <c r="H14" s="9"/>
      <c r="I14" s="9"/>
      <c r="J14" s="9"/>
      <c r="K14" s="9">
        <v>1</v>
      </c>
      <c r="L14" s="163">
        <v>42</v>
      </c>
      <c r="M14" s="9">
        <v>18</v>
      </c>
      <c r="N14" s="31">
        <f t="shared" si="1"/>
        <v>63</v>
      </c>
      <c r="O14" s="164">
        <v>12060</v>
      </c>
      <c r="P14" s="164">
        <f t="shared" si="2"/>
        <v>820.08</v>
      </c>
      <c r="Q14" s="165">
        <f t="shared" si="3"/>
        <v>222.24168000000003</v>
      </c>
      <c r="R14" s="368">
        <f t="shared" si="4"/>
        <v>12507.9</v>
      </c>
      <c r="S14" s="98">
        <v>8533.2999999999993</v>
      </c>
      <c r="T14" s="166">
        <f t="shared" si="7"/>
        <v>8874.6</v>
      </c>
      <c r="U14" s="166">
        <f t="shared" si="8"/>
        <v>12507.9</v>
      </c>
      <c r="V14" s="166">
        <f t="shared" ref="V14:W14" si="23">U14</f>
        <v>12507.9</v>
      </c>
      <c r="W14" s="166">
        <f t="shared" si="23"/>
        <v>12507.9</v>
      </c>
      <c r="X14" s="167">
        <v>42</v>
      </c>
      <c r="Y14" s="168">
        <f t="shared" si="5"/>
        <v>4</v>
      </c>
      <c r="Z14" s="350"/>
      <c r="AA14" s="162">
        <f t="shared" si="10"/>
        <v>12507900</v>
      </c>
      <c r="AB14" s="162">
        <f t="shared" ref="AB14:AC14" si="24">AA14</f>
        <v>12507900</v>
      </c>
      <c r="AC14" s="162">
        <f t="shared" si="24"/>
        <v>12507900</v>
      </c>
      <c r="AD14" s="162"/>
      <c r="AE14" s="162"/>
      <c r="AF14" s="39">
        <f t="shared" si="12"/>
        <v>42</v>
      </c>
      <c r="AG14" s="39">
        <v>35</v>
      </c>
      <c r="AH14" s="39">
        <v>6</v>
      </c>
      <c r="AI14" s="39"/>
      <c r="AJ14" s="39"/>
      <c r="AK14" s="39"/>
      <c r="AL14" s="39">
        <v>1</v>
      </c>
      <c r="AM14" s="39"/>
      <c r="AN14" s="39"/>
      <c r="AO14" s="39">
        <v>2</v>
      </c>
      <c r="AP14" s="31">
        <f t="shared" si="6"/>
        <v>53</v>
      </c>
      <c r="AR14" s="169"/>
      <c r="AS14" s="169"/>
      <c r="AT14" s="169"/>
      <c r="AU14" s="169"/>
      <c r="AV14" s="169"/>
      <c r="AW14" s="169"/>
      <c r="AX14" s="169"/>
      <c r="AY14" s="169"/>
      <c r="AZ14" s="169"/>
      <c r="BA14" s="169"/>
      <c r="BB14" s="169"/>
    </row>
    <row r="15" spans="1:55" s="1" customFormat="1" ht="12" customHeight="1" x14ac:dyDescent="0.2">
      <c r="A15" s="32">
        <v>9</v>
      </c>
      <c r="B15" s="16" t="s">
        <v>13</v>
      </c>
      <c r="C15" s="9">
        <f t="shared" si="0"/>
        <v>25</v>
      </c>
      <c r="D15" s="9">
        <v>19</v>
      </c>
      <c r="E15" s="9">
        <v>5</v>
      </c>
      <c r="F15" s="9">
        <v>1</v>
      </c>
      <c r="G15" s="9"/>
      <c r="H15" s="9"/>
      <c r="I15" s="9"/>
      <c r="J15" s="9"/>
      <c r="K15" s="9"/>
      <c r="L15" s="163">
        <v>25</v>
      </c>
      <c r="M15" s="9">
        <v>3</v>
      </c>
      <c r="N15" s="31">
        <f t="shared" si="1"/>
        <v>32</v>
      </c>
      <c r="O15" s="164">
        <v>12060</v>
      </c>
      <c r="P15" s="164">
        <f t="shared" si="2"/>
        <v>357.18</v>
      </c>
      <c r="Q15" s="165">
        <f t="shared" si="3"/>
        <v>96.795780000000008</v>
      </c>
      <c r="R15" s="368">
        <f t="shared" si="4"/>
        <v>5447.7</v>
      </c>
      <c r="S15" s="98">
        <v>4804.3999999999996</v>
      </c>
      <c r="T15" s="166">
        <f t="shared" si="7"/>
        <v>4996.6000000000004</v>
      </c>
      <c r="U15" s="166">
        <f t="shared" si="8"/>
        <v>5447.7</v>
      </c>
      <c r="V15" s="166">
        <f t="shared" ref="V15:W15" si="25">U15</f>
        <v>5447.7</v>
      </c>
      <c r="W15" s="166">
        <f t="shared" si="25"/>
        <v>5447.7</v>
      </c>
      <c r="X15" s="167">
        <v>25</v>
      </c>
      <c r="Y15" s="168">
        <f t="shared" si="5"/>
        <v>0</v>
      </c>
      <c r="Z15" s="350"/>
      <c r="AA15" s="162">
        <f t="shared" si="10"/>
        <v>5447700</v>
      </c>
      <c r="AB15" s="162">
        <f t="shared" ref="AB15:AC15" si="26">AA15</f>
        <v>5447700</v>
      </c>
      <c r="AC15" s="162">
        <f t="shared" si="26"/>
        <v>5447700</v>
      </c>
      <c r="AD15" s="162"/>
      <c r="AE15" s="162"/>
      <c r="AF15" s="39">
        <f t="shared" si="12"/>
        <v>25</v>
      </c>
      <c r="AG15" s="39">
        <v>21</v>
      </c>
      <c r="AH15" s="39">
        <v>3</v>
      </c>
      <c r="AI15" s="39">
        <v>1</v>
      </c>
      <c r="AJ15" s="39"/>
      <c r="AK15" s="39"/>
      <c r="AL15" s="39"/>
      <c r="AM15" s="39"/>
      <c r="AN15" s="39"/>
      <c r="AO15" s="39">
        <v>0</v>
      </c>
      <c r="AP15" s="31">
        <f t="shared" si="6"/>
        <v>30</v>
      </c>
      <c r="AR15" s="169"/>
      <c r="AS15" s="169"/>
      <c r="AT15" s="169"/>
      <c r="AU15" s="169"/>
      <c r="AV15" s="169"/>
      <c r="AW15" s="169"/>
      <c r="AX15" s="169"/>
      <c r="AY15" s="169"/>
      <c r="AZ15" s="169"/>
      <c r="BA15" s="169"/>
      <c r="BB15" s="169"/>
    </row>
    <row r="16" spans="1:55" s="1" customFormat="1" ht="12" customHeight="1" x14ac:dyDescent="0.2">
      <c r="A16" s="32">
        <v>10</v>
      </c>
      <c r="B16" s="16" t="s">
        <v>33</v>
      </c>
      <c r="C16" s="97">
        <f t="shared" si="0"/>
        <v>48</v>
      </c>
      <c r="D16" s="97">
        <v>35</v>
      </c>
      <c r="E16" s="97">
        <v>12</v>
      </c>
      <c r="F16" s="97"/>
      <c r="G16" s="97"/>
      <c r="H16" s="97"/>
      <c r="I16" s="97"/>
      <c r="J16" s="97"/>
      <c r="K16" s="97">
        <v>1</v>
      </c>
      <c r="L16" s="170">
        <v>33</v>
      </c>
      <c r="M16" s="97">
        <v>15</v>
      </c>
      <c r="N16" s="31">
        <f t="shared" si="1"/>
        <v>67</v>
      </c>
      <c r="O16" s="164">
        <v>12060</v>
      </c>
      <c r="P16" s="171">
        <f t="shared" si="2"/>
        <v>813.9</v>
      </c>
      <c r="Q16" s="172">
        <f t="shared" si="3"/>
        <v>220.5669</v>
      </c>
      <c r="R16" s="368">
        <f t="shared" si="4"/>
        <v>12413.6</v>
      </c>
      <c r="S16" s="98">
        <v>8018.1</v>
      </c>
      <c r="T16" s="166">
        <f t="shared" si="7"/>
        <v>8338.7999999999993</v>
      </c>
      <c r="U16" s="166">
        <f t="shared" si="8"/>
        <v>12413.6</v>
      </c>
      <c r="V16" s="166">
        <f t="shared" ref="V16:W16" si="27">U16</f>
        <v>12413.6</v>
      </c>
      <c r="W16" s="166">
        <f t="shared" si="27"/>
        <v>12413.6</v>
      </c>
      <c r="X16" s="167">
        <v>33</v>
      </c>
      <c r="Y16" s="168">
        <f t="shared" si="5"/>
        <v>15</v>
      </c>
      <c r="Z16" s="350"/>
      <c r="AA16" s="162">
        <f t="shared" si="10"/>
        <v>12413600</v>
      </c>
      <c r="AB16" s="162">
        <f t="shared" ref="AB16:AC16" si="28">AA16</f>
        <v>12413600</v>
      </c>
      <c r="AC16" s="162">
        <f t="shared" si="28"/>
        <v>12413600</v>
      </c>
      <c r="AD16" s="162"/>
      <c r="AE16" s="162"/>
      <c r="AF16" s="39">
        <f t="shared" si="12"/>
        <v>33</v>
      </c>
      <c r="AG16" s="39">
        <v>22</v>
      </c>
      <c r="AH16" s="39">
        <v>10</v>
      </c>
      <c r="AI16" s="39"/>
      <c r="AJ16" s="39"/>
      <c r="AK16" s="39"/>
      <c r="AL16" s="39"/>
      <c r="AM16" s="39"/>
      <c r="AN16" s="39">
        <v>1</v>
      </c>
      <c r="AO16" s="39">
        <v>7</v>
      </c>
      <c r="AP16" s="31">
        <f t="shared" si="6"/>
        <v>50</v>
      </c>
      <c r="AR16" s="169"/>
      <c r="AS16" s="169"/>
      <c r="AT16" s="169"/>
      <c r="AU16" s="169"/>
      <c r="AV16" s="169"/>
      <c r="AW16" s="169"/>
      <c r="AX16" s="169"/>
      <c r="AY16" s="169"/>
      <c r="AZ16" s="169"/>
      <c r="BA16" s="169"/>
      <c r="BB16" s="169"/>
    </row>
    <row r="17" spans="1:54" s="1" customFormat="1" ht="12" customHeight="1" x14ac:dyDescent="0.2">
      <c r="A17" s="32">
        <v>11</v>
      </c>
      <c r="B17" s="16" t="s">
        <v>15</v>
      </c>
      <c r="C17" s="9">
        <f t="shared" si="0"/>
        <v>31</v>
      </c>
      <c r="D17" s="9">
        <v>19</v>
      </c>
      <c r="E17" s="9">
        <v>9</v>
      </c>
      <c r="F17" s="9">
        <v>1</v>
      </c>
      <c r="G17" s="9">
        <v>2</v>
      </c>
      <c r="H17" s="9"/>
      <c r="I17" s="9"/>
      <c r="J17" s="9"/>
      <c r="K17" s="9"/>
      <c r="L17" s="163">
        <v>23</v>
      </c>
      <c r="M17" s="9">
        <v>8</v>
      </c>
      <c r="N17" s="31">
        <f t="shared" si="1"/>
        <v>48</v>
      </c>
      <c r="O17" s="164">
        <v>12060</v>
      </c>
      <c r="P17" s="164">
        <f t="shared" si="2"/>
        <v>519.48</v>
      </c>
      <c r="Q17" s="165">
        <f t="shared" si="3"/>
        <v>140.77908000000002</v>
      </c>
      <c r="R17" s="368">
        <f t="shared" si="4"/>
        <v>7923.1</v>
      </c>
      <c r="S17" s="98">
        <v>5661.8</v>
      </c>
      <c r="T17" s="166">
        <f t="shared" si="7"/>
        <v>5888.3</v>
      </c>
      <c r="U17" s="166">
        <f t="shared" si="8"/>
        <v>7923.1</v>
      </c>
      <c r="V17" s="166">
        <f t="shared" ref="V17:W17" si="29">U17</f>
        <v>7923.1</v>
      </c>
      <c r="W17" s="166">
        <f t="shared" si="29"/>
        <v>7923.1</v>
      </c>
      <c r="X17" s="167">
        <v>23</v>
      </c>
      <c r="Y17" s="168">
        <f t="shared" si="5"/>
        <v>8</v>
      </c>
      <c r="Z17" s="350"/>
      <c r="AA17" s="162">
        <f t="shared" si="10"/>
        <v>7923100</v>
      </c>
      <c r="AB17" s="162">
        <f t="shared" ref="AB17:AC17" si="30">AA17</f>
        <v>7923100</v>
      </c>
      <c r="AC17" s="162">
        <f t="shared" si="30"/>
        <v>7923100</v>
      </c>
      <c r="AD17" s="162"/>
      <c r="AE17" s="162"/>
      <c r="AF17" s="39">
        <f t="shared" si="12"/>
        <v>23</v>
      </c>
      <c r="AG17" s="39">
        <v>14</v>
      </c>
      <c r="AH17" s="39">
        <v>6</v>
      </c>
      <c r="AI17" s="39">
        <v>2</v>
      </c>
      <c r="AJ17" s="39">
        <v>1</v>
      </c>
      <c r="AK17" s="39"/>
      <c r="AL17" s="39"/>
      <c r="AM17" s="39"/>
      <c r="AN17" s="39"/>
      <c r="AO17" s="39">
        <v>5</v>
      </c>
      <c r="AP17" s="31">
        <f t="shared" si="6"/>
        <v>36</v>
      </c>
      <c r="AR17" s="169"/>
      <c r="AS17" s="169"/>
      <c r="AT17" s="169"/>
      <c r="AU17" s="169"/>
      <c r="AV17" s="169"/>
      <c r="AW17" s="169"/>
      <c r="AX17" s="169"/>
      <c r="AY17" s="169"/>
      <c r="AZ17" s="169"/>
      <c r="BA17" s="169"/>
      <c r="BB17" s="169"/>
    </row>
    <row r="18" spans="1:54" s="1" customFormat="1" ht="12" customHeight="1" x14ac:dyDescent="0.2">
      <c r="A18" s="32">
        <v>12</v>
      </c>
      <c r="B18" s="16" t="s">
        <v>16</v>
      </c>
      <c r="C18" s="9">
        <f t="shared" si="0"/>
        <v>95</v>
      </c>
      <c r="D18" s="9">
        <v>63</v>
      </c>
      <c r="E18" s="9">
        <v>25</v>
      </c>
      <c r="F18" s="9">
        <v>4</v>
      </c>
      <c r="G18" s="9">
        <v>3</v>
      </c>
      <c r="H18" s="9"/>
      <c r="I18" s="9"/>
      <c r="J18" s="9"/>
      <c r="K18" s="9"/>
      <c r="L18" s="163">
        <v>86</v>
      </c>
      <c r="M18" s="9">
        <v>5</v>
      </c>
      <c r="N18" s="31">
        <f t="shared" si="1"/>
        <v>137</v>
      </c>
      <c r="O18" s="164">
        <v>12060</v>
      </c>
      <c r="P18" s="164">
        <f t="shared" si="2"/>
        <v>1326.3</v>
      </c>
      <c r="Q18" s="165">
        <f t="shared" si="3"/>
        <v>359.4273</v>
      </c>
      <c r="R18" s="368">
        <f t="shared" si="4"/>
        <v>20228.7</v>
      </c>
      <c r="S18" s="98">
        <v>17295.8</v>
      </c>
      <c r="T18" s="166">
        <f t="shared" si="7"/>
        <v>17987.599999999999</v>
      </c>
      <c r="U18" s="166">
        <f t="shared" si="8"/>
        <v>20228.7</v>
      </c>
      <c r="V18" s="166">
        <f t="shared" ref="V18:W18" si="31">U18</f>
        <v>20228.7</v>
      </c>
      <c r="W18" s="166">
        <f t="shared" si="31"/>
        <v>20228.7</v>
      </c>
      <c r="X18" s="167">
        <v>86</v>
      </c>
      <c r="Y18" s="168">
        <f t="shared" si="5"/>
        <v>9</v>
      </c>
      <c r="Z18" s="350"/>
      <c r="AA18" s="162">
        <f t="shared" si="10"/>
        <v>20228700</v>
      </c>
      <c r="AB18" s="162">
        <f t="shared" ref="AB18:AC18" si="32">AA18</f>
        <v>20228700</v>
      </c>
      <c r="AC18" s="162">
        <f t="shared" si="32"/>
        <v>20228700</v>
      </c>
      <c r="AD18" s="162"/>
      <c r="AE18" s="162"/>
      <c r="AF18" s="39">
        <f t="shared" si="12"/>
        <v>86</v>
      </c>
      <c r="AG18" s="39">
        <v>60</v>
      </c>
      <c r="AH18" s="39">
        <v>21</v>
      </c>
      <c r="AI18" s="39">
        <v>3</v>
      </c>
      <c r="AJ18" s="39">
        <v>1</v>
      </c>
      <c r="AK18" s="39">
        <v>1</v>
      </c>
      <c r="AL18" s="39"/>
      <c r="AM18" s="39"/>
      <c r="AN18" s="39"/>
      <c r="AO18" s="39">
        <v>0</v>
      </c>
      <c r="AP18" s="31">
        <f t="shared" si="6"/>
        <v>120</v>
      </c>
      <c r="AR18" s="169"/>
      <c r="AS18" s="169"/>
      <c r="AT18" s="169"/>
      <c r="AU18" s="169"/>
      <c r="AV18" s="169"/>
      <c r="AW18" s="169"/>
      <c r="AX18" s="169"/>
      <c r="AY18" s="169"/>
      <c r="AZ18" s="169"/>
      <c r="BA18" s="169"/>
      <c r="BB18" s="169"/>
    </row>
    <row r="19" spans="1:54" s="1" customFormat="1" ht="12" customHeight="1" x14ac:dyDescent="0.2">
      <c r="A19" s="32">
        <v>13</v>
      </c>
      <c r="B19" s="16" t="s">
        <v>17</v>
      </c>
      <c r="C19" s="9">
        <f t="shared" si="0"/>
        <v>33</v>
      </c>
      <c r="D19" s="9">
        <v>24</v>
      </c>
      <c r="E19" s="9">
        <v>5</v>
      </c>
      <c r="F19" s="9">
        <v>1</v>
      </c>
      <c r="G19" s="9"/>
      <c r="H19" s="9">
        <v>1</v>
      </c>
      <c r="I19" s="9">
        <v>1</v>
      </c>
      <c r="J19" s="9">
        <v>1</v>
      </c>
      <c r="K19" s="9"/>
      <c r="L19" s="163">
        <v>28</v>
      </c>
      <c r="M19" s="9">
        <v>35</v>
      </c>
      <c r="N19" s="31">
        <f t="shared" si="1"/>
        <v>55</v>
      </c>
      <c r="O19" s="164">
        <v>12060</v>
      </c>
      <c r="P19" s="164">
        <f t="shared" si="2"/>
        <v>884.1</v>
      </c>
      <c r="Q19" s="165">
        <f t="shared" si="3"/>
        <v>239.59110000000001</v>
      </c>
      <c r="R19" s="368">
        <f>ROUND((P19+Q19)*12,1)</f>
        <v>13484.3</v>
      </c>
      <c r="S19" s="98">
        <v>10715.9</v>
      </c>
      <c r="T19" s="166">
        <f t="shared" si="7"/>
        <v>11144.5</v>
      </c>
      <c r="U19" s="166">
        <f t="shared" si="8"/>
        <v>13484.3</v>
      </c>
      <c r="V19" s="166">
        <f t="shared" ref="V19:W19" si="33">U19</f>
        <v>13484.3</v>
      </c>
      <c r="W19" s="166">
        <f t="shared" si="33"/>
        <v>13484.3</v>
      </c>
      <c r="X19" s="167">
        <v>28</v>
      </c>
      <c r="Y19" s="168">
        <f t="shared" si="5"/>
        <v>5</v>
      </c>
      <c r="Z19" s="350"/>
      <c r="AA19" s="162">
        <f t="shared" si="10"/>
        <v>13484300</v>
      </c>
      <c r="AB19" s="162">
        <f t="shared" ref="AB19:AC19" si="34">AA19</f>
        <v>13484300</v>
      </c>
      <c r="AC19" s="162">
        <f t="shared" si="34"/>
        <v>13484300</v>
      </c>
      <c r="AD19" s="162"/>
      <c r="AE19" s="162"/>
      <c r="AF19" s="39">
        <f t="shared" si="12"/>
        <v>28</v>
      </c>
      <c r="AG19" s="39">
        <v>19</v>
      </c>
      <c r="AH19" s="39">
        <v>5</v>
      </c>
      <c r="AI19" s="39">
        <v>1</v>
      </c>
      <c r="AJ19" s="39">
        <v>1</v>
      </c>
      <c r="AK19" s="39"/>
      <c r="AL19" s="39">
        <v>1</v>
      </c>
      <c r="AM19" s="39">
        <v>1</v>
      </c>
      <c r="AN19" s="39"/>
      <c r="AO19" s="39">
        <v>27</v>
      </c>
      <c r="AP19" s="31">
        <f t="shared" si="6"/>
        <v>49</v>
      </c>
      <c r="AR19" s="169"/>
      <c r="AS19" s="169"/>
      <c r="AT19" s="169"/>
      <c r="AU19" s="169"/>
      <c r="AV19" s="169"/>
      <c r="AW19" s="169"/>
      <c r="AX19" s="169"/>
      <c r="AY19" s="169"/>
      <c r="AZ19" s="169"/>
      <c r="BA19" s="169"/>
      <c r="BB19" s="169"/>
    </row>
    <row r="20" spans="1:54" s="1" customFormat="1" ht="12" customHeight="1" x14ac:dyDescent="0.2">
      <c r="A20" s="32">
        <v>14</v>
      </c>
      <c r="B20" s="16" t="s">
        <v>18</v>
      </c>
      <c r="C20" s="9">
        <f t="shared" si="0"/>
        <v>37</v>
      </c>
      <c r="D20" s="9">
        <v>32</v>
      </c>
      <c r="E20" s="9">
        <v>3</v>
      </c>
      <c r="F20" s="9">
        <v>1</v>
      </c>
      <c r="G20" s="9"/>
      <c r="H20" s="9">
        <v>1</v>
      </c>
      <c r="I20" s="9"/>
      <c r="J20" s="9"/>
      <c r="K20" s="9"/>
      <c r="L20" s="163">
        <v>39</v>
      </c>
      <c r="M20" s="9">
        <v>19</v>
      </c>
      <c r="N20" s="31">
        <f t="shared" si="1"/>
        <v>46</v>
      </c>
      <c r="O20" s="164">
        <v>12060</v>
      </c>
      <c r="P20" s="164">
        <f t="shared" si="2"/>
        <v>700.14</v>
      </c>
      <c r="Q20" s="165">
        <f>P20*0.271</f>
        <v>189.73794000000001</v>
      </c>
      <c r="R20" s="368">
        <f>ROUND((P20+Q20)*12,1)</f>
        <v>10678.5</v>
      </c>
      <c r="S20" s="98">
        <v>11802.9</v>
      </c>
      <c r="T20" s="166">
        <f t="shared" si="7"/>
        <v>12275</v>
      </c>
      <c r="U20" s="166">
        <f t="shared" si="8"/>
        <v>10678.5</v>
      </c>
      <c r="V20" s="166">
        <f t="shared" ref="V20:W20" si="35">U20</f>
        <v>10678.5</v>
      </c>
      <c r="W20" s="166">
        <f t="shared" si="35"/>
        <v>10678.5</v>
      </c>
      <c r="X20" s="167">
        <v>39</v>
      </c>
      <c r="Y20" s="168">
        <f t="shared" si="5"/>
        <v>-2</v>
      </c>
      <c r="Z20" s="350"/>
      <c r="AA20" s="162">
        <f t="shared" si="10"/>
        <v>10678500</v>
      </c>
      <c r="AB20" s="162">
        <f t="shared" ref="AB20:AC20" si="36">AA20</f>
        <v>10678500</v>
      </c>
      <c r="AC20" s="162">
        <f t="shared" si="36"/>
        <v>10678500</v>
      </c>
      <c r="AD20" s="162"/>
      <c r="AE20" s="162"/>
      <c r="AF20" s="39">
        <f t="shared" si="12"/>
        <v>39</v>
      </c>
      <c r="AG20" s="39">
        <v>31</v>
      </c>
      <c r="AH20" s="39">
        <v>6</v>
      </c>
      <c r="AI20" s="39">
        <v>1</v>
      </c>
      <c r="AJ20" s="39"/>
      <c r="AK20" s="39">
        <v>1</v>
      </c>
      <c r="AL20" s="39"/>
      <c r="AM20" s="39"/>
      <c r="AN20" s="39"/>
      <c r="AO20" s="39">
        <v>24</v>
      </c>
      <c r="AP20" s="31">
        <f t="shared" si="6"/>
        <v>51</v>
      </c>
      <c r="AR20" s="169"/>
      <c r="AS20" s="169"/>
      <c r="AT20" s="169"/>
      <c r="AU20" s="169"/>
      <c r="AV20" s="169"/>
      <c r="AW20" s="169"/>
      <c r="AX20" s="169"/>
      <c r="AY20" s="169"/>
      <c r="AZ20" s="169"/>
      <c r="BA20" s="169"/>
      <c r="BB20" s="169"/>
    </row>
    <row r="21" spans="1:54" s="1" customFormat="1" ht="12" customHeight="1" x14ac:dyDescent="0.2">
      <c r="A21" s="32">
        <v>15</v>
      </c>
      <c r="B21" s="16" t="s">
        <v>19</v>
      </c>
      <c r="C21" s="9">
        <f t="shared" si="0"/>
        <v>25</v>
      </c>
      <c r="D21" s="9">
        <v>9</v>
      </c>
      <c r="E21" s="9">
        <v>10</v>
      </c>
      <c r="F21" s="9">
        <v>4</v>
      </c>
      <c r="G21" s="9">
        <v>1</v>
      </c>
      <c r="H21" s="9">
        <v>1</v>
      </c>
      <c r="I21" s="9"/>
      <c r="J21" s="9"/>
      <c r="K21" s="9"/>
      <c r="L21" s="163">
        <v>31</v>
      </c>
      <c r="M21" s="9">
        <v>27</v>
      </c>
      <c r="N21" s="31">
        <f t="shared" si="1"/>
        <v>50</v>
      </c>
      <c r="O21" s="164">
        <v>12060</v>
      </c>
      <c r="P21" s="164">
        <f t="shared" si="2"/>
        <v>700.62</v>
      </c>
      <c r="Q21" s="165">
        <f t="shared" si="3"/>
        <v>189.86802</v>
      </c>
      <c r="R21" s="368">
        <f t="shared" si="4"/>
        <v>10685.9</v>
      </c>
      <c r="S21" s="98">
        <v>12522.7</v>
      </c>
      <c r="T21" s="166">
        <f t="shared" si="7"/>
        <v>13023.6</v>
      </c>
      <c r="U21" s="166">
        <f t="shared" si="8"/>
        <v>10685.9</v>
      </c>
      <c r="V21" s="166">
        <f t="shared" ref="V21:W21" si="37">U21</f>
        <v>10685.9</v>
      </c>
      <c r="W21" s="166">
        <f t="shared" si="37"/>
        <v>10685.9</v>
      </c>
      <c r="X21" s="167">
        <v>31</v>
      </c>
      <c r="Y21" s="168">
        <f t="shared" si="5"/>
        <v>-6</v>
      </c>
      <c r="Z21" s="350"/>
      <c r="AA21" s="162">
        <f t="shared" si="10"/>
        <v>10685900</v>
      </c>
      <c r="AB21" s="162">
        <f t="shared" ref="AB21:AC21" si="38">AA21</f>
        <v>10685900</v>
      </c>
      <c r="AC21" s="162">
        <f t="shared" si="38"/>
        <v>10685900</v>
      </c>
      <c r="AD21" s="162"/>
      <c r="AE21" s="162"/>
      <c r="AF21" s="39">
        <f t="shared" si="12"/>
        <v>31</v>
      </c>
      <c r="AG21" s="39">
        <v>15</v>
      </c>
      <c r="AH21" s="39">
        <v>10</v>
      </c>
      <c r="AI21" s="39">
        <v>3</v>
      </c>
      <c r="AJ21" s="39">
        <v>2</v>
      </c>
      <c r="AK21" s="39">
        <v>1</v>
      </c>
      <c r="AL21" s="39"/>
      <c r="AM21" s="39"/>
      <c r="AN21" s="39"/>
      <c r="AO21" s="39">
        <v>33</v>
      </c>
      <c r="AP21" s="31">
        <f t="shared" si="6"/>
        <v>57</v>
      </c>
      <c r="AR21" s="169"/>
      <c r="AS21" s="169"/>
      <c r="AT21" s="169"/>
      <c r="AU21" s="169"/>
      <c r="AV21" s="169"/>
      <c r="AW21" s="169"/>
      <c r="AX21" s="169"/>
      <c r="AY21" s="169"/>
      <c r="AZ21" s="169"/>
      <c r="BA21" s="169"/>
      <c r="BB21" s="169"/>
    </row>
    <row r="22" spans="1:54" s="1" customFormat="1" ht="12" customHeight="1" x14ac:dyDescent="0.2">
      <c r="A22" s="32">
        <v>16</v>
      </c>
      <c r="B22" s="16" t="s">
        <v>20</v>
      </c>
      <c r="C22" s="9">
        <f t="shared" si="0"/>
        <v>52</v>
      </c>
      <c r="D22" s="9">
        <v>44</v>
      </c>
      <c r="E22" s="9">
        <v>5</v>
      </c>
      <c r="F22" s="9">
        <v>3</v>
      </c>
      <c r="G22" s="9"/>
      <c r="H22" s="9"/>
      <c r="I22" s="9"/>
      <c r="J22" s="9"/>
      <c r="K22" s="9"/>
      <c r="L22" s="163">
        <v>48</v>
      </c>
      <c r="M22" s="9">
        <v>28</v>
      </c>
      <c r="N22" s="31">
        <f t="shared" si="1"/>
        <v>63</v>
      </c>
      <c r="O22" s="164">
        <v>12060</v>
      </c>
      <c r="P22" s="164">
        <f t="shared" si="2"/>
        <v>994.68000000000006</v>
      </c>
      <c r="Q22" s="165">
        <f t="shared" si="3"/>
        <v>269.55828000000002</v>
      </c>
      <c r="R22" s="368">
        <f t="shared" si="4"/>
        <v>15170.9</v>
      </c>
      <c r="S22" s="98">
        <v>13232.8</v>
      </c>
      <c r="T22" s="166">
        <f t="shared" si="7"/>
        <v>13762.1</v>
      </c>
      <c r="U22" s="166">
        <f t="shared" si="8"/>
        <v>15170.9</v>
      </c>
      <c r="V22" s="166">
        <f t="shared" ref="V22:W22" si="39">U22</f>
        <v>15170.9</v>
      </c>
      <c r="W22" s="166">
        <f t="shared" si="39"/>
        <v>15170.9</v>
      </c>
      <c r="X22" s="167">
        <v>48</v>
      </c>
      <c r="Y22" s="168">
        <f t="shared" si="5"/>
        <v>4</v>
      </c>
      <c r="Z22" s="350"/>
      <c r="AA22" s="162">
        <f t="shared" si="10"/>
        <v>15170900</v>
      </c>
      <c r="AB22" s="162">
        <f t="shared" ref="AB22:AC22" si="40">AA22</f>
        <v>15170900</v>
      </c>
      <c r="AC22" s="162">
        <f t="shared" si="40"/>
        <v>15170900</v>
      </c>
      <c r="AD22" s="162"/>
      <c r="AE22" s="162"/>
      <c r="AF22" s="39">
        <f t="shared" si="12"/>
        <v>48</v>
      </c>
      <c r="AG22" s="39">
        <v>40</v>
      </c>
      <c r="AH22" s="39">
        <v>5</v>
      </c>
      <c r="AI22" s="39">
        <v>3</v>
      </c>
      <c r="AJ22" s="39"/>
      <c r="AK22" s="39"/>
      <c r="AL22" s="39"/>
      <c r="AM22" s="39"/>
      <c r="AN22" s="39"/>
      <c r="AO22" s="39">
        <v>23</v>
      </c>
      <c r="AP22" s="31">
        <f t="shared" si="6"/>
        <v>59</v>
      </c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</row>
    <row r="23" spans="1:54" s="1" customFormat="1" ht="12" customHeight="1" x14ac:dyDescent="0.2">
      <c r="A23" s="32">
        <v>17</v>
      </c>
      <c r="B23" s="16" t="s">
        <v>21</v>
      </c>
      <c r="C23" s="9">
        <f t="shared" si="0"/>
        <v>44</v>
      </c>
      <c r="D23" s="9">
        <v>30</v>
      </c>
      <c r="E23" s="9">
        <v>9</v>
      </c>
      <c r="F23" s="9">
        <v>1</v>
      </c>
      <c r="G23" s="9">
        <v>3</v>
      </c>
      <c r="H23" s="9"/>
      <c r="I23" s="9">
        <v>1</v>
      </c>
      <c r="J23" s="9"/>
      <c r="K23" s="9"/>
      <c r="L23" s="163">
        <v>45</v>
      </c>
      <c r="M23" s="9">
        <v>30</v>
      </c>
      <c r="N23" s="31">
        <f t="shared" si="1"/>
        <v>69</v>
      </c>
      <c r="O23" s="164">
        <v>12060</v>
      </c>
      <c r="P23" s="164">
        <f t="shared" si="2"/>
        <v>964.8</v>
      </c>
      <c r="Q23" s="165">
        <f t="shared" si="3"/>
        <v>261.46080000000001</v>
      </c>
      <c r="R23" s="368">
        <f t="shared" si="4"/>
        <v>14715.1</v>
      </c>
      <c r="S23" s="98">
        <v>14010.3</v>
      </c>
      <c r="T23" s="166">
        <f t="shared" si="7"/>
        <v>14570.7</v>
      </c>
      <c r="U23" s="166">
        <f t="shared" si="8"/>
        <v>14715.1</v>
      </c>
      <c r="V23" s="166">
        <f t="shared" ref="V23:W23" si="41">U23</f>
        <v>14715.1</v>
      </c>
      <c r="W23" s="166">
        <f t="shared" si="41"/>
        <v>14715.1</v>
      </c>
      <c r="X23" s="167">
        <v>45</v>
      </c>
      <c r="Y23" s="168">
        <f t="shared" si="5"/>
        <v>-1</v>
      </c>
      <c r="Z23" s="350"/>
      <c r="AA23" s="162">
        <f t="shared" si="10"/>
        <v>14715100</v>
      </c>
      <c r="AB23" s="162">
        <f t="shared" ref="AB23:AC23" si="42">AA23</f>
        <v>14715100</v>
      </c>
      <c r="AC23" s="162">
        <f t="shared" si="42"/>
        <v>14715100</v>
      </c>
      <c r="AD23" s="162"/>
      <c r="AE23" s="162"/>
      <c r="AF23" s="39">
        <f t="shared" si="12"/>
        <v>45</v>
      </c>
      <c r="AG23" s="39">
        <v>31</v>
      </c>
      <c r="AH23" s="39">
        <v>10</v>
      </c>
      <c r="AI23" s="39"/>
      <c r="AJ23" s="39">
        <v>2</v>
      </c>
      <c r="AK23" s="39">
        <v>1</v>
      </c>
      <c r="AL23" s="39">
        <v>1</v>
      </c>
      <c r="AM23" s="39"/>
      <c r="AN23" s="39"/>
      <c r="AO23" s="39">
        <v>27</v>
      </c>
      <c r="AP23" s="31">
        <f t="shared" si="6"/>
        <v>70</v>
      </c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</row>
    <row r="24" spans="1:54" s="1" customFormat="1" ht="12" customHeight="1" x14ac:dyDescent="0.2">
      <c r="A24" s="32">
        <v>18</v>
      </c>
      <c r="B24" s="16" t="s">
        <v>22</v>
      </c>
      <c r="C24" s="9">
        <f t="shared" si="0"/>
        <v>17</v>
      </c>
      <c r="D24" s="9">
        <v>9</v>
      </c>
      <c r="E24" s="9">
        <v>4</v>
      </c>
      <c r="F24" s="9">
        <v>2</v>
      </c>
      <c r="G24" s="9">
        <v>1</v>
      </c>
      <c r="H24" s="9"/>
      <c r="I24" s="9"/>
      <c r="J24" s="9"/>
      <c r="K24" s="9">
        <v>1</v>
      </c>
      <c r="L24" s="163">
        <v>19</v>
      </c>
      <c r="M24" s="9">
        <v>13</v>
      </c>
      <c r="N24" s="31">
        <f t="shared" si="1"/>
        <v>35</v>
      </c>
      <c r="O24" s="164">
        <v>12060</v>
      </c>
      <c r="P24" s="164">
        <f t="shared" si="2"/>
        <v>414.78</v>
      </c>
      <c r="Q24" s="165">
        <f t="shared" si="3"/>
        <v>112.40537999999999</v>
      </c>
      <c r="R24" s="368">
        <f t="shared" si="4"/>
        <v>6326.2</v>
      </c>
      <c r="S24" s="98">
        <v>5890.3</v>
      </c>
      <c r="T24" s="166">
        <f t="shared" si="7"/>
        <v>6125.9</v>
      </c>
      <c r="U24" s="166">
        <f t="shared" si="8"/>
        <v>6326.2</v>
      </c>
      <c r="V24" s="166">
        <f t="shared" ref="V24:W24" si="43">U24</f>
        <v>6326.2</v>
      </c>
      <c r="W24" s="166">
        <f t="shared" si="43"/>
        <v>6326.2</v>
      </c>
      <c r="X24" s="167">
        <v>19</v>
      </c>
      <c r="Y24" s="168">
        <f t="shared" si="5"/>
        <v>-2</v>
      </c>
      <c r="Z24" s="350"/>
      <c r="AA24" s="162">
        <f t="shared" si="10"/>
        <v>6326200</v>
      </c>
      <c r="AB24" s="162">
        <f t="shared" ref="AB24:AC24" si="44">AA24</f>
        <v>6326200</v>
      </c>
      <c r="AC24" s="162">
        <f t="shared" si="44"/>
        <v>6326200</v>
      </c>
      <c r="AD24" s="162"/>
      <c r="AE24" s="162"/>
      <c r="AF24" s="39">
        <f t="shared" si="12"/>
        <v>19</v>
      </c>
      <c r="AG24" s="39">
        <v>9</v>
      </c>
      <c r="AH24" s="39">
        <v>6</v>
      </c>
      <c r="AI24" s="39">
        <v>3</v>
      </c>
      <c r="AJ24" s="39"/>
      <c r="AK24" s="39"/>
      <c r="AL24" s="39"/>
      <c r="AM24" s="39"/>
      <c r="AN24" s="39">
        <v>1</v>
      </c>
      <c r="AO24" s="39">
        <v>9</v>
      </c>
      <c r="AP24" s="31">
        <f t="shared" si="6"/>
        <v>38</v>
      </c>
      <c r="AR24" s="169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</row>
    <row r="25" spans="1:54" s="30" customFormat="1" ht="12.75" x14ac:dyDescent="0.2">
      <c r="A25" s="173">
        <v>19</v>
      </c>
      <c r="B25" s="174" t="s">
        <v>49</v>
      </c>
      <c r="C25" s="26">
        <f t="shared" ref="C25:N25" si="45">SUM(C7:C24)</f>
        <v>978</v>
      </c>
      <c r="D25" s="26">
        <f t="shared" si="45"/>
        <v>689</v>
      </c>
      <c r="E25" s="26">
        <f t="shared" si="45"/>
        <v>187</v>
      </c>
      <c r="F25" s="26">
        <f t="shared" si="45"/>
        <v>58</v>
      </c>
      <c r="G25" s="26">
        <f t="shared" si="45"/>
        <v>23</v>
      </c>
      <c r="H25" s="26">
        <f t="shared" si="45"/>
        <v>9</v>
      </c>
      <c r="I25" s="26">
        <f t="shared" si="45"/>
        <v>5</v>
      </c>
      <c r="J25" s="26">
        <f t="shared" si="45"/>
        <v>1</v>
      </c>
      <c r="K25" s="26">
        <f t="shared" si="45"/>
        <v>6</v>
      </c>
      <c r="L25" s="26">
        <f t="shared" si="45"/>
        <v>911</v>
      </c>
      <c r="M25" s="26">
        <f t="shared" si="45"/>
        <v>483</v>
      </c>
      <c r="N25" s="26">
        <f t="shared" si="45"/>
        <v>1459</v>
      </c>
      <c r="O25" s="175">
        <v>6580</v>
      </c>
      <c r="P25" s="24">
        <f t="shared" ref="P25:Y25" si="46">SUM(P7:P24)</f>
        <v>19003.98</v>
      </c>
      <c r="Q25" s="24">
        <f t="shared" si="46"/>
        <v>5150.0785799999994</v>
      </c>
      <c r="R25" s="176">
        <f t="shared" si="46"/>
        <v>289848.80000000005</v>
      </c>
      <c r="S25" s="176">
        <f t="shared" si="46"/>
        <v>251234.49999999991</v>
      </c>
      <c r="T25" s="176">
        <f t="shared" si="46"/>
        <v>261283.8</v>
      </c>
      <c r="U25" s="176">
        <f t="shared" si="46"/>
        <v>289848.80000000005</v>
      </c>
      <c r="V25" s="176">
        <f t="shared" si="46"/>
        <v>289848.80000000005</v>
      </c>
      <c r="W25" s="176">
        <f t="shared" si="46"/>
        <v>289848.80000000005</v>
      </c>
      <c r="X25" s="177">
        <f t="shared" si="46"/>
        <v>911</v>
      </c>
      <c r="Y25" s="178">
        <f t="shared" si="46"/>
        <v>67</v>
      </c>
      <c r="Z25" s="351"/>
      <c r="AA25" s="347">
        <f>SUM(AA7:AA24)</f>
        <v>289848800</v>
      </c>
      <c r="AB25" s="348">
        <f t="shared" ref="AB25:AC25" si="47">SUM(AB7:AB24)</f>
        <v>289848800</v>
      </c>
      <c r="AC25" s="349">
        <f t="shared" si="47"/>
        <v>289848800</v>
      </c>
      <c r="AD25" s="162"/>
      <c r="AE25" s="33"/>
      <c r="AF25" s="179">
        <f t="shared" ref="AF25:AP25" si="48">SUM(AF7:AF24)</f>
        <v>911</v>
      </c>
      <c r="AG25" s="179"/>
      <c r="AH25" s="179"/>
      <c r="AI25" s="179"/>
      <c r="AJ25" s="179"/>
      <c r="AK25" s="179"/>
      <c r="AL25" s="179"/>
      <c r="AM25" s="179"/>
      <c r="AN25" s="179"/>
      <c r="AO25" s="179"/>
      <c r="AP25" s="179">
        <f t="shared" si="48"/>
        <v>1341</v>
      </c>
      <c r="AR25" s="169"/>
      <c r="AS25" s="169"/>
      <c r="AT25" s="169"/>
      <c r="AU25" s="169"/>
      <c r="AV25" s="169"/>
      <c r="AW25" s="169"/>
      <c r="AX25" s="169"/>
      <c r="AY25" s="169"/>
      <c r="AZ25" s="169"/>
      <c r="BA25" s="169"/>
      <c r="BB25" s="169"/>
    </row>
    <row r="26" spans="1:54" s="12" customFormat="1" hidden="1" x14ac:dyDescent="0.2">
      <c r="A26" s="11">
        <v>1</v>
      </c>
      <c r="B26" s="11">
        <v>2</v>
      </c>
      <c r="C26" s="11">
        <v>3</v>
      </c>
      <c r="D26" s="11">
        <v>4</v>
      </c>
      <c r="E26" s="11">
        <v>5</v>
      </c>
      <c r="F26" s="11">
        <v>6</v>
      </c>
      <c r="G26" s="11">
        <v>7</v>
      </c>
      <c r="H26" s="11">
        <v>8</v>
      </c>
      <c r="I26" s="11">
        <v>9</v>
      </c>
      <c r="J26" s="11">
        <v>10</v>
      </c>
      <c r="K26" s="11">
        <v>11</v>
      </c>
      <c r="L26" s="11">
        <v>12</v>
      </c>
      <c r="M26" s="11">
        <v>13</v>
      </c>
      <c r="N26" s="11">
        <v>14</v>
      </c>
      <c r="O26" s="11">
        <v>15</v>
      </c>
      <c r="P26" s="11">
        <v>16</v>
      </c>
      <c r="Q26" s="11">
        <v>17</v>
      </c>
      <c r="R26" s="160">
        <f>R25/S25-100%</f>
        <v>0.1536982381002614</v>
      </c>
      <c r="S26" s="161"/>
      <c r="T26" s="160">
        <f>T25/S25-100%</f>
        <v>3.9999681572395751E-2</v>
      </c>
      <c r="U26" s="160"/>
      <c r="V26" s="160"/>
      <c r="W26" s="160"/>
      <c r="AA26" s="3"/>
      <c r="AB26" s="2"/>
      <c r="AC26" s="2"/>
      <c r="AD26" s="3"/>
      <c r="AE26" s="3"/>
      <c r="AF26" s="41">
        <f t="shared" ref="AF26:AN26" si="49">C25-AF25</f>
        <v>67</v>
      </c>
      <c r="AG26" s="41">
        <f t="shared" si="49"/>
        <v>689</v>
      </c>
      <c r="AH26" s="41">
        <f t="shared" si="49"/>
        <v>187</v>
      </c>
      <c r="AI26" s="41">
        <f t="shared" si="49"/>
        <v>58</v>
      </c>
      <c r="AJ26" s="41">
        <f t="shared" si="49"/>
        <v>23</v>
      </c>
      <c r="AK26" s="41">
        <f t="shared" si="49"/>
        <v>9</v>
      </c>
      <c r="AL26" s="41">
        <f t="shared" si="49"/>
        <v>5</v>
      </c>
      <c r="AM26" s="41">
        <f t="shared" si="49"/>
        <v>1</v>
      </c>
      <c r="AN26" s="41">
        <f t="shared" si="49"/>
        <v>6</v>
      </c>
      <c r="AO26" s="41">
        <f>M25-AO25</f>
        <v>483</v>
      </c>
      <c r="AP26" s="41">
        <f>M25-AP25</f>
        <v>-858</v>
      </c>
    </row>
    <row r="27" spans="1:54" s="83" customFormat="1" hidden="1" x14ac:dyDescent="0.2">
      <c r="A27" s="83">
        <v>1</v>
      </c>
      <c r="B27" s="83">
        <v>2</v>
      </c>
      <c r="C27" s="83">
        <v>3</v>
      </c>
      <c r="D27" s="83">
        <v>4</v>
      </c>
      <c r="E27" s="83">
        <v>5</v>
      </c>
      <c r="F27" s="83">
        <v>6</v>
      </c>
      <c r="G27" s="83">
        <v>7</v>
      </c>
      <c r="H27" s="83">
        <v>8</v>
      </c>
      <c r="I27" s="83">
        <v>9</v>
      </c>
      <c r="J27" s="83">
        <v>10</v>
      </c>
      <c r="K27" s="83">
        <v>11</v>
      </c>
      <c r="L27" s="83">
        <v>12</v>
      </c>
      <c r="M27" s="83">
        <v>13</v>
      </c>
      <c r="N27" s="83">
        <v>14</v>
      </c>
      <c r="O27" s="83">
        <v>15</v>
      </c>
      <c r="P27" s="83">
        <v>16</v>
      </c>
      <c r="Q27" s="83">
        <v>17</v>
      </c>
      <c r="R27" s="83">
        <v>18</v>
      </c>
      <c r="S27" s="83">
        <v>21</v>
      </c>
      <c r="X27" s="83">
        <v>23</v>
      </c>
      <c r="Y27" s="83">
        <v>24</v>
      </c>
      <c r="AA27" s="79"/>
      <c r="AB27" s="159"/>
      <c r="AC27" s="159"/>
      <c r="AD27" s="79"/>
      <c r="AE27" s="79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</row>
    <row r="28" spans="1:54" ht="40.15" hidden="1" customHeight="1" x14ac:dyDescent="0.2">
      <c r="B28" s="490" t="s">
        <v>244</v>
      </c>
      <c r="C28" s="490"/>
      <c r="D28" s="10">
        <v>12</v>
      </c>
      <c r="E28" s="10">
        <v>15</v>
      </c>
      <c r="F28" s="10">
        <v>18</v>
      </c>
      <c r="G28" s="10">
        <v>21</v>
      </c>
      <c r="H28" s="10">
        <v>24</v>
      </c>
      <c r="I28" s="10">
        <v>27</v>
      </c>
      <c r="J28" s="10">
        <v>30</v>
      </c>
      <c r="K28" s="10">
        <v>33</v>
      </c>
      <c r="L28" s="13"/>
      <c r="M28" s="13"/>
      <c r="N28" s="13"/>
      <c r="O28" s="13"/>
      <c r="P28" s="13"/>
      <c r="R28" s="14"/>
    </row>
    <row r="29" spans="1:54" hidden="1" x14ac:dyDescent="0.2"/>
  </sheetData>
  <sheetProtection selectLockedCells="1" selectUnlockedCells="1"/>
  <mergeCells count="18">
    <mergeCell ref="A5:A6"/>
    <mergeCell ref="B5:B6"/>
    <mergeCell ref="C5:C6"/>
    <mergeCell ref="D5:K5"/>
    <mergeCell ref="M5:M6"/>
    <mergeCell ref="N5:N6"/>
    <mergeCell ref="R5:R6"/>
    <mergeCell ref="A3:W3"/>
    <mergeCell ref="AF5:AF6"/>
    <mergeCell ref="AG5:AN5"/>
    <mergeCell ref="AO5:AO6"/>
    <mergeCell ref="B28:C28"/>
    <mergeCell ref="S5:S6"/>
    <mergeCell ref="X5:X6"/>
    <mergeCell ref="Y5:Y6"/>
    <mergeCell ref="T5:T6"/>
    <mergeCell ref="U5:W5"/>
    <mergeCell ref="AA6:AC6"/>
  </mergeCells>
  <pageMargins left="0.35" right="0.2298611111111111" top="1" bottom="1" header="0.51180555555555551" footer="0.51180555555555551"/>
  <pageSetup paperSize="9" scale="84" firstPageNumber="0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17" customWidth="1"/>
    <col min="4" max="4" width="14.28515625" style="18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69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506" t="s">
        <v>263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363"/>
      <c r="O1" s="363"/>
      <c r="P1" s="363"/>
      <c r="Q1" s="363"/>
      <c r="R1" s="363"/>
      <c r="S1" s="363"/>
      <c r="U1" s="363"/>
      <c r="V1" s="363"/>
      <c r="W1" s="363"/>
    </row>
    <row r="2" spans="1:33" x14ac:dyDescent="0.2">
      <c r="B2" s="19">
        <v>5335260</v>
      </c>
      <c r="M2" s="37">
        <v>1000</v>
      </c>
      <c r="O2" s="37"/>
      <c r="Q2" s="37"/>
      <c r="R2" s="37"/>
      <c r="S2" s="37"/>
    </row>
    <row r="3" spans="1:33" s="15" customFormat="1" ht="18" customHeight="1" x14ac:dyDescent="0.2">
      <c r="A3" s="492" t="s">
        <v>50</v>
      </c>
      <c r="B3" s="492" t="s">
        <v>25</v>
      </c>
      <c r="C3" s="492" t="s">
        <v>54</v>
      </c>
      <c r="D3" s="492" t="s">
        <v>55</v>
      </c>
      <c r="E3" s="492"/>
      <c r="F3" s="492"/>
      <c r="G3" s="502" t="s">
        <v>56</v>
      </c>
      <c r="H3" s="492" t="s">
        <v>264</v>
      </c>
      <c r="I3" s="492" t="s">
        <v>57</v>
      </c>
      <c r="J3" s="492" t="s">
        <v>58</v>
      </c>
      <c r="K3" s="492" t="s">
        <v>266</v>
      </c>
      <c r="L3" s="492" t="s">
        <v>59</v>
      </c>
      <c r="M3" s="507" t="s">
        <v>265</v>
      </c>
      <c r="N3" s="508" t="s">
        <v>254</v>
      </c>
      <c r="O3" s="504" t="s">
        <v>285</v>
      </c>
      <c r="P3" s="503" t="s">
        <v>322</v>
      </c>
      <c r="Q3" s="504" t="s">
        <v>307</v>
      </c>
      <c r="R3" s="503" t="s">
        <v>323</v>
      </c>
      <c r="S3" s="503" t="s">
        <v>324</v>
      </c>
      <c r="T3" s="509" t="s">
        <v>286</v>
      </c>
      <c r="U3" s="510"/>
      <c r="V3" s="511"/>
      <c r="W3" s="99"/>
      <c r="AC3" s="492" t="s">
        <v>267</v>
      </c>
      <c r="AD3" s="492" t="s">
        <v>55</v>
      </c>
      <c r="AE3" s="492"/>
      <c r="AF3" s="492"/>
    </row>
    <row r="4" spans="1:33" s="15" customFormat="1" ht="66" customHeight="1" x14ac:dyDescent="0.2">
      <c r="A4" s="492"/>
      <c r="B4" s="492"/>
      <c r="C4" s="492"/>
      <c r="D4" s="361" t="s">
        <v>60</v>
      </c>
      <c r="E4" s="361" t="s">
        <v>61</v>
      </c>
      <c r="F4" s="361" t="s">
        <v>62</v>
      </c>
      <c r="G4" s="502"/>
      <c r="H4" s="492"/>
      <c r="I4" s="492"/>
      <c r="J4" s="492"/>
      <c r="K4" s="492"/>
      <c r="L4" s="492"/>
      <c r="M4" s="507"/>
      <c r="N4" s="508"/>
      <c r="O4" s="505"/>
      <c r="P4" s="503"/>
      <c r="Q4" s="505"/>
      <c r="R4" s="503"/>
      <c r="S4" s="503"/>
      <c r="T4" s="365">
        <v>2021</v>
      </c>
      <c r="U4" s="365">
        <v>2022</v>
      </c>
      <c r="V4" s="365">
        <v>2023</v>
      </c>
      <c r="W4" s="99"/>
      <c r="X4" s="496" t="s">
        <v>306</v>
      </c>
      <c r="Y4" s="497"/>
      <c r="Z4" s="498"/>
      <c r="AA4" s="2"/>
      <c r="AC4" s="492"/>
      <c r="AD4" s="361" t="s">
        <v>60</v>
      </c>
      <c r="AE4" s="361" t="s">
        <v>61</v>
      </c>
      <c r="AF4" s="362" t="s">
        <v>62</v>
      </c>
      <c r="AG4" s="38" t="s">
        <v>224</v>
      </c>
    </row>
    <row r="5" spans="1:33" x14ac:dyDescent="0.2">
      <c r="A5" s="20">
        <v>1</v>
      </c>
      <c r="B5" s="20" t="s">
        <v>32</v>
      </c>
      <c r="C5" s="21">
        <f t="shared" ref="C5:C22" si="0">D5+E5+F5</f>
        <v>15</v>
      </c>
      <c r="D5" s="21">
        <v>10</v>
      </c>
      <c r="E5" s="21">
        <v>5</v>
      </c>
      <c r="F5" s="21"/>
      <c r="G5" s="180">
        <v>18869.72</v>
      </c>
      <c r="H5" s="42">
        <f t="shared" ref="H5:H22" si="1">ROUND(C5*G5/1000,1)</f>
        <v>283</v>
      </c>
      <c r="I5" s="120">
        <v>0</v>
      </c>
      <c r="J5" s="22">
        <f t="shared" ref="J5:J22" si="2">I5+C5</f>
        <v>15</v>
      </c>
      <c r="K5" s="180">
        <v>144180</v>
      </c>
      <c r="L5" s="181">
        <f t="shared" ref="L5:L22" si="3">ROUND(K5*I5/1000,1)</f>
        <v>0</v>
      </c>
      <c r="M5" s="370">
        <f t="shared" ref="M5:M22" si="4">ROUND((L5+H5),1)*$M$2</f>
        <v>283000</v>
      </c>
      <c r="N5" s="42">
        <v>405.3</v>
      </c>
      <c r="O5" s="182">
        <v>427.2</v>
      </c>
      <c r="P5" s="166">
        <f>ROUNDDOWN(M5*$O$24,-2)</f>
        <v>291100</v>
      </c>
      <c r="Q5" s="182">
        <v>0</v>
      </c>
      <c r="R5" s="166">
        <f>ROUND(M5*$Q$24,-2)</f>
        <v>300400</v>
      </c>
      <c r="S5" s="166">
        <f>ROUNDDOWN(M5*$S$24,-2)</f>
        <v>309800</v>
      </c>
      <c r="T5" s="122">
        <f>P5/1000</f>
        <v>291.10000000000002</v>
      </c>
      <c r="U5" s="122">
        <f>R5/1000</f>
        <v>300.39999999999998</v>
      </c>
      <c r="V5" s="122">
        <f>S5/1000</f>
        <v>309.8</v>
      </c>
      <c r="W5" s="183"/>
      <c r="X5" s="162">
        <f>T5*1000</f>
        <v>291100</v>
      </c>
      <c r="Y5" s="162">
        <f t="shared" ref="Y5:Z5" si="5">U5*1000</f>
        <v>300400</v>
      </c>
      <c r="Z5" s="162">
        <f t="shared" si="5"/>
        <v>309800</v>
      </c>
      <c r="AA5" s="162"/>
      <c r="AC5" s="21">
        <f>AD5+AE5+AF5</f>
        <v>22</v>
      </c>
      <c r="AD5" s="21">
        <v>13</v>
      </c>
      <c r="AE5" s="21">
        <v>6</v>
      </c>
      <c r="AF5" s="21">
        <v>3</v>
      </c>
      <c r="AG5" s="21">
        <f t="shared" ref="AG5:AG23" si="6">C5-AC5</f>
        <v>-7</v>
      </c>
    </row>
    <row r="6" spans="1:33" x14ac:dyDescent="0.2">
      <c r="A6" s="20">
        <v>2</v>
      </c>
      <c r="B6" s="20" t="s">
        <v>6</v>
      </c>
      <c r="C6" s="21">
        <f t="shared" si="0"/>
        <v>10</v>
      </c>
      <c r="D6" s="21">
        <v>4</v>
      </c>
      <c r="E6" s="21">
        <v>4</v>
      </c>
      <c r="F6" s="21">
        <v>2</v>
      </c>
      <c r="G6" s="180">
        <v>18869.72</v>
      </c>
      <c r="H6" s="42">
        <f t="shared" si="1"/>
        <v>188.7</v>
      </c>
      <c r="I6" s="120">
        <v>1</v>
      </c>
      <c r="J6" s="22">
        <f t="shared" si="2"/>
        <v>11</v>
      </c>
      <c r="K6" s="180">
        <v>144180</v>
      </c>
      <c r="L6" s="181">
        <f t="shared" si="3"/>
        <v>144.19999999999999</v>
      </c>
      <c r="M6" s="370">
        <f t="shared" si="4"/>
        <v>332900</v>
      </c>
      <c r="N6" s="42">
        <v>417</v>
      </c>
      <c r="O6" s="182">
        <v>419.9</v>
      </c>
      <c r="P6" s="166">
        <f>ROUND(M6*$O$24,-2)</f>
        <v>342500</v>
      </c>
      <c r="Q6" s="182">
        <v>493.7</v>
      </c>
      <c r="R6" s="166">
        <f t="shared" ref="R6:R22" si="7">ROUND(M6*$Q$24,-2)</f>
        <v>353300</v>
      </c>
      <c r="S6" s="166">
        <f t="shared" ref="S6:S10" si="8">ROUNDDOWN(M6*$S$24,-2)</f>
        <v>364400</v>
      </c>
      <c r="T6" s="122">
        <f t="shared" ref="T6:T22" si="9">P6/1000</f>
        <v>342.5</v>
      </c>
      <c r="U6" s="122">
        <f t="shared" ref="U6:V22" si="10">R6/1000</f>
        <v>353.3</v>
      </c>
      <c r="V6" s="122">
        <f t="shared" si="10"/>
        <v>364.4</v>
      </c>
      <c r="W6" s="183"/>
      <c r="X6" s="162">
        <f t="shared" ref="X6:X22" si="11">T6*1000</f>
        <v>342500</v>
      </c>
      <c r="Y6" s="162">
        <f t="shared" ref="Y6:Y22" si="12">U6*1000</f>
        <v>353300</v>
      </c>
      <c r="Z6" s="162">
        <f t="shared" ref="Z6:Z22" si="13">V6*1000</f>
        <v>364400</v>
      </c>
      <c r="AA6" s="162"/>
      <c r="AC6" s="21">
        <f t="shared" ref="AC6:AC22" si="14">AD6+AE6+AF6</f>
        <v>15</v>
      </c>
      <c r="AD6" s="21">
        <v>8</v>
      </c>
      <c r="AE6" s="21">
        <v>6</v>
      </c>
      <c r="AF6" s="21">
        <v>1</v>
      </c>
      <c r="AG6" s="21">
        <f t="shared" si="6"/>
        <v>-5</v>
      </c>
    </row>
    <row r="7" spans="1:33" x14ac:dyDescent="0.2">
      <c r="A7" s="20">
        <v>3</v>
      </c>
      <c r="B7" s="20" t="s">
        <v>7</v>
      </c>
      <c r="C7" s="21">
        <f t="shared" si="0"/>
        <v>22</v>
      </c>
      <c r="D7" s="21">
        <v>11</v>
      </c>
      <c r="E7" s="21">
        <v>6</v>
      </c>
      <c r="F7" s="21">
        <v>5</v>
      </c>
      <c r="G7" s="180">
        <v>18869.72</v>
      </c>
      <c r="H7" s="42">
        <f t="shared" si="1"/>
        <v>415.1</v>
      </c>
      <c r="I7" s="120">
        <v>1</v>
      </c>
      <c r="J7" s="22">
        <f t="shared" si="2"/>
        <v>23</v>
      </c>
      <c r="K7" s="180">
        <v>144180</v>
      </c>
      <c r="L7" s="181">
        <f t="shared" si="3"/>
        <v>144.19999999999999</v>
      </c>
      <c r="M7" s="370">
        <f t="shared" si="4"/>
        <v>559300</v>
      </c>
      <c r="N7" s="42">
        <v>674.9</v>
      </c>
      <c r="O7" s="182">
        <v>745.4</v>
      </c>
      <c r="P7" s="166">
        <f>ROUND(M7*$O$24,-2)</f>
        <v>575500</v>
      </c>
      <c r="Q7" s="182">
        <v>799.1</v>
      </c>
      <c r="R7" s="166">
        <f t="shared" si="7"/>
        <v>593600</v>
      </c>
      <c r="S7" s="166">
        <f t="shared" si="8"/>
        <v>612300</v>
      </c>
      <c r="T7" s="122">
        <f t="shared" si="9"/>
        <v>575.5</v>
      </c>
      <c r="U7" s="122">
        <f t="shared" si="10"/>
        <v>593.6</v>
      </c>
      <c r="V7" s="122">
        <f t="shared" si="10"/>
        <v>612.29999999999995</v>
      </c>
      <c r="W7" s="183"/>
      <c r="X7" s="162">
        <f t="shared" si="11"/>
        <v>575500</v>
      </c>
      <c r="Y7" s="162">
        <f t="shared" si="12"/>
        <v>593600</v>
      </c>
      <c r="Z7" s="162">
        <f t="shared" si="13"/>
        <v>612300</v>
      </c>
      <c r="AA7" s="162"/>
      <c r="AC7" s="21">
        <f t="shared" si="14"/>
        <v>29</v>
      </c>
      <c r="AD7" s="21">
        <v>17</v>
      </c>
      <c r="AE7" s="21">
        <v>10</v>
      </c>
      <c r="AF7" s="21">
        <v>2</v>
      </c>
      <c r="AG7" s="21">
        <f t="shared" si="6"/>
        <v>-7</v>
      </c>
    </row>
    <row r="8" spans="1:33" x14ac:dyDescent="0.2">
      <c r="A8" s="20">
        <v>4</v>
      </c>
      <c r="B8" s="20" t="s">
        <v>8</v>
      </c>
      <c r="C8" s="21">
        <f t="shared" si="0"/>
        <v>86</v>
      </c>
      <c r="D8" s="21">
        <v>40</v>
      </c>
      <c r="E8" s="21">
        <v>35</v>
      </c>
      <c r="F8" s="21">
        <v>11</v>
      </c>
      <c r="G8" s="180">
        <v>18869.72</v>
      </c>
      <c r="H8" s="42">
        <f t="shared" si="1"/>
        <v>1622.8</v>
      </c>
      <c r="I8" s="120">
        <v>4</v>
      </c>
      <c r="J8" s="22">
        <f t="shared" si="2"/>
        <v>90</v>
      </c>
      <c r="K8" s="180">
        <v>144180</v>
      </c>
      <c r="L8" s="181">
        <f t="shared" si="3"/>
        <v>576.70000000000005</v>
      </c>
      <c r="M8" s="370">
        <f t="shared" si="4"/>
        <v>2199500</v>
      </c>
      <c r="N8" s="42">
        <v>2048.4</v>
      </c>
      <c r="O8" s="182">
        <v>2262.1999999999998</v>
      </c>
      <c r="P8" s="166">
        <f>ROUNDDOWN(M8*$O$24,-2)</f>
        <v>2263100</v>
      </c>
      <c r="Q8" s="182">
        <v>2425.1</v>
      </c>
      <c r="R8" s="166">
        <f>ROUNDDOWN(M8*$Q$24,-2)</f>
        <v>2334500</v>
      </c>
      <c r="S8" s="166">
        <f t="shared" si="8"/>
        <v>2407900</v>
      </c>
      <c r="T8" s="122">
        <f t="shared" si="9"/>
        <v>2263.1</v>
      </c>
      <c r="U8" s="122">
        <f t="shared" si="10"/>
        <v>2334.5</v>
      </c>
      <c r="V8" s="122">
        <f t="shared" si="10"/>
        <v>2407.9</v>
      </c>
      <c r="W8" s="183"/>
      <c r="X8" s="162">
        <f t="shared" si="11"/>
        <v>2263100</v>
      </c>
      <c r="Y8" s="162">
        <f t="shared" si="12"/>
        <v>2334500</v>
      </c>
      <c r="Z8" s="162">
        <f t="shared" si="13"/>
        <v>2407900</v>
      </c>
      <c r="AA8" s="162"/>
      <c r="AC8" s="21">
        <f t="shared" si="14"/>
        <v>73</v>
      </c>
      <c r="AD8" s="21">
        <v>42</v>
      </c>
      <c r="AE8" s="21">
        <v>21</v>
      </c>
      <c r="AF8" s="21">
        <v>10</v>
      </c>
      <c r="AG8" s="21">
        <f t="shared" si="6"/>
        <v>13</v>
      </c>
    </row>
    <row r="9" spans="1:33" x14ac:dyDescent="0.2">
      <c r="A9" s="20">
        <v>5</v>
      </c>
      <c r="B9" s="20" t="s">
        <v>9</v>
      </c>
      <c r="C9" s="21">
        <f t="shared" si="0"/>
        <v>36</v>
      </c>
      <c r="D9" s="21">
        <v>23</v>
      </c>
      <c r="E9" s="21">
        <v>10</v>
      </c>
      <c r="F9" s="21">
        <v>3</v>
      </c>
      <c r="G9" s="180">
        <v>18869.72</v>
      </c>
      <c r="H9" s="42">
        <f t="shared" si="1"/>
        <v>679.3</v>
      </c>
      <c r="I9" s="120">
        <v>0</v>
      </c>
      <c r="J9" s="22">
        <f t="shared" si="2"/>
        <v>36</v>
      </c>
      <c r="K9" s="180">
        <v>144180</v>
      </c>
      <c r="L9" s="181">
        <f t="shared" si="3"/>
        <v>0</v>
      </c>
      <c r="M9" s="370">
        <f t="shared" si="4"/>
        <v>679300</v>
      </c>
      <c r="N9" s="42">
        <v>1105.2</v>
      </c>
      <c r="O9" s="182">
        <v>1220.5999999999999</v>
      </c>
      <c r="P9" s="166">
        <f t="shared" ref="P9:P22" si="15">ROUND(M9*$O$24,-2)</f>
        <v>699000</v>
      </c>
      <c r="Q9" s="182">
        <v>1308.5</v>
      </c>
      <c r="R9" s="166">
        <f t="shared" si="7"/>
        <v>721000</v>
      </c>
      <c r="S9" s="166">
        <f t="shared" si="8"/>
        <v>743600</v>
      </c>
      <c r="T9" s="122">
        <f t="shared" si="9"/>
        <v>699</v>
      </c>
      <c r="U9" s="122">
        <f t="shared" si="10"/>
        <v>721</v>
      </c>
      <c r="V9" s="122">
        <f t="shared" si="10"/>
        <v>743.6</v>
      </c>
      <c r="W9" s="183"/>
      <c r="X9" s="162">
        <f t="shared" si="11"/>
        <v>699000</v>
      </c>
      <c r="Y9" s="162">
        <f t="shared" si="12"/>
        <v>721000</v>
      </c>
      <c r="Z9" s="162">
        <f t="shared" si="13"/>
        <v>743600</v>
      </c>
      <c r="AA9" s="162"/>
      <c r="AC9" s="21">
        <f t="shared" si="14"/>
        <v>36</v>
      </c>
      <c r="AD9" s="21">
        <v>23</v>
      </c>
      <c r="AE9" s="21">
        <v>10</v>
      </c>
      <c r="AF9" s="21">
        <v>3</v>
      </c>
      <c r="AG9" s="21">
        <f t="shared" si="6"/>
        <v>0</v>
      </c>
    </row>
    <row r="10" spans="1:33" x14ac:dyDescent="0.2">
      <c r="A10" s="20">
        <v>6</v>
      </c>
      <c r="B10" s="20" t="s">
        <v>10</v>
      </c>
      <c r="C10" s="21">
        <f t="shared" si="0"/>
        <v>74</v>
      </c>
      <c r="D10" s="21">
        <v>47</v>
      </c>
      <c r="E10" s="21">
        <v>18</v>
      </c>
      <c r="F10" s="21">
        <v>9</v>
      </c>
      <c r="G10" s="180">
        <v>18869.72</v>
      </c>
      <c r="H10" s="42">
        <f t="shared" si="1"/>
        <v>1396.4</v>
      </c>
      <c r="I10" s="23">
        <v>5</v>
      </c>
      <c r="J10" s="22">
        <f t="shared" si="2"/>
        <v>79</v>
      </c>
      <c r="K10" s="180">
        <v>144180</v>
      </c>
      <c r="L10" s="181">
        <f t="shared" si="3"/>
        <v>720.9</v>
      </c>
      <c r="M10" s="370">
        <f t="shared" si="4"/>
        <v>2117300</v>
      </c>
      <c r="N10" s="42">
        <v>1993.2</v>
      </c>
      <c r="O10" s="182">
        <v>2201.1</v>
      </c>
      <c r="P10" s="166">
        <f>ROUNDDOWN(M10*$O$24,-2)</f>
        <v>2178600</v>
      </c>
      <c r="Q10" s="182">
        <v>2359.6</v>
      </c>
      <c r="R10" s="166">
        <f>ROUNDDOWN(M10*$Q$24,-2)</f>
        <v>2247200</v>
      </c>
      <c r="S10" s="166">
        <f t="shared" si="8"/>
        <v>2317900</v>
      </c>
      <c r="T10" s="122">
        <f t="shared" si="9"/>
        <v>2178.6</v>
      </c>
      <c r="U10" s="122">
        <f t="shared" si="10"/>
        <v>2247.1999999999998</v>
      </c>
      <c r="V10" s="122">
        <f t="shared" si="10"/>
        <v>2317.9</v>
      </c>
      <c r="W10" s="183"/>
      <c r="X10" s="162">
        <f t="shared" si="11"/>
        <v>2178600</v>
      </c>
      <c r="Y10" s="162">
        <f t="shared" si="12"/>
        <v>2247200</v>
      </c>
      <c r="Z10" s="162">
        <f t="shared" si="13"/>
        <v>2317900</v>
      </c>
      <c r="AA10" s="162"/>
      <c r="AC10" s="21">
        <f t="shared" si="14"/>
        <v>70</v>
      </c>
      <c r="AD10" s="21">
        <v>45</v>
      </c>
      <c r="AE10" s="21">
        <v>15</v>
      </c>
      <c r="AF10" s="21">
        <v>10</v>
      </c>
      <c r="AG10" s="21">
        <f t="shared" si="6"/>
        <v>4</v>
      </c>
    </row>
    <row r="11" spans="1:33" x14ac:dyDescent="0.2">
      <c r="A11" s="20">
        <v>7</v>
      </c>
      <c r="B11" s="20" t="s">
        <v>11</v>
      </c>
      <c r="C11" s="21">
        <f t="shared" si="0"/>
        <v>8</v>
      </c>
      <c r="D11" s="21">
        <v>7</v>
      </c>
      <c r="E11" s="21">
        <v>1</v>
      </c>
      <c r="F11" s="21"/>
      <c r="G11" s="180">
        <v>18869.72</v>
      </c>
      <c r="H11" s="42">
        <f t="shared" si="1"/>
        <v>151</v>
      </c>
      <c r="I11" s="120">
        <v>0</v>
      </c>
      <c r="J11" s="22">
        <f t="shared" si="2"/>
        <v>8</v>
      </c>
      <c r="K11" s="180">
        <v>144180</v>
      </c>
      <c r="L11" s="181">
        <f t="shared" si="3"/>
        <v>0</v>
      </c>
      <c r="M11" s="370">
        <f t="shared" si="4"/>
        <v>151000</v>
      </c>
      <c r="N11" s="42">
        <v>147.4</v>
      </c>
      <c r="O11" s="182">
        <v>162.80000000000001</v>
      </c>
      <c r="P11" s="166">
        <f t="shared" si="15"/>
        <v>155400</v>
      </c>
      <c r="Q11" s="182">
        <v>174.5</v>
      </c>
      <c r="R11" s="166">
        <f t="shared" si="7"/>
        <v>160300</v>
      </c>
      <c r="S11" s="166">
        <f t="shared" ref="S11:S22" si="16">ROUND(M11*$S$24,-2)</f>
        <v>165300</v>
      </c>
      <c r="T11" s="122">
        <f t="shared" si="9"/>
        <v>155.4</v>
      </c>
      <c r="U11" s="122">
        <f t="shared" si="10"/>
        <v>160.30000000000001</v>
      </c>
      <c r="V11" s="122">
        <f t="shared" si="10"/>
        <v>165.3</v>
      </c>
      <c r="W11" s="183"/>
      <c r="X11" s="162">
        <f t="shared" si="11"/>
        <v>155400</v>
      </c>
      <c r="Y11" s="162">
        <f t="shared" si="12"/>
        <v>160300</v>
      </c>
      <c r="Z11" s="162">
        <f t="shared" si="13"/>
        <v>165300</v>
      </c>
      <c r="AA11" s="162"/>
      <c r="AC11" s="21">
        <f t="shared" si="14"/>
        <v>8</v>
      </c>
      <c r="AD11" s="21">
        <v>7</v>
      </c>
      <c r="AE11" s="21">
        <v>1</v>
      </c>
      <c r="AF11" s="21"/>
      <c r="AG11" s="21">
        <f t="shared" si="6"/>
        <v>0</v>
      </c>
    </row>
    <row r="12" spans="1:33" x14ac:dyDescent="0.2">
      <c r="A12" s="20">
        <v>8</v>
      </c>
      <c r="B12" s="20" t="s">
        <v>12</v>
      </c>
      <c r="C12" s="21">
        <f t="shared" si="0"/>
        <v>22</v>
      </c>
      <c r="D12" s="21">
        <v>10</v>
      </c>
      <c r="E12" s="21">
        <v>6</v>
      </c>
      <c r="F12" s="21">
        <v>6</v>
      </c>
      <c r="G12" s="180">
        <v>18869.72</v>
      </c>
      <c r="H12" s="42">
        <f t="shared" si="1"/>
        <v>415.1</v>
      </c>
      <c r="I12" s="120">
        <v>1</v>
      </c>
      <c r="J12" s="22">
        <f t="shared" si="2"/>
        <v>23</v>
      </c>
      <c r="K12" s="180">
        <v>144180</v>
      </c>
      <c r="L12" s="181">
        <f t="shared" si="3"/>
        <v>144.19999999999999</v>
      </c>
      <c r="M12" s="370">
        <f t="shared" si="4"/>
        <v>559300</v>
      </c>
      <c r="N12" s="42">
        <v>509.1</v>
      </c>
      <c r="O12" s="182">
        <v>562.29999999999995</v>
      </c>
      <c r="P12" s="166">
        <f t="shared" si="15"/>
        <v>575500</v>
      </c>
      <c r="Q12" s="182">
        <v>602.70000000000005</v>
      </c>
      <c r="R12" s="166">
        <f t="shared" si="7"/>
        <v>593600</v>
      </c>
      <c r="S12" s="166">
        <f t="shared" si="16"/>
        <v>612300</v>
      </c>
      <c r="T12" s="122">
        <f t="shared" si="9"/>
        <v>575.5</v>
      </c>
      <c r="U12" s="122">
        <f t="shared" si="10"/>
        <v>593.6</v>
      </c>
      <c r="V12" s="122">
        <f t="shared" si="10"/>
        <v>612.29999999999995</v>
      </c>
      <c r="W12" s="183"/>
      <c r="X12" s="162">
        <f t="shared" si="11"/>
        <v>575500</v>
      </c>
      <c r="Y12" s="162">
        <f t="shared" si="12"/>
        <v>593600</v>
      </c>
      <c r="Z12" s="162">
        <f t="shared" si="13"/>
        <v>612300</v>
      </c>
      <c r="AA12" s="162"/>
      <c r="AC12" s="21">
        <f t="shared" si="14"/>
        <v>20</v>
      </c>
      <c r="AD12" s="21">
        <v>10</v>
      </c>
      <c r="AE12" s="21">
        <v>6</v>
      </c>
      <c r="AF12" s="21">
        <v>4</v>
      </c>
      <c r="AG12" s="21">
        <f t="shared" si="6"/>
        <v>2</v>
      </c>
    </row>
    <row r="13" spans="1:33" x14ac:dyDescent="0.2">
      <c r="A13" s="20">
        <v>9</v>
      </c>
      <c r="B13" s="20" t="s">
        <v>13</v>
      </c>
      <c r="C13" s="21">
        <f t="shared" si="0"/>
        <v>15</v>
      </c>
      <c r="D13" s="21">
        <v>9</v>
      </c>
      <c r="E13" s="21">
        <v>5</v>
      </c>
      <c r="F13" s="21">
        <v>1</v>
      </c>
      <c r="G13" s="180">
        <v>18869.72</v>
      </c>
      <c r="H13" s="42">
        <f t="shared" si="1"/>
        <v>283</v>
      </c>
      <c r="I13" s="120">
        <v>0</v>
      </c>
      <c r="J13" s="22">
        <f t="shared" si="2"/>
        <v>15</v>
      </c>
      <c r="K13" s="180">
        <v>144180</v>
      </c>
      <c r="L13" s="181">
        <f t="shared" si="3"/>
        <v>0</v>
      </c>
      <c r="M13" s="370">
        <f t="shared" si="4"/>
        <v>283000</v>
      </c>
      <c r="N13" s="42">
        <v>257.89999999999998</v>
      </c>
      <c r="O13" s="182">
        <v>284.8</v>
      </c>
      <c r="P13" s="166">
        <f t="shared" si="15"/>
        <v>291200</v>
      </c>
      <c r="Q13" s="182">
        <v>305.3</v>
      </c>
      <c r="R13" s="166">
        <f t="shared" si="7"/>
        <v>300400</v>
      </c>
      <c r="S13" s="166">
        <f t="shared" si="16"/>
        <v>309800</v>
      </c>
      <c r="T13" s="122">
        <f t="shared" si="9"/>
        <v>291.2</v>
      </c>
      <c r="U13" s="122">
        <f t="shared" si="10"/>
        <v>300.39999999999998</v>
      </c>
      <c r="V13" s="122">
        <f t="shared" si="10"/>
        <v>309.8</v>
      </c>
      <c r="W13" s="183"/>
      <c r="X13" s="162">
        <f t="shared" si="11"/>
        <v>291200</v>
      </c>
      <c r="Y13" s="162">
        <f t="shared" si="12"/>
        <v>300400</v>
      </c>
      <c r="Z13" s="162">
        <f t="shared" si="13"/>
        <v>309800</v>
      </c>
      <c r="AA13" s="162"/>
      <c r="AC13" s="21">
        <f t="shared" si="14"/>
        <v>14</v>
      </c>
      <c r="AD13" s="21">
        <v>10</v>
      </c>
      <c r="AE13" s="21">
        <v>3</v>
      </c>
      <c r="AF13" s="21">
        <v>1</v>
      </c>
      <c r="AG13" s="21">
        <f t="shared" si="6"/>
        <v>1</v>
      </c>
    </row>
    <row r="14" spans="1:33" ht="12" customHeight="1" x14ac:dyDescent="0.2">
      <c r="A14" s="20">
        <v>10</v>
      </c>
      <c r="B14" s="20" t="s">
        <v>33</v>
      </c>
      <c r="C14" s="21">
        <f t="shared" si="0"/>
        <v>10</v>
      </c>
      <c r="D14" s="21">
        <v>3</v>
      </c>
      <c r="E14" s="21">
        <v>7</v>
      </c>
      <c r="F14" s="21"/>
      <c r="G14" s="180">
        <v>18869.72</v>
      </c>
      <c r="H14" s="42">
        <f t="shared" si="1"/>
        <v>188.7</v>
      </c>
      <c r="I14" s="120">
        <v>0</v>
      </c>
      <c r="J14" s="22">
        <f t="shared" si="2"/>
        <v>10</v>
      </c>
      <c r="K14" s="180">
        <v>144180</v>
      </c>
      <c r="L14" s="181">
        <f t="shared" si="3"/>
        <v>0</v>
      </c>
      <c r="M14" s="371">
        <f t="shared" si="4"/>
        <v>188700</v>
      </c>
      <c r="N14" s="42">
        <v>184.2</v>
      </c>
      <c r="O14" s="121">
        <v>203.4</v>
      </c>
      <c r="P14" s="166">
        <f t="shared" si="15"/>
        <v>194200</v>
      </c>
      <c r="Q14" s="121">
        <v>218</v>
      </c>
      <c r="R14" s="166">
        <f t="shared" si="7"/>
        <v>200300</v>
      </c>
      <c r="S14" s="166">
        <f t="shared" si="16"/>
        <v>206600</v>
      </c>
      <c r="T14" s="122">
        <f t="shared" si="9"/>
        <v>194.2</v>
      </c>
      <c r="U14" s="122">
        <f t="shared" si="10"/>
        <v>200.3</v>
      </c>
      <c r="V14" s="122">
        <f t="shared" si="10"/>
        <v>206.6</v>
      </c>
      <c r="W14" s="183"/>
      <c r="X14" s="162">
        <f t="shared" si="11"/>
        <v>194200</v>
      </c>
      <c r="Y14" s="162">
        <f t="shared" si="12"/>
        <v>200300</v>
      </c>
      <c r="Z14" s="162">
        <f t="shared" si="13"/>
        <v>206600</v>
      </c>
      <c r="AA14" s="162"/>
      <c r="AC14" s="21">
        <f t="shared" si="14"/>
        <v>10</v>
      </c>
      <c r="AD14" s="21">
        <v>5</v>
      </c>
      <c r="AE14" s="21">
        <v>5</v>
      </c>
      <c r="AF14" s="21"/>
      <c r="AG14" s="21">
        <f t="shared" si="6"/>
        <v>0</v>
      </c>
    </row>
    <row r="15" spans="1:33" x14ac:dyDescent="0.2">
      <c r="A15" s="20">
        <v>11</v>
      </c>
      <c r="B15" s="20" t="s">
        <v>15</v>
      </c>
      <c r="C15" s="21">
        <f t="shared" si="0"/>
        <v>26</v>
      </c>
      <c r="D15" s="21">
        <v>20</v>
      </c>
      <c r="E15" s="21">
        <v>5</v>
      </c>
      <c r="F15" s="21">
        <v>1</v>
      </c>
      <c r="G15" s="180">
        <v>18869.72</v>
      </c>
      <c r="H15" s="42">
        <f t="shared" si="1"/>
        <v>490.6</v>
      </c>
      <c r="I15" s="120">
        <v>1</v>
      </c>
      <c r="J15" s="22">
        <f t="shared" si="2"/>
        <v>27</v>
      </c>
      <c r="K15" s="180">
        <v>144180</v>
      </c>
      <c r="L15" s="181">
        <f t="shared" si="3"/>
        <v>144.19999999999999</v>
      </c>
      <c r="M15" s="370">
        <f t="shared" si="4"/>
        <v>634800</v>
      </c>
      <c r="N15" s="42">
        <v>693.3</v>
      </c>
      <c r="O15" s="182">
        <v>664</v>
      </c>
      <c r="P15" s="166">
        <f t="shared" si="15"/>
        <v>653200</v>
      </c>
      <c r="Q15" s="182">
        <v>711.7</v>
      </c>
      <c r="R15" s="166">
        <f t="shared" si="7"/>
        <v>673800</v>
      </c>
      <c r="S15" s="166">
        <f t="shared" si="16"/>
        <v>695000</v>
      </c>
      <c r="T15" s="122">
        <f t="shared" si="9"/>
        <v>653.20000000000005</v>
      </c>
      <c r="U15" s="122">
        <f t="shared" si="10"/>
        <v>673.8</v>
      </c>
      <c r="V15" s="122">
        <f t="shared" si="10"/>
        <v>695</v>
      </c>
      <c r="W15" s="183"/>
      <c r="X15" s="162">
        <f t="shared" si="11"/>
        <v>653200</v>
      </c>
      <c r="Y15" s="162">
        <f t="shared" si="12"/>
        <v>673800</v>
      </c>
      <c r="Z15" s="162">
        <f t="shared" si="13"/>
        <v>695000</v>
      </c>
      <c r="AA15" s="162"/>
      <c r="AC15" s="21">
        <f t="shared" si="14"/>
        <v>30</v>
      </c>
      <c r="AD15" s="21">
        <v>25</v>
      </c>
      <c r="AE15" s="21">
        <v>4</v>
      </c>
      <c r="AF15" s="21">
        <v>1</v>
      </c>
      <c r="AG15" s="21">
        <f t="shared" si="6"/>
        <v>-4</v>
      </c>
    </row>
    <row r="16" spans="1:33" x14ac:dyDescent="0.2">
      <c r="A16" s="20">
        <v>12</v>
      </c>
      <c r="B16" s="20" t="s">
        <v>16</v>
      </c>
      <c r="C16" s="21">
        <f t="shared" si="0"/>
        <v>20</v>
      </c>
      <c r="D16" s="21">
        <v>10</v>
      </c>
      <c r="E16" s="21">
        <v>8</v>
      </c>
      <c r="F16" s="21">
        <v>2</v>
      </c>
      <c r="G16" s="180">
        <v>18869.72</v>
      </c>
      <c r="H16" s="42">
        <f t="shared" si="1"/>
        <v>377.4</v>
      </c>
      <c r="I16" s="120">
        <v>0</v>
      </c>
      <c r="J16" s="22">
        <f t="shared" si="2"/>
        <v>20</v>
      </c>
      <c r="K16" s="180">
        <v>144180</v>
      </c>
      <c r="L16" s="181">
        <f t="shared" si="3"/>
        <v>0</v>
      </c>
      <c r="M16" s="370">
        <f t="shared" si="4"/>
        <v>377400</v>
      </c>
      <c r="N16" s="42">
        <v>368.4</v>
      </c>
      <c r="O16" s="182">
        <v>406.9</v>
      </c>
      <c r="P16" s="166">
        <f t="shared" si="15"/>
        <v>388300</v>
      </c>
      <c r="Q16" s="182">
        <v>436.2</v>
      </c>
      <c r="R16" s="166">
        <f t="shared" si="7"/>
        <v>400600</v>
      </c>
      <c r="S16" s="166">
        <f t="shared" si="16"/>
        <v>413200</v>
      </c>
      <c r="T16" s="122">
        <f t="shared" si="9"/>
        <v>388.3</v>
      </c>
      <c r="U16" s="122">
        <f t="shared" si="10"/>
        <v>400.6</v>
      </c>
      <c r="V16" s="122">
        <f t="shared" si="10"/>
        <v>413.2</v>
      </c>
      <c r="W16" s="183"/>
      <c r="X16" s="162">
        <f t="shared" si="11"/>
        <v>388300</v>
      </c>
      <c r="Y16" s="162">
        <f t="shared" si="12"/>
        <v>400600</v>
      </c>
      <c r="Z16" s="162">
        <f t="shared" si="13"/>
        <v>413200</v>
      </c>
      <c r="AA16" s="162"/>
      <c r="AC16" s="21">
        <f t="shared" si="14"/>
        <v>20</v>
      </c>
      <c r="AD16" s="21">
        <v>10</v>
      </c>
      <c r="AE16" s="21">
        <v>8</v>
      </c>
      <c r="AF16" s="21">
        <v>2</v>
      </c>
      <c r="AG16" s="21">
        <f t="shared" si="6"/>
        <v>0</v>
      </c>
    </row>
    <row r="17" spans="1:33" x14ac:dyDescent="0.2">
      <c r="A17" s="20">
        <v>13</v>
      </c>
      <c r="B17" s="20" t="s">
        <v>17</v>
      </c>
      <c r="C17" s="21">
        <f t="shared" si="0"/>
        <v>12</v>
      </c>
      <c r="D17" s="21">
        <v>6</v>
      </c>
      <c r="E17" s="21">
        <v>6</v>
      </c>
      <c r="F17" s="21">
        <v>0</v>
      </c>
      <c r="G17" s="180">
        <v>18869.72</v>
      </c>
      <c r="H17" s="42">
        <f t="shared" si="1"/>
        <v>226.4</v>
      </c>
      <c r="I17" s="120">
        <v>0</v>
      </c>
      <c r="J17" s="22">
        <f t="shared" si="2"/>
        <v>12</v>
      </c>
      <c r="K17" s="180">
        <v>144180</v>
      </c>
      <c r="L17" s="181">
        <f t="shared" si="3"/>
        <v>0</v>
      </c>
      <c r="M17" s="370">
        <f t="shared" si="4"/>
        <v>226400</v>
      </c>
      <c r="N17" s="42">
        <v>398.6</v>
      </c>
      <c r="O17" s="182">
        <v>440.3</v>
      </c>
      <c r="P17" s="166">
        <f t="shared" si="15"/>
        <v>233000</v>
      </c>
      <c r="Q17" s="182">
        <v>471.8</v>
      </c>
      <c r="R17" s="166">
        <f t="shared" si="7"/>
        <v>240300</v>
      </c>
      <c r="S17" s="166">
        <f t="shared" si="16"/>
        <v>247900</v>
      </c>
      <c r="T17" s="122">
        <f t="shared" si="9"/>
        <v>233</v>
      </c>
      <c r="U17" s="122">
        <f t="shared" si="10"/>
        <v>240.3</v>
      </c>
      <c r="V17" s="122">
        <f t="shared" si="10"/>
        <v>247.9</v>
      </c>
      <c r="W17" s="183"/>
      <c r="X17" s="162">
        <f t="shared" si="11"/>
        <v>233000</v>
      </c>
      <c r="Y17" s="162">
        <f t="shared" si="12"/>
        <v>240300</v>
      </c>
      <c r="Z17" s="162">
        <f t="shared" si="13"/>
        <v>247900</v>
      </c>
      <c r="AA17" s="162"/>
      <c r="AC17" s="21">
        <f t="shared" si="14"/>
        <v>14</v>
      </c>
      <c r="AD17" s="21">
        <v>8</v>
      </c>
      <c r="AE17" s="21">
        <v>5</v>
      </c>
      <c r="AF17" s="21">
        <v>1</v>
      </c>
      <c r="AG17" s="21">
        <f t="shared" si="6"/>
        <v>-2</v>
      </c>
    </row>
    <row r="18" spans="1:33" x14ac:dyDescent="0.2">
      <c r="A18" s="20">
        <v>14</v>
      </c>
      <c r="B18" s="20" t="s">
        <v>18</v>
      </c>
      <c r="C18" s="21">
        <f t="shared" si="0"/>
        <v>14</v>
      </c>
      <c r="D18" s="21">
        <v>10</v>
      </c>
      <c r="E18" s="21">
        <v>2</v>
      </c>
      <c r="F18" s="21">
        <v>2</v>
      </c>
      <c r="G18" s="180">
        <v>18869.72</v>
      </c>
      <c r="H18" s="42">
        <f t="shared" si="1"/>
        <v>264.2</v>
      </c>
      <c r="I18" s="120">
        <v>0</v>
      </c>
      <c r="J18" s="22">
        <f t="shared" si="2"/>
        <v>14</v>
      </c>
      <c r="K18" s="180">
        <v>144180</v>
      </c>
      <c r="L18" s="181">
        <f t="shared" si="3"/>
        <v>0</v>
      </c>
      <c r="M18" s="370">
        <f t="shared" si="4"/>
        <v>264200</v>
      </c>
      <c r="N18" s="42">
        <v>349.9</v>
      </c>
      <c r="O18" s="182">
        <v>386.5</v>
      </c>
      <c r="P18" s="166">
        <f t="shared" si="15"/>
        <v>271900</v>
      </c>
      <c r="Q18" s="182">
        <v>414.4</v>
      </c>
      <c r="R18" s="166">
        <f t="shared" si="7"/>
        <v>280400</v>
      </c>
      <c r="S18" s="166">
        <f t="shared" si="16"/>
        <v>289200</v>
      </c>
      <c r="T18" s="122">
        <f t="shared" si="9"/>
        <v>271.89999999999998</v>
      </c>
      <c r="U18" s="122">
        <f t="shared" si="10"/>
        <v>280.39999999999998</v>
      </c>
      <c r="V18" s="122">
        <f t="shared" si="10"/>
        <v>289.2</v>
      </c>
      <c r="W18" s="183"/>
      <c r="X18" s="162">
        <f t="shared" si="11"/>
        <v>271900</v>
      </c>
      <c r="Y18" s="162">
        <f t="shared" si="12"/>
        <v>280400</v>
      </c>
      <c r="Z18" s="162">
        <f t="shared" si="13"/>
        <v>289200</v>
      </c>
      <c r="AA18" s="162"/>
      <c r="AC18" s="21">
        <f t="shared" si="14"/>
        <v>19</v>
      </c>
      <c r="AD18" s="21">
        <v>12</v>
      </c>
      <c r="AE18" s="21">
        <v>4</v>
      </c>
      <c r="AF18" s="21">
        <v>3</v>
      </c>
      <c r="AG18" s="21">
        <f t="shared" si="6"/>
        <v>-5</v>
      </c>
    </row>
    <row r="19" spans="1:33" x14ac:dyDescent="0.2">
      <c r="A19" s="20">
        <v>15</v>
      </c>
      <c r="B19" s="20" t="s">
        <v>19</v>
      </c>
      <c r="C19" s="21">
        <f t="shared" si="0"/>
        <v>12</v>
      </c>
      <c r="D19" s="21">
        <v>12</v>
      </c>
      <c r="E19" s="21"/>
      <c r="F19" s="21"/>
      <c r="G19" s="180">
        <v>18869.72</v>
      </c>
      <c r="H19" s="42">
        <f t="shared" si="1"/>
        <v>226.4</v>
      </c>
      <c r="I19" s="120">
        <v>0</v>
      </c>
      <c r="J19" s="22">
        <f t="shared" si="2"/>
        <v>12</v>
      </c>
      <c r="K19" s="180">
        <v>144180</v>
      </c>
      <c r="L19" s="181">
        <f t="shared" si="3"/>
        <v>0</v>
      </c>
      <c r="M19" s="370">
        <f t="shared" si="4"/>
        <v>226400</v>
      </c>
      <c r="N19" s="42">
        <v>239.5</v>
      </c>
      <c r="O19" s="182">
        <v>264.39999999999998</v>
      </c>
      <c r="P19" s="166">
        <f t="shared" si="15"/>
        <v>233000</v>
      </c>
      <c r="Q19" s="182">
        <v>283.5</v>
      </c>
      <c r="R19" s="166">
        <f t="shared" si="7"/>
        <v>240300</v>
      </c>
      <c r="S19" s="166">
        <f t="shared" si="16"/>
        <v>247900</v>
      </c>
      <c r="T19" s="122">
        <f t="shared" si="9"/>
        <v>233</v>
      </c>
      <c r="U19" s="122">
        <f t="shared" si="10"/>
        <v>240.3</v>
      </c>
      <c r="V19" s="122">
        <f t="shared" si="10"/>
        <v>247.9</v>
      </c>
      <c r="W19" s="183"/>
      <c r="X19" s="162">
        <f t="shared" si="11"/>
        <v>233000</v>
      </c>
      <c r="Y19" s="162">
        <f t="shared" si="12"/>
        <v>240300</v>
      </c>
      <c r="Z19" s="162">
        <f t="shared" si="13"/>
        <v>247900</v>
      </c>
      <c r="AA19" s="162"/>
      <c r="AC19" s="21">
        <f t="shared" si="14"/>
        <v>13</v>
      </c>
      <c r="AD19" s="21">
        <v>10</v>
      </c>
      <c r="AE19" s="21">
        <v>3</v>
      </c>
      <c r="AF19" s="21"/>
      <c r="AG19" s="21">
        <f t="shared" si="6"/>
        <v>-1</v>
      </c>
    </row>
    <row r="20" spans="1:33" x14ac:dyDescent="0.2">
      <c r="A20" s="20">
        <v>16</v>
      </c>
      <c r="B20" s="20" t="s">
        <v>20</v>
      </c>
      <c r="C20" s="21">
        <f t="shared" si="0"/>
        <v>25</v>
      </c>
      <c r="D20" s="21">
        <v>17</v>
      </c>
      <c r="E20" s="21">
        <v>7</v>
      </c>
      <c r="F20" s="21">
        <v>1</v>
      </c>
      <c r="G20" s="180">
        <v>18869.72</v>
      </c>
      <c r="H20" s="42">
        <f t="shared" si="1"/>
        <v>471.7</v>
      </c>
      <c r="I20" s="120">
        <v>1</v>
      </c>
      <c r="J20" s="22">
        <f t="shared" si="2"/>
        <v>26</v>
      </c>
      <c r="K20" s="180">
        <v>144180</v>
      </c>
      <c r="L20" s="181">
        <f t="shared" si="3"/>
        <v>144.19999999999999</v>
      </c>
      <c r="M20" s="370">
        <f t="shared" si="4"/>
        <v>615900</v>
      </c>
      <c r="N20" s="42">
        <v>509.1</v>
      </c>
      <c r="O20" s="182">
        <v>427.2</v>
      </c>
      <c r="P20" s="166">
        <f t="shared" si="15"/>
        <v>633700</v>
      </c>
      <c r="Q20" s="182">
        <v>479.7</v>
      </c>
      <c r="R20" s="166">
        <f t="shared" si="7"/>
        <v>653700</v>
      </c>
      <c r="S20" s="166">
        <f t="shared" si="16"/>
        <v>674300</v>
      </c>
      <c r="T20" s="122">
        <f t="shared" si="9"/>
        <v>633.70000000000005</v>
      </c>
      <c r="U20" s="122">
        <f t="shared" si="10"/>
        <v>653.70000000000005</v>
      </c>
      <c r="V20" s="122">
        <f t="shared" si="10"/>
        <v>674.3</v>
      </c>
      <c r="W20" s="183"/>
      <c r="X20" s="162">
        <f t="shared" si="11"/>
        <v>633700</v>
      </c>
      <c r="Y20" s="162">
        <f t="shared" si="12"/>
        <v>653700</v>
      </c>
      <c r="Z20" s="162">
        <f t="shared" si="13"/>
        <v>674300</v>
      </c>
      <c r="AA20" s="162"/>
      <c r="AC20" s="21">
        <f t="shared" si="14"/>
        <v>20</v>
      </c>
      <c r="AD20" s="21">
        <v>14</v>
      </c>
      <c r="AE20" s="21">
        <v>5</v>
      </c>
      <c r="AF20" s="21">
        <v>1</v>
      </c>
      <c r="AG20" s="21">
        <f t="shared" si="6"/>
        <v>5</v>
      </c>
    </row>
    <row r="21" spans="1:33" ht="12" customHeight="1" x14ac:dyDescent="0.2">
      <c r="A21" s="20">
        <v>17</v>
      </c>
      <c r="B21" s="20" t="s">
        <v>21</v>
      </c>
      <c r="C21" s="21">
        <f t="shared" si="0"/>
        <v>30</v>
      </c>
      <c r="D21" s="21">
        <v>20</v>
      </c>
      <c r="E21" s="21">
        <v>6</v>
      </c>
      <c r="F21" s="21">
        <v>4</v>
      </c>
      <c r="G21" s="180">
        <v>18869.72</v>
      </c>
      <c r="H21" s="42">
        <f t="shared" si="1"/>
        <v>566.1</v>
      </c>
      <c r="I21" s="120">
        <v>1</v>
      </c>
      <c r="J21" s="22">
        <f t="shared" si="2"/>
        <v>31</v>
      </c>
      <c r="K21" s="180">
        <v>144180</v>
      </c>
      <c r="L21" s="181">
        <f t="shared" si="3"/>
        <v>144.19999999999999</v>
      </c>
      <c r="M21" s="370">
        <f t="shared" si="4"/>
        <v>710300</v>
      </c>
      <c r="N21" s="42">
        <v>767</v>
      </c>
      <c r="O21" s="182">
        <v>847.1</v>
      </c>
      <c r="P21" s="166">
        <f t="shared" si="15"/>
        <v>730900</v>
      </c>
      <c r="Q21" s="182">
        <v>908</v>
      </c>
      <c r="R21" s="166">
        <f t="shared" si="7"/>
        <v>753900</v>
      </c>
      <c r="S21" s="166">
        <f t="shared" si="16"/>
        <v>777600</v>
      </c>
      <c r="T21" s="122">
        <f t="shared" si="9"/>
        <v>730.9</v>
      </c>
      <c r="U21" s="122">
        <f t="shared" si="10"/>
        <v>753.9</v>
      </c>
      <c r="V21" s="122">
        <f t="shared" si="10"/>
        <v>777.6</v>
      </c>
      <c r="W21" s="183"/>
      <c r="X21" s="162">
        <f t="shared" si="11"/>
        <v>730900</v>
      </c>
      <c r="Y21" s="162">
        <f t="shared" si="12"/>
        <v>753900</v>
      </c>
      <c r="Z21" s="162">
        <f t="shared" si="13"/>
        <v>777600</v>
      </c>
      <c r="AA21" s="162"/>
      <c r="AC21" s="21">
        <f t="shared" si="14"/>
        <v>34</v>
      </c>
      <c r="AD21" s="21">
        <v>24</v>
      </c>
      <c r="AE21" s="21">
        <v>6</v>
      </c>
      <c r="AF21" s="21">
        <v>4</v>
      </c>
      <c r="AG21" s="21">
        <f t="shared" si="6"/>
        <v>-4</v>
      </c>
    </row>
    <row r="22" spans="1:33" x14ac:dyDescent="0.2">
      <c r="A22" s="20">
        <v>18</v>
      </c>
      <c r="B22" s="20" t="s">
        <v>22</v>
      </c>
      <c r="C22" s="21">
        <f t="shared" si="0"/>
        <v>9</v>
      </c>
      <c r="D22" s="21">
        <v>4</v>
      </c>
      <c r="E22" s="21">
        <v>5</v>
      </c>
      <c r="F22" s="21"/>
      <c r="G22" s="180">
        <v>18869.72</v>
      </c>
      <c r="H22" s="42">
        <f t="shared" si="1"/>
        <v>169.8</v>
      </c>
      <c r="I22" s="120">
        <v>1</v>
      </c>
      <c r="J22" s="22">
        <f t="shared" si="2"/>
        <v>10</v>
      </c>
      <c r="K22" s="180">
        <v>144180</v>
      </c>
      <c r="L22" s="181">
        <f t="shared" si="3"/>
        <v>144.19999999999999</v>
      </c>
      <c r="M22" s="370">
        <f t="shared" si="4"/>
        <v>314000</v>
      </c>
      <c r="N22" s="42">
        <v>324.89999999999998</v>
      </c>
      <c r="O22" s="182">
        <v>358.9</v>
      </c>
      <c r="P22" s="166">
        <f t="shared" si="15"/>
        <v>323100</v>
      </c>
      <c r="Q22" s="182">
        <v>384.6</v>
      </c>
      <c r="R22" s="166">
        <f t="shared" si="7"/>
        <v>333300</v>
      </c>
      <c r="S22" s="166">
        <f t="shared" si="16"/>
        <v>343800</v>
      </c>
      <c r="T22" s="122">
        <f t="shared" si="9"/>
        <v>323.10000000000002</v>
      </c>
      <c r="U22" s="122">
        <f t="shared" si="10"/>
        <v>333.3</v>
      </c>
      <c r="V22" s="122">
        <f t="shared" si="10"/>
        <v>343.8</v>
      </c>
      <c r="W22" s="183"/>
      <c r="X22" s="162">
        <f t="shared" si="11"/>
        <v>323100</v>
      </c>
      <c r="Y22" s="162">
        <f t="shared" si="12"/>
        <v>333300</v>
      </c>
      <c r="Z22" s="162">
        <f t="shared" si="13"/>
        <v>343800</v>
      </c>
      <c r="AA22" s="162"/>
      <c r="AC22" s="21">
        <f t="shared" si="14"/>
        <v>10</v>
      </c>
      <c r="AD22" s="21">
        <v>5</v>
      </c>
      <c r="AE22" s="21">
        <v>4</v>
      </c>
      <c r="AF22" s="21">
        <v>1</v>
      </c>
      <c r="AG22" s="21">
        <f t="shared" si="6"/>
        <v>-1</v>
      </c>
    </row>
    <row r="23" spans="1:33" s="30" customFormat="1" x14ac:dyDescent="0.2">
      <c r="A23" s="24"/>
      <c r="B23" s="24" t="s">
        <v>53</v>
      </c>
      <c r="C23" s="25">
        <f>SUM(C5:C22)</f>
        <v>446</v>
      </c>
      <c r="D23" s="26">
        <f>SUM(D5:D22)</f>
        <v>263</v>
      </c>
      <c r="E23" s="26">
        <f>SUM(E5:E22)</f>
        <v>136</v>
      </c>
      <c r="F23" s="26">
        <f>SUM(F5:F22)</f>
        <v>47</v>
      </c>
      <c r="G23" s="24"/>
      <c r="H23" s="27">
        <f>SUM(H5:H22)</f>
        <v>8415.6999999999971</v>
      </c>
      <c r="I23" s="28">
        <f>SUM(I5:I22)</f>
        <v>16</v>
      </c>
      <c r="J23" s="28">
        <f>SUM(J5:J22)</f>
        <v>462</v>
      </c>
      <c r="K23" s="29"/>
      <c r="L23" s="29">
        <f t="shared" ref="L23:V23" si="17">SUM(L5:L22)</f>
        <v>2307</v>
      </c>
      <c r="M23" s="123">
        <f t="shared" si="17"/>
        <v>10722700</v>
      </c>
      <c r="N23" s="34">
        <f t="shared" ref="N23:S23" si="18">SUM(N5:N22)</f>
        <v>11393.3</v>
      </c>
      <c r="O23" s="123">
        <f t="shared" si="18"/>
        <v>12284.999999999998</v>
      </c>
      <c r="P23" s="34">
        <f t="shared" si="18"/>
        <v>11033200</v>
      </c>
      <c r="Q23" s="123">
        <f t="shared" si="18"/>
        <v>12776.400000000001</v>
      </c>
      <c r="R23" s="123">
        <f t="shared" si="18"/>
        <v>11380900</v>
      </c>
      <c r="S23" s="123">
        <f t="shared" si="18"/>
        <v>11738800</v>
      </c>
      <c r="T23" s="123">
        <f t="shared" si="17"/>
        <v>11033.199999999999</v>
      </c>
      <c r="U23" s="123">
        <f t="shared" si="17"/>
        <v>11380.899999999998</v>
      </c>
      <c r="V23" s="123">
        <f t="shared" si="17"/>
        <v>11738.800000000001</v>
      </c>
      <c r="W23" s="124"/>
      <c r="X23" s="347">
        <f>SUM(X5:X22)</f>
        <v>11033200</v>
      </c>
      <c r="Y23" s="348">
        <f t="shared" ref="Y23:Z23" si="19">SUM(Y5:Y22)</f>
        <v>11380900</v>
      </c>
      <c r="Z23" s="349">
        <f t="shared" si="19"/>
        <v>11738800</v>
      </c>
      <c r="AA23" s="162"/>
      <c r="AC23" s="25">
        <f>SUM(AC5:AC22)</f>
        <v>457</v>
      </c>
      <c r="AD23" s="26">
        <f>SUM(AD5:AD22)</f>
        <v>288</v>
      </c>
      <c r="AE23" s="26">
        <f>SUM(AE5:AE22)</f>
        <v>122</v>
      </c>
      <c r="AF23" s="26">
        <f>SUM(AF5:AF22)</f>
        <v>47</v>
      </c>
      <c r="AG23" s="21">
        <f t="shared" si="6"/>
        <v>-11</v>
      </c>
    </row>
    <row r="24" spans="1:33" x14ac:dyDescent="0.2">
      <c r="M24" s="160">
        <f>M23/1000/N23-100%</f>
        <v>-5.885915406423059E-2</v>
      </c>
      <c r="N24" s="161"/>
      <c r="O24" s="1">
        <f>11033200/M23</f>
        <v>1.0289572588993443</v>
      </c>
      <c r="P24" s="160"/>
      <c r="Q24" s="1">
        <f>11380900/M23</f>
        <v>1.0613837932610257</v>
      </c>
      <c r="S24" s="1">
        <f>11738800/M23</f>
        <v>1.0947615805720574</v>
      </c>
      <c r="T24" s="369">
        <v>11033.199999999999</v>
      </c>
      <c r="U24" s="1">
        <v>11380.899999999998</v>
      </c>
      <c r="V24" s="1">
        <v>11738.800000000001</v>
      </c>
      <c r="X24" s="3"/>
      <c r="Y24" s="2"/>
      <c r="Z24" s="2"/>
      <c r="AA24" s="3"/>
    </row>
    <row r="25" spans="1:33" x14ac:dyDescent="0.2">
      <c r="T25" s="372">
        <f>T24-T23</f>
        <v>0</v>
      </c>
      <c r="U25" s="372">
        <f t="shared" ref="U25:V25" si="20">U24-U23</f>
        <v>0</v>
      </c>
      <c r="V25" s="372">
        <f t="shared" si="20"/>
        <v>0</v>
      </c>
      <c r="X25" s="79"/>
      <c r="Y25" s="159"/>
      <c r="Z25" s="159"/>
      <c r="AA25" s="79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81"/>
    </row>
  </sheetData>
  <sheetProtection selectLockedCells="1" selectUnlockedCells="1"/>
  <mergeCells count="22">
    <mergeCell ref="R3:R4"/>
    <mergeCell ref="S3:S4"/>
    <mergeCell ref="T3:V3"/>
    <mergeCell ref="AC3:AC4"/>
    <mergeCell ref="AD3:AF3"/>
    <mergeCell ref="X4:Z4"/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101" customWidth="1"/>
    <col min="2" max="2" width="17.7109375" style="101" customWidth="1"/>
    <col min="3" max="3" width="14.28515625" style="101" customWidth="1"/>
    <col min="4" max="4" width="7.140625" style="101" customWidth="1"/>
    <col min="5" max="5" width="12.42578125" style="113" customWidth="1"/>
    <col min="6" max="6" width="13" style="114" customWidth="1"/>
    <col min="7" max="7" width="11.7109375" style="101" customWidth="1"/>
    <col min="8" max="8" width="14.7109375" style="101" customWidth="1"/>
    <col min="9" max="10" width="11.7109375" style="101" customWidth="1"/>
    <col min="11" max="11" width="13.42578125" style="101" bestFit="1" customWidth="1"/>
    <col min="12" max="12" width="13.5703125" style="101" bestFit="1" customWidth="1"/>
    <col min="13" max="19" width="13.5703125" style="101" customWidth="1"/>
    <col min="20" max="20" width="10" style="101" customWidth="1"/>
    <col min="21" max="179" width="9.140625" style="101"/>
    <col min="180" max="180" width="5" style="101" customWidth="1"/>
    <col min="181" max="181" width="17.7109375" style="101" customWidth="1"/>
    <col min="182" max="182" width="14.28515625" style="101" customWidth="1"/>
    <col min="183" max="183" width="7.140625" style="101" customWidth="1"/>
    <col min="184" max="184" width="12.42578125" style="101" customWidth="1"/>
    <col min="185" max="185" width="13" style="101" customWidth="1"/>
    <col min="186" max="191" width="9.140625" style="101" customWidth="1"/>
    <col min="192" max="195" width="13.28515625" style="101" customWidth="1"/>
    <col min="196" max="196" width="10.42578125" style="101" customWidth="1"/>
    <col min="197" max="200" width="9.140625" style="101" customWidth="1"/>
    <col min="201" max="201" width="15.7109375" style="101" customWidth="1"/>
    <col min="202" max="202" width="9.140625" style="101" customWidth="1"/>
    <col min="203" max="203" width="15.28515625" style="101" bestFit="1" customWidth="1"/>
    <col min="204" max="204" width="9.140625" style="101" customWidth="1"/>
    <col min="205" max="435" width="9.140625" style="101"/>
    <col min="436" max="436" width="5" style="101" customWidth="1"/>
    <col min="437" max="437" width="17.7109375" style="101" customWidth="1"/>
    <col min="438" max="438" width="14.28515625" style="101" customWidth="1"/>
    <col min="439" max="439" width="7.140625" style="101" customWidth="1"/>
    <col min="440" max="440" width="12.42578125" style="101" customWidth="1"/>
    <col min="441" max="441" width="13" style="101" customWidth="1"/>
    <col min="442" max="447" width="9.140625" style="101" customWidth="1"/>
    <col min="448" max="451" width="13.28515625" style="101" customWidth="1"/>
    <col min="452" max="452" width="10.42578125" style="101" customWidth="1"/>
    <col min="453" max="456" width="9.140625" style="101" customWidth="1"/>
    <col min="457" max="457" width="15.7109375" style="101" customWidth="1"/>
    <col min="458" max="458" width="9.140625" style="101" customWidth="1"/>
    <col min="459" max="459" width="15.28515625" style="101" bestFit="1" customWidth="1"/>
    <col min="460" max="460" width="9.140625" style="101" customWidth="1"/>
    <col min="461" max="691" width="9.140625" style="101"/>
    <col min="692" max="692" width="5" style="101" customWidth="1"/>
    <col min="693" max="693" width="17.7109375" style="101" customWidth="1"/>
    <col min="694" max="694" width="14.28515625" style="101" customWidth="1"/>
    <col min="695" max="695" width="7.140625" style="101" customWidth="1"/>
    <col min="696" max="696" width="12.42578125" style="101" customWidth="1"/>
    <col min="697" max="697" width="13" style="101" customWidth="1"/>
    <col min="698" max="703" width="9.140625" style="101" customWidth="1"/>
    <col min="704" max="707" width="13.28515625" style="101" customWidth="1"/>
    <col min="708" max="708" width="10.42578125" style="101" customWidth="1"/>
    <col min="709" max="712" width="9.140625" style="101" customWidth="1"/>
    <col min="713" max="713" width="15.7109375" style="101" customWidth="1"/>
    <col min="714" max="714" width="9.140625" style="101" customWidth="1"/>
    <col min="715" max="715" width="15.28515625" style="101" bestFit="1" customWidth="1"/>
    <col min="716" max="716" width="9.140625" style="101" customWidth="1"/>
    <col min="717" max="947" width="9.140625" style="101"/>
    <col min="948" max="948" width="5" style="101" customWidth="1"/>
    <col min="949" max="949" width="17.7109375" style="101" customWidth="1"/>
    <col min="950" max="950" width="14.28515625" style="101" customWidth="1"/>
    <col min="951" max="951" width="7.140625" style="101" customWidth="1"/>
    <col min="952" max="952" width="12.42578125" style="101" customWidth="1"/>
    <col min="953" max="953" width="13" style="101" customWidth="1"/>
    <col min="954" max="959" width="9.140625" style="101" customWidth="1"/>
    <col min="960" max="963" width="13.28515625" style="101" customWidth="1"/>
    <col min="964" max="964" width="10.42578125" style="101" customWidth="1"/>
    <col min="965" max="968" width="9.140625" style="101" customWidth="1"/>
    <col min="969" max="969" width="15.7109375" style="101" customWidth="1"/>
    <col min="970" max="970" width="9.140625" style="101" customWidth="1"/>
    <col min="971" max="971" width="15.28515625" style="101" bestFit="1" customWidth="1"/>
    <col min="972" max="972" width="9.140625" style="101" customWidth="1"/>
    <col min="973" max="1203" width="9.140625" style="101"/>
    <col min="1204" max="1204" width="5" style="101" customWidth="1"/>
    <col min="1205" max="1205" width="17.7109375" style="101" customWidth="1"/>
    <col min="1206" max="1206" width="14.28515625" style="101" customWidth="1"/>
    <col min="1207" max="1207" width="7.140625" style="101" customWidth="1"/>
    <col min="1208" max="1208" width="12.42578125" style="101" customWidth="1"/>
    <col min="1209" max="1209" width="13" style="101" customWidth="1"/>
    <col min="1210" max="1215" width="9.140625" style="101" customWidth="1"/>
    <col min="1216" max="1219" width="13.28515625" style="101" customWidth="1"/>
    <col min="1220" max="1220" width="10.42578125" style="101" customWidth="1"/>
    <col min="1221" max="1224" width="9.140625" style="101" customWidth="1"/>
    <col min="1225" max="1225" width="15.7109375" style="101" customWidth="1"/>
    <col min="1226" max="1226" width="9.140625" style="101" customWidth="1"/>
    <col min="1227" max="1227" width="15.28515625" style="101" bestFit="1" customWidth="1"/>
    <col min="1228" max="1228" width="9.140625" style="101" customWidth="1"/>
    <col min="1229" max="1459" width="9.140625" style="101"/>
    <col min="1460" max="1460" width="5" style="101" customWidth="1"/>
    <col min="1461" max="1461" width="17.7109375" style="101" customWidth="1"/>
    <col min="1462" max="1462" width="14.28515625" style="101" customWidth="1"/>
    <col min="1463" max="1463" width="7.140625" style="101" customWidth="1"/>
    <col min="1464" max="1464" width="12.42578125" style="101" customWidth="1"/>
    <col min="1465" max="1465" width="13" style="101" customWidth="1"/>
    <col min="1466" max="1471" width="9.140625" style="101" customWidth="1"/>
    <col min="1472" max="1475" width="13.28515625" style="101" customWidth="1"/>
    <col min="1476" max="1476" width="10.42578125" style="101" customWidth="1"/>
    <col min="1477" max="1480" width="9.140625" style="101" customWidth="1"/>
    <col min="1481" max="1481" width="15.7109375" style="101" customWidth="1"/>
    <col min="1482" max="1482" width="9.140625" style="101" customWidth="1"/>
    <col min="1483" max="1483" width="15.28515625" style="101" bestFit="1" customWidth="1"/>
    <col min="1484" max="1484" width="9.140625" style="101" customWidth="1"/>
    <col min="1485" max="1715" width="9.140625" style="101"/>
    <col min="1716" max="1716" width="5" style="101" customWidth="1"/>
    <col min="1717" max="1717" width="17.7109375" style="101" customWidth="1"/>
    <col min="1718" max="1718" width="14.28515625" style="101" customWidth="1"/>
    <col min="1719" max="1719" width="7.140625" style="101" customWidth="1"/>
    <col min="1720" max="1720" width="12.42578125" style="101" customWidth="1"/>
    <col min="1721" max="1721" width="13" style="101" customWidth="1"/>
    <col min="1722" max="1727" width="9.140625" style="101" customWidth="1"/>
    <col min="1728" max="1731" width="13.28515625" style="101" customWidth="1"/>
    <col min="1732" max="1732" width="10.42578125" style="101" customWidth="1"/>
    <col min="1733" max="1736" width="9.140625" style="101" customWidth="1"/>
    <col min="1737" max="1737" width="15.7109375" style="101" customWidth="1"/>
    <col min="1738" max="1738" width="9.140625" style="101" customWidth="1"/>
    <col min="1739" max="1739" width="15.28515625" style="101" bestFit="1" customWidth="1"/>
    <col min="1740" max="1740" width="9.140625" style="101" customWidth="1"/>
    <col min="1741" max="1971" width="9.140625" style="101"/>
    <col min="1972" max="1972" width="5" style="101" customWidth="1"/>
    <col min="1973" max="1973" width="17.7109375" style="101" customWidth="1"/>
    <col min="1974" max="1974" width="14.28515625" style="101" customWidth="1"/>
    <col min="1975" max="1975" width="7.140625" style="101" customWidth="1"/>
    <col min="1976" max="1976" width="12.42578125" style="101" customWidth="1"/>
    <col min="1977" max="1977" width="13" style="101" customWidth="1"/>
    <col min="1978" max="1983" width="9.140625" style="101" customWidth="1"/>
    <col min="1984" max="1987" width="13.28515625" style="101" customWidth="1"/>
    <col min="1988" max="1988" width="10.42578125" style="101" customWidth="1"/>
    <col min="1989" max="1992" width="9.140625" style="101" customWidth="1"/>
    <col min="1993" max="1993" width="15.7109375" style="101" customWidth="1"/>
    <col min="1994" max="1994" width="9.140625" style="101" customWidth="1"/>
    <col min="1995" max="1995" width="15.28515625" style="101" bestFit="1" customWidth="1"/>
    <col min="1996" max="1996" width="9.140625" style="101" customWidth="1"/>
    <col min="1997" max="2227" width="9.140625" style="101"/>
    <col min="2228" max="2228" width="5" style="101" customWidth="1"/>
    <col min="2229" max="2229" width="17.7109375" style="101" customWidth="1"/>
    <col min="2230" max="2230" width="14.28515625" style="101" customWidth="1"/>
    <col min="2231" max="2231" width="7.140625" style="101" customWidth="1"/>
    <col min="2232" max="2232" width="12.42578125" style="101" customWidth="1"/>
    <col min="2233" max="2233" width="13" style="101" customWidth="1"/>
    <col min="2234" max="2239" width="9.140625" style="101" customWidth="1"/>
    <col min="2240" max="2243" width="13.28515625" style="101" customWidth="1"/>
    <col min="2244" max="2244" width="10.42578125" style="101" customWidth="1"/>
    <col min="2245" max="2248" width="9.140625" style="101" customWidth="1"/>
    <col min="2249" max="2249" width="15.7109375" style="101" customWidth="1"/>
    <col min="2250" max="2250" width="9.140625" style="101" customWidth="1"/>
    <col min="2251" max="2251" width="15.28515625" style="101" bestFit="1" customWidth="1"/>
    <col min="2252" max="2252" width="9.140625" style="101" customWidth="1"/>
    <col min="2253" max="2483" width="9.140625" style="101"/>
    <col min="2484" max="2484" width="5" style="101" customWidth="1"/>
    <col min="2485" max="2485" width="17.7109375" style="101" customWidth="1"/>
    <col min="2486" max="2486" width="14.28515625" style="101" customWidth="1"/>
    <col min="2487" max="2487" width="7.140625" style="101" customWidth="1"/>
    <col min="2488" max="2488" width="12.42578125" style="101" customWidth="1"/>
    <col min="2489" max="2489" width="13" style="101" customWidth="1"/>
    <col min="2490" max="2495" width="9.140625" style="101" customWidth="1"/>
    <col min="2496" max="2499" width="13.28515625" style="101" customWidth="1"/>
    <col min="2500" max="2500" width="10.42578125" style="101" customWidth="1"/>
    <col min="2501" max="2504" width="9.140625" style="101" customWidth="1"/>
    <col min="2505" max="2505" width="15.7109375" style="101" customWidth="1"/>
    <col min="2506" max="2506" width="9.140625" style="101" customWidth="1"/>
    <col min="2507" max="2507" width="15.28515625" style="101" bestFit="1" customWidth="1"/>
    <col min="2508" max="2508" width="9.140625" style="101" customWidth="1"/>
    <col min="2509" max="2739" width="9.140625" style="101"/>
    <col min="2740" max="2740" width="5" style="101" customWidth="1"/>
    <col min="2741" max="2741" width="17.7109375" style="101" customWidth="1"/>
    <col min="2742" max="2742" width="14.28515625" style="101" customWidth="1"/>
    <col min="2743" max="2743" width="7.140625" style="101" customWidth="1"/>
    <col min="2744" max="2744" width="12.42578125" style="101" customWidth="1"/>
    <col min="2745" max="2745" width="13" style="101" customWidth="1"/>
    <col min="2746" max="2751" width="9.140625" style="101" customWidth="1"/>
    <col min="2752" max="2755" width="13.28515625" style="101" customWidth="1"/>
    <col min="2756" max="2756" width="10.42578125" style="101" customWidth="1"/>
    <col min="2757" max="2760" width="9.140625" style="101" customWidth="1"/>
    <col min="2761" max="2761" width="15.7109375" style="101" customWidth="1"/>
    <col min="2762" max="2762" width="9.140625" style="101" customWidth="1"/>
    <col min="2763" max="2763" width="15.28515625" style="101" bestFit="1" customWidth="1"/>
    <col min="2764" max="2764" width="9.140625" style="101" customWidth="1"/>
    <col min="2765" max="2995" width="9.140625" style="101"/>
    <col min="2996" max="2996" width="5" style="101" customWidth="1"/>
    <col min="2997" max="2997" width="17.7109375" style="101" customWidth="1"/>
    <col min="2998" max="2998" width="14.28515625" style="101" customWidth="1"/>
    <col min="2999" max="2999" width="7.140625" style="101" customWidth="1"/>
    <col min="3000" max="3000" width="12.42578125" style="101" customWidth="1"/>
    <col min="3001" max="3001" width="13" style="101" customWidth="1"/>
    <col min="3002" max="3007" width="9.140625" style="101" customWidth="1"/>
    <col min="3008" max="3011" width="13.28515625" style="101" customWidth="1"/>
    <col min="3012" max="3012" width="10.42578125" style="101" customWidth="1"/>
    <col min="3013" max="3016" width="9.140625" style="101" customWidth="1"/>
    <col min="3017" max="3017" width="15.7109375" style="101" customWidth="1"/>
    <col min="3018" max="3018" width="9.140625" style="101" customWidth="1"/>
    <col min="3019" max="3019" width="15.28515625" style="101" bestFit="1" customWidth="1"/>
    <col min="3020" max="3020" width="9.140625" style="101" customWidth="1"/>
    <col min="3021" max="3251" width="9.140625" style="101"/>
    <col min="3252" max="3252" width="5" style="101" customWidth="1"/>
    <col min="3253" max="3253" width="17.7109375" style="101" customWidth="1"/>
    <col min="3254" max="3254" width="14.28515625" style="101" customWidth="1"/>
    <col min="3255" max="3255" width="7.140625" style="101" customWidth="1"/>
    <col min="3256" max="3256" width="12.42578125" style="101" customWidth="1"/>
    <col min="3257" max="3257" width="13" style="101" customWidth="1"/>
    <col min="3258" max="3263" width="9.140625" style="101" customWidth="1"/>
    <col min="3264" max="3267" width="13.28515625" style="101" customWidth="1"/>
    <col min="3268" max="3268" width="10.42578125" style="101" customWidth="1"/>
    <col min="3269" max="3272" width="9.140625" style="101" customWidth="1"/>
    <col min="3273" max="3273" width="15.7109375" style="101" customWidth="1"/>
    <col min="3274" max="3274" width="9.140625" style="101" customWidth="1"/>
    <col min="3275" max="3275" width="15.28515625" style="101" bestFit="1" customWidth="1"/>
    <col min="3276" max="3276" width="9.140625" style="101" customWidth="1"/>
    <col min="3277" max="3507" width="9.140625" style="101"/>
    <col min="3508" max="3508" width="5" style="101" customWidth="1"/>
    <col min="3509" max="3509" width="17.7109375" style="101" customWidth="1"/>
    <col min="3510" max="3510" width="14.28515625" style="101" customWidth="1"/>
    <col min="3511" max="3511" width="7.140625" style="101" customWidth="1"/>
    <col min="3512" max="3512" width="12.42578125" style="101" customWidth="1"/>
    <col min="3513" max="3513" width="13" style="101" customWidth="1"/>
    <col min="3514" max="3519" width="9.140625" style="101" customWidth="1"/>
    <col min="3520" max="3523" width="13.28515625" style="101" customWidth="1"/>
    <col min="3524" max="3524" width="10.42578125" style="101" customWidth="1"/>
    <col min="3525" max="3528" width="9.140625" style="101" customWidth="1"/>
    <col min="3529" max="3529" width="15.7109375" style="101" customWidth="1"/>
    <col min="3530" max="3530" width="9.140625" style="101" customWidth="1"/>
    <col min="3531" max="3531" width="15.28515625" style="101" bestFit="1" customWidth="1"/>
    <col min="3532" max="3532" width="9.140625" style="101" customWidth="1"/>
    <col min="3533" max="3763" width="9.140625" style="101"/>
    <col min="3764" max="3764" width="5" style="101" customWidth="1"/>
    <col min="3765" max="3765" width="17.7109375" style="101" customWidth="1"/>
    <col min="3766" max="3766" width="14.28515625" style="101" customWidth="1"/>
    <col min="3767" max="3767" width="7.140625" style="101" customWidth="1"/>
    <col min="3768" max="3768" width="12.42578125" style="101" customWidth="1"/>
    <col min="3769" max="3769" width="13" style="101" customWidth="1"/>
    <col min="3770" max="3775" width="9.140625" style="101" customWidth="1"/>
    <col min="3776" max="3779" width="13.28515625" style="101" customWidth="1"/>
    <col min="3780" max="3780" width="10.42578125" style="101" customWidth="1"/>
    <col min="3781" max="3784" width="9.140625" style="101" customWidth="1"/>
    <col min="3785" max="3785" width="15.7109375" style="101" customWidth="1"/>
    <col min="3786" max="3786" width="9.140625" style="101" customWidth="1"/>
    <col min="3787" max="3787" width="15.28515625" style="101" bestFit="1" customWidth="1"/>
    <col min="3788" max="3788" width="9.140625" style="101" customWidth="1"/>
    <col min="3789" max="4019" width="9.140625" style="101"/>
    <col min="4020" max="4020" width="5" style="101" customWidth="1"/>
    <col min="4021" max="4021" width="17.7109375" style="101" customWidth="1"/>
    <col min="4022" max="4022" width="14.28515625" style="101" customWidth="1"/>
    <col min="4023" max="4023" width="7.140625" style="101" customWidth="1"/>
    <col min="4024" max="4024" width="12.42578125" style="101" customWidth="1"/>
    <col min="4025" max="4025" width="13" style="101" customWidth="1"/>
    <col min="4026" max="4031" width="9.140625" style="101" customWidth="1"/>
    <col min="4032" max="4035" width="13.28515625" style="101" customWidth="1"/>
    <col min="4036" max="4036" width="10.42578125" style="101" customWidth="1"/>
    <col min="4037" max="4040" width="9.140625" style="101" customWidth="1"/>
    <col min="4041" max="4041" width="15.7109375" style="101" customWidth="1"/>
    <col min="4042" max="4042" width="9.140625" style="101" customWidth="1"/>
    <col min="4043" max="4043" width="15.28515625" style="101" bestFit="1" customWidth="1"/>
    <col min="4044" max="4044" width="9.140625" style="101" customWidth="1"/>
    <col min="4045" max="4275" width="9.140625" style="101"/>
    <col min="4276" max="4276" width="5" style="101" customWidth="1"/>
    <col min="4277" max="4277" width="17.7109375" style="101" customWidth="1"/>
    <col min="4278" max="4278" width="14.28515625" style="101" customWidth="1"/>
    <col min="4279" max="4279" width="7.140625" style="101" customWidth="1"/>
    <col min="4280" max="4280" width="12.42578125" style="101" customWidth="1"/>
    <col min="4281" max="4281" width="13" style="101" customWidth="1"/>
    <col min="4282" max="4287" width="9.140625" style="101" customWidth="1"/>
    <col min="4288" max="4291" width="13.28515625" style="101" customWidth="1"/>
    <col min="4292" max="4292" width="10.42578125" style="101" customWidth="1"/>
    <col min="4293" max="4296" width="9.140625" style="101" customWidth="1"/>
    <col min="4297" max="4297" width="15.7109375" style="101" customWidth="1"/>
    <col min="4298" max="4298" width="9.140625" style="101" customWidth="1"/>
    <col min="4299" max="4299" width="15.28515625" style="101" bestFit="1" customWidth="1"/>
    <col min="4300" max="4300" width="9.140625" style="101" customWidth="1"/>
    <col min="4301" max="4531" width="9.140625" style="101"/>
    <col min="4532" max="4532" width="5" style="101" customWidth="1"/>
    <col min="4533" max="4533" width="17.7109375" style="101" customWidth="1"/>
    <col min="4534" max="4534" width="14.28515625" style="101" customWidth="1"/>
    <col min="4535" max="4535" width="7.140625" style="101" customWidth="1"/>
    <col min="4536" max="4536" width="12.42578125" style="101" customWidth="1"/>
    <col min="4537" max="4537" width="13" style="101" customWidth="1"/>
    <col min="4538" max="4543" width="9.140625" style="101" customWidth="1"/>
    <col min="4544" max="4547" width="13.28515625" style="101" customWidth="1"/>
    <col min="4548" max="4548" width="10.42578125" style="101" customWidth="1"/>
    <col min="4549" max="4552" width="9.140625" style="101" customWidth="1"/>
    <col min="4553" max="4553" width="15.7109375" style="101" customWidth="1"/>
    <col min="4554" max="4554" width="9.140625" style="101" customWidth="1"/>
    <col min="4555" max="4555" width="15.28515625" style="101" bestFit="1" customWidth="1"/>
    <col min="4556" max="4556" width="9.140625" style="101" customWidth="1"/>
    <col min="4557" max="4787" width="9.140625" style="101"/>
    <col min="4788" max="4788" width="5" style="101" customWidth="1"/>
    <col min="4789" max="4789" width="17.7109375" style="101" customWidth="1"/>
    <col min="4790" max="4790" width="14.28515625" style="101" customWidth="1"/>
    <col min="4791" max="4791" width="7.140625" style="101" customWidth="1"/>
    <col min="4792" max="4792" width="12.42578125" style="101" customWidth="1"/>
    <col min="4793" max="4793" width="13" style="101" customWidth="1"/>
    <col min="4794" max="4799" width="9.140625" style="101" customWidth="1"/>
    <col min="4800" max="4803" width="13.28515625" style="101" customWidth="1"/>
    <col min="4804" max="4804" width="10.42578125" style="101" customWidth="1"/>
    <col min="4805" max="4808" width="9.140625" style="101" customWidth="1"/>
    <col min="4809" max="4809" width="15.7109375" style="101" customWidth="1"/>
    <col min="4810" max="4810" width="9.140625" style="101" customWidth="1"/>
    <col min="4811" max="4811" width="15.28515625" style="101" bestFit="1" customWidth="1"/>
    <col min="4812" max="4812" width="9.140625" style="101" customWidth="1"/>
    <col min="4813" max="5043" width="9.140625" style="101"/>
    <col min="5044" max="5044" width="5" style="101" customWidth="1"/>
    <col min="5045" max="5045" width="17.7109375" style="101" customWidth="1"/>
    <col min="5046" max="5046" width="14.28515625" style="101" customWidth="1"/>
    <col min="5047" max="5047" width="7.140625" style="101" customWidth="1"/>
    <col min="5048" max="5048" width="12.42578125" style="101" customWidth="1"/>
    <col min="5049" max="5049" width="13" style="101" customWidth="1"/>
    <col min="5050" max="5055" width="9.140625" style="101" customWidth="1"/>
    <col min="5056" max="5059" width="13.28515625" style="101" customWidth="1"/>
    <col min="5060" max="5060" width="10.42578125" style="101" customWidth="1"/>
    <col min="5061" max="5064" width="9.140625" style="101" customWidth="1"/>
    <col min="5065" max="5065" width="15.7109375" style="101" customWidth="1"/>
    <col min="5066" max="5066" width="9.140625" style="101" customWidth="1"/>
    <col min="5067" max="5067" width="15.28515625" style="101" bestFit="1" customWidth="1"/>
    <col min="5068" max="5068" width="9.140625" style="101" customWidth="1"/>
    <col min="5069" max="5299" width="9.140625" style="101"/>
    <col min="5300" max="5300" width="5" style="101" customWidth="1"/>
    <col min="5301" max="5301" width="17.7109375" style="101" customWidth="1"/>
    <col min="5302" max="5302" width="14.28515625" style="101" customWidth="1"/>
    <col min="5303" max="5303" width="7.140625" style="101" customWidth="1"/>
    <col min="5304" max="5304" width="12.42578125" style="101" customWidth="1"/>
    <col min="5305" max="5305" width="13" style="101" customWidth="1"/>
    <col min="5306" max="5311" width="9.140625" style="101" customWidth="1"/>
    <col min="5312" max="5315" width="13.28515625" style="101" customWidth="1"/>
    <col min="5316" max="5316" width="10.42578125" style="101" customWidth="1"/>
    <col min="5317" max="5320" width="9.140625" style="101" customWidth="1"/>
    <col min="5321" max="5321" width="15.7109375" style="101" customWidth="1"/>
    <col min="5322" max="5322" width="9.140625" style="101" customWidth="1"/>
    <col min="5323" max="5323" width="15.28515625" style="101" bestFit="1" customWidth="1"/>
    <col min="5324" max="5324" width="9.140625" style="101" customWidth="1"/>
    <col min="5325" max="5555" width="9.140625" style="101"/>
    <col min="5556" max="5556" width="5" style="101" customWidth="1"/>
    <col min="5557" max="5557" width="17.7109375" style="101" customWidth="1"/>
    <col min="5558" max="5558" width="14.28515625" style="101" customWidth="1"/>
    <col min="5559" max="5559" width="7.140625" style="101" customWidth="1"/>
    <col min="5560" max="5560" width="12.42578125" style="101" customWidth="1"/>
    <col min="5561" max="5561" width="13" style="101" customWidth="1"/>
    <col min="5562" max="5567" width="9.140625" style="101" customWidth="1"/>
    <col min="5568" max="5571" width="13.28515625" style="101" customWidth="1"/>
    <col min="5572" max="5572" width="10.42578125" style="101" customWidth="1"/>
    <col min="5573" max="5576" width="9.140625" style="101" customWidth="1"/>
    <col min="5577" max="5577" width="15.7109375" style="101" customWidth="1"/>
    <col min="5578" max="5578" width="9.140625" style="101" customWidth="1"/>
    <col min="5579" max="5579" width="15.28515625" style="101" bestFit="1" customWidth="1"/>
    <col min="5580" max="5580" width="9.140625" style="101" customWidth="1"/>
    <col min="5581" max="5811" width="9.140625" style="101"/>
    <col min="5812" max="5812" width="5" style="101" customWidth="1"/>
    <col min="5813" max="5813" width="17.7109375" style="101" customWidth="1"/>
    <col min="5814" max="5814" width="14.28515625" style="101" customWidth="1"/>
    <col min="5815" max="5815" width="7.140625" style="101" customWidth="1"/>
    <col min="5816" max="5816" width="12.42578125" style="101" customWidth="1"/>
    <col min="5817" max="5817" width="13" style="101" customWidth="1"/>
    <col min="5818" max="5823" width="9.140625" style="101" customWidth="1"/>
    <col min="5824" max="5827" width="13.28515625" style="101" customWidth="1"/>
    <col min="5828" max="5828" width="10.42578125" style="101" customWidth="1"/>
    <col min="5829" max="5832" width="9.140625" style="101" customWidth="1"/>
    <col min="5833" max="5833" width="15.7109375" style="101" customWidth="1"/>
    <col min="5834" max="5834" width="9.140625" style="101" customWidth="1"/>
    <col min="5835" max="5835" width="15.28515625" style="101" bestFit="1" customWidth="1"/>
    <col min="5836" max="5836" width="9.140625" style="101" customWidth="1"/>
    <col min="5837" max="6067" width="9.140625" style="101"/>
    <col min="6068" max="6068" width="5" style="101" customWidth="1"/>
    <col min="6069" max="6069" width="17.7109375" style="101" customWidth="1"/>
    <col min="6070" max="6070" width="14.28515625" style="101" customWidth="1"/>
    <col min="6071" max="6071" width="7.140625" style="101" customWidth="1"/>
    <col min="6072" max="6072" width="12.42578125" style="101" customWidth="1"/>
    <col min="6073" max="6073" width="13" style="101" customWidth="1"/>
    <col min="6074" max="6079" width="9.140625" style="101" customWidth="1"/>
    <col min="6080" max="6083" width="13.28515625" style="101" customWidth="1"/>
    <col min="6084" max="6084" width="10.42578125" style="101" customWidth="1"/>
    <col min="6085" max="6088" width="9.140625" style="101" customWidth="1"/>
    <col min="6089" max="6089" width="15.7109375" style="101" customWidth="1"/>
    <col min="6090" max="6090" width="9.140625" style="101" customWidth="1"/>
    <col min="6091" max="6091" width="15.28515625" style="101" bestFit="1" customWidth="1"/>
    <col min="6092" max="6092" width="9.140625" style="101" customWidth="1"/>
    <col min="6093" max="6323" width="9.140625" style="101"/>
    <col min="6324" max="6324" width="5" style="101" customWidth="1"/>
    <col min="6325" max="6325" width="17.7109375" style="101" customWidth="1"/>
    <col min="6326" max="6326" width="14.28515625" style="101" customWidth="1"/>
    <col min="6327" max="6327" width="7.140625" style="101" customWidth="1"/>
    <col min="6328" max="6328" width="12.42578125" style="101" customWidth="1"/>
    <col min="6329" max="6329" width="13" style="101" customWidth="1"/>
    <col min="6330" max="6335" width="9.140625" style="101" customWidth="1"/>
    <col min="6336" max="6339" width="13.28515625" style="101" customWidth="1"/>
    <col min="6340" max="6340" width="10.42578125" style="101" customWidth="1"/>
    <col min="6341" max="6344" width="9.140625" style="101" customWidth="1"/>
    <col min="6345" max="6345" width="15.7109375" style="101" customWidth="1"/>
    <col min="6346" max="6346" width="9.140625" style="101" customWidth="1"/>
    <col min="6347" max="6347" width="15.28515625" style="101" bestFit="1" customWidth="1"/>
    <col min="6348" max="6348" width="9.140625" style="101" customWidth="1"/>
    <col min="6349" max="6579" width="9.140625" style="101"/>
    <col min="6580" max="6580" width="5" style="101" customWidth="1"/>
    <col min="6581" max="6581" width="17.7109375" style="101" customWidth="1"/>
    <col min="6582" max="6582" width="14.28515625" style="101" customWidth="1"/>
    <col min="6583" max="6583" width="7.140625" style="101" customWidth="1"/>
    <col min="6584" max="6584" width="12.42578125" style="101" customWidth="1"/>
    <col min="6585" max="6585" width="13" style="101" customWidth="1"/>
    <col min="6586" max="6591" width="9.140625" style="101" customWidth="1"/>
    <col min="6592" max="6595" width="13.28515625" style="101" customWidth="1"/>
    <col min="6596" max="6596" width="10.42578125" style="101" customWidth="1"/>
    <col min="6597" max="6600" width="9.140625" style="101" customWidth="1"/>
    <col min="6601" max="6601" width="15.7109375" style="101" customWidth="1"/>
    <col min="6602" max="6602" width="9.140625" style="101" customWidth="1"/>
    <col min="6603" max="6603" width="15.28515625" style="101" bestFit="1" customWidth="1"/>
    <col min="6604" max="6604" width="9.140625" style="101" customWidth="1"/>
    <col min="6605" max="6835" width="9.140625" style="101"/>
    <col min="6836" max="6836" width="5" style="101" customWidth="1"/>
    <col min="6837" max="6837" width="17.7109375" style="101" customWidth="1"/>
    <col min="6838" max="6838" width="14.28515625" style="101" customWidth="1"/>
    <col min="6839" max="6839" width="7.140625" style="101" customWidth="1"/>
    <col min="6840" max="6840" width="12.42578125" style="101" customWidth="1"/>
    <col min="6841" max="6841" width="13" style="101" customWidth="1"/>
    <col min="6842" max="6847" width="9.140625" style="101" customWidth="1"/>
    <col min="6848" max="6851" width="13.28515625" style="101" customWidth="1"/>
    <col min="6852" max="6852" width="10.42578125" style="101" customWidth="1"/>
    <col min="6853" max="6856" width="9.140625" style="101" customWidth="1"/>
    <col min="6857" max="6857" width="15.7109375" style="101" customWidth="1"/>
    <col min="6858" max="6858" width="9.140625" style="101" customWidth="1"/>
    <col min="6859" max="6859" width="15.28515625" style="101" bestFit="1" customWidth="1"/>
    <col min="6860" max="6860" width="9.140625" style="101" customWidth="1"/>
    <col min="6861" max="7091" width="9.140625" style="101"/>
    <col min="7092" max="7092" width="5" style="101" customWidth="1"/>
    <col min="7093" max="7093" width="17.7109375" style="101" customWidth="1"/>
    <col min="7094" max="7094" width="14.28515625" style="101" customWidth="1"/>
    <col min="7095" max="7095" width="7.140625" style="101" customWidth="1"/>
    <col min="7096" max="7096" width="12.42578125" style="101" customWidth="1"/>
    <col min="7097" max="7097" width="13" style="101" customWidth="1"/>
    <col min="7098" max="7103" width="9.140625" style="101" customWidth="1"/>
    <col min="7104" max="7107" width="13.28515625" style="101" customWidth="1"/>
    <col min="7108" max="7108" width="10.42578125" style="101" customWidth="1"/>
    <col min="7109" max="7112" width="9.140625" style="101" customWidth="1"/>
    <col min="7113" max="7113" width="15.7109375" style="101" customWidth="1"/>
    <col min="7114" max="7114" width="9.140625" style="101" customWidth="1"/>
    <col min="7115" max="7115" width="15.28515625" style="101" bestFit="1" customWidth="1"/>
    <col min="7116" max="7116" width="9.140625" style="101" customWidth="1"/>
    <col min="7117" max="7347" width="9.140625" style="101"/>
    <col min="7348" max="7348" width="5" style="101" customWidth="1"/>
    <col min="7349" max="7349" width="17.7109375" style="101" customWidth="1"/>
    <col min="7350" max="7350" width="14.28515625" style="101" customWidth="1"/>
    <col min="7351" max="7351" width="7.140625" style="101" customWidth="1"/>
    <col min="7352" max="7352" width="12.42578125" style="101" customWidth="1"/>
    <col min="7353" max="7353" width="13" style="101" customWidth="1"/>
    <col min="7354" max="7359" width="9.140625" style="101" customWidth="1"/>
    <col min="7360" max="7363" width="13.28515625" style="101" customWidth="1"/>
    <col min="7364" max="7364" width="10.42578125" style="101" customWidth="1"/>
    <col min="7365" max="7368" width="9.140625" style="101" customWidth="1"/>
    <col min="7369" max="7369" width="15.7109375" style="101" customWidth="1"/>
    <col min="7370" max="7370" width="9.140625" style="101" customWidth="1"/>
    <col min="7371" max="7371" width="15.28515625" style="101" bestFit="1" customWidth="1"/>
    <col min="7372" max="7372" width="9.140625" style="101" customWidth="1"/>
    <col min="7373" max="7603" width="9.140625" style="101"/>
    <col min="7604" max="7604" width="5" style="101" customWidth="1"/>
    <col min="7605" max="7605" width="17.7109375" style="101" customWidth="1"/>
    <col min="7606" max="7606" width="14.28515625" style="101" customWidth="1"/>
    <col min="7607" max="7607" width="7.140625" style="101" customWidth="1"/>
    <col min="7608" max="7608" width="12.42578125" style="101" customWidth="1"/>
    <col min="7609" max="7609" width="13" style="101" customWidth="1"/>
    <col min="7610" max="7615" width="9.140625" style="101" customWidth="1"/>
    <col min="7616" max="7619" width="13.28515625" style="101" customWidth="1"/>
    <col min="7620" max="7620" width="10.42578125" style="101" customWidth="1"/>
    <col min="7621" max="7624" width="9.140625" style="101" customWidth="1"/>
    <col min="7625" max="7625" width="15.7109375" style="101" customWidth="1"/>
    <col min="7626" max="7626" width="9.140625" style="101" customWidth="1"/>
    <col min="7627" max="7627" width="15.28515625" style="101" bestFit="1" customWidth="1"/>
    <col min="7628" max="7628" width="9.140625" style="101" customWidth="1"/>
    <col min="7629" max="7859" width="9.140625" style="101"/>
    <col min="7860" max="7860" width="5" style="101" customWidth="1"/>
    <col min="7861" max="7861" width="17.7109375" style="101" customWidth="1"/>
    <col min="7862" max="7862" width="14.28515625" style="101" customWidth="1"/>
    <col min="7863" max="7863" width="7.140625" style="101" customWidth="1"/>
    <col min="7864" max="7864" width="12.42578125" style="101" customWidth="1"/>
    <col min="7865" max="7865" width="13" style="101" customWidth="1"/>
    <col min="7866" max="7871" width="9.140625" style="101" customWidth="1"/>
    <col min="7872" max="7875" width="13.28515625" style="101" customWidth="1"/>
    <col min="7876" max="7876" width="10.42578125" style="101" customWidth="1"/>
    <col min="7877" max="7880" width="9.140625" style="101" customWidth="1"/>
    <col min="7881" max="7881" width="15.7109375" style="101" customWidth="1"/>
    <col min="7882" max="7882" width="9.140625" style="101" customWidth="1"/>
    <col min="7883" max="7883" width="15.28515625" style="101" bestFit="1" customWidth="1"/>
    <col min="7884" max="7884" width="9.140625" style="101" customWidth="1"/>
    <col min="7885" max="8115" width="9.140625" style="101"/>
    <col min="8116" max="8116" width="5" style="101" customWidth="1"/>
    <col min="8117" max="8117" width="17.7109375" style="101" customWidth="1"/>
    <col min="8118" max="8118" width="14.28515625" style="101" customWidth="1"/>
    <col min="8119" max="8119" width="7.140625" style="101" customWidth="1"/>
    <col min="8120" max="8120" width="12.42578125" style="101" customWidth="1"/>
    <col min="8121" max="8121" width="13" style="101" customWidth="1"/>
    <col min="8122" max="8127" width="9.140625" style="101" customWidth="1"/>
    <col min="8128" max="8131" width="13.28515625" style="101" customWidth="1"/>
    <col min="8132" max="8132" width="10.42578125" style="101" customWidth="1"/>
    <col min="8133" max="8136" width="9.140625" style="101" customWidth="1"/>
    <col min="8137" max="8137" width="15.7109375" style="101" customWidth="1"/>
    <col min="8138" max="8138" width="9.140625" style="101" customWidth="1"/>
    <col min="8139" max="8139" width="15.28515625" style="101" bestFit="1" customWidth="1"/>
    <col min="8140" max="8140" width="9.140625" style="101" customWidth="1"/>
    <col min="8141" max="8371" width="9.140625" style="101"/>
    <col min="8372" max="8372" width="5" style="101" customWidth="1"/>
    <col min="8373" max="8373" width="17.7109375" style="101" customWidth="1"/>
    <col min="8374" max="8374" width="14.28515625" style="101" customWidth="1"/>
    <col min="8375" max="8375" width="7.140625" style="101" customWidth="1"/>
    <col min="8376" max="8376" width="12.42578125" style="101" customWidth="1"/>
    <col min="8377" max="8377" width="13" style="101" customWidth="1"/>
    <col min="8378" max="8383" width="9.140625" style="101" customWidth="1"/>
    <col min="8384" max="8387" width="13.28515625" style="101" customWidth="1"/>
    <col min="8388" max="8388" width="10.42578125" style="101" customWidth="1"/>
    <col min="8389" max="8392" width="9.140625" style="101" customWidth="1"/>
    <col min="8393" max="8393" width="15.7109375" style="101" customWidth="1"/>
    <col min="8394" max="8394" width="9.140625" style="101" customWidth="1"/>
    <col min="8395" max="8395" width="15.28515625" style="101" bestFit="1" customWidth="1"/>
    <col min="8396" max="8396" width="9.140625" style="101" customWidth="1"/>
    <col min="8397" max="8627" width="9.140625" style="101"/>
    <col min="8628" max="8628" width="5" style="101" customWidth="1"/>
    <col min="8629" max="8629" width="17.7109375" style="101" customWidth="1"/>
    <col min="8630" max="8630" width="14.28515625" style="101" customWidth="1"/>
    <col min="8631" max="8631" width="7.140625" style="101" customWidth="1"/>
    <col min="8632" max="8632" width="12.42578125" style="101" customWidth="1"/>
    <col min="8633" max="8633" width="13" style="101" customWidth="1"/>
    <col min="8634" max="8639" width="9.140625" style="101" customWidth="1"/>
    <col min="8640" max="8643" width="13.28515625" style="101" customWidth="1"/>
    <col min="8644" max="8644" width="10.42578125" style="101" customWidth="1"/>
    <col min="8645" max="8648" width="9.140625" style="101" customWidth="1"/>
    <col min="8649" max="8649" width="15.7109375" style="101" customWidth="1"/>
    <col min="8650" max="8650" width="9.140625" style="101" customWidth="1"/>
    <col min="8651" max="8651" width="15.28515625" style="101" bestFit="1" customWidth="1"/>
    <col min="8652" max="8652" width="9.140625" style="101" customWidth="1"/>
    <col min="8653" max="8883" width="9.140625" style="101"/>
    <col min="8884" max="8884" width="5" style="101" customWidth="1"/>
    <col min="8885" max="8885" width="17.7109375" style="101" customWidth="1"/>
    <col min="8886" max="8886" width="14.28515625" style="101" customWidth="1"/>
    <col min="8887" max="8887" width="7.140625" style="101" customWidth="1"/>
    <col min="8888" max="8888" width="12.42578125" style="101" customWidth="1"/>
    <col min="8889" max="8889" width="13" style="101" customWidth="1"/>
    <col min="8890" max="8895" width="9.140625" style="101" customWidth="1"/>
    <col min="8896" max="8899" width="13.28515625" style="101" customWidth="1"/>
    <col min="8900" max="8900" width="10.42578125" style="101" customWidth="1"/>
    <col min="8901" max="8904" width="9.140625" style="101" customWidth="1"/>
    <col min="8905" max="8905" width="15.7109375" style="101" customWidth="1"/>
    <col min="8906" max="8906" width="9.140625" style="101" customWidth="1"/>
    <col min="8907" max="8907" width="15.28515625" style="101" bestFit="1" customWidth="1"/>
    <col min="8908" max="8908" width="9.140625" style="101" customWidth="1"/>
    <col min="8909" max="9139" width="9.140625" style="101"/>
    <col min="9140" max="9140" width="5" style="101" customWidth="1"/>
    <col min="9141" max="9141" width="17.7109375" style="101" customWidth="1"/>
    <col min="9142" max="9142" width="14.28515625" style="101" customWidth="1"/>
    <col min="9143" max="9143" width="7.140625" style="101" customWidth="1"/>
    <col min="9144" max="9144" width="12.42578125" style="101" customWidth="1"/>
    <col min="9145" max="9145" width="13" style="101" customWidth="1"/>
    <col min="9146" max="9151" width="9.140625" style="101" customWidth="1"/>
    <col min="9152" max="9155" width="13.28515625" style="101" customWidth="1"/>
    <col min="9156" max="9156" width="10.42578125" style="101" customWidth="1"/>
    <col min="9157" max="9160" width="9.140625" style="101" customWidth="1"/>
    <col min="9161" max="9161" width="15.7109375" style="101" customWidth="1"/>
    <col min="9162" max="9162" width="9.140625" style="101" customWidth="1"/>
    <col min="9163" max="9163" width="15.28515625" style="101" bestFit="1" customWidth="1"/>
    <col min="9164" max="9164" width="9.140625" style="101" customWidth="1"/>
    <col min="9165" max="9395" width="9.140625" style="101"/>
    <col min="9396" max="9396" width="5" style="101" customWidth="1"/>
    <col min="9397" max="9397" width="17.7109375" style="101" customWidth="1"/>
    <col min="9398" max="9398" width="14.28515625" style="101" customWidth="1"/>
    <col min="9399" max="9399" width="7.140625" style="101" customWidth="1"/>
    <col min="9400" max="9400" width="12.42578125" style="101" customWidth="1"/>
    <col min="9401" max="9401" width="13" style="101" customWidth="1"/>
    <col min="9402" max="9407" width="9.140625" style="101" customWidth="1"/>
    <col min="9408" max="9411" width="13.28515625" style="101" customWidth="1"/>
    <col min="9412" max="9412" width="10.42578125" style="101" customWidth="1"/>
    <col min="9413" max="9416" width="9.140625" style="101" customWidth="1"/>
    <col min="9417" max="9417" width="15.7109375" style="101" customWidth="1"/>
    <col min="9418" max="9418" width="9.140625" style="101" customWidth="1"/>
    <col min="9419" max="9419" width="15.28515625" style="101" bestFit="1" customWidth="1"/>
    <col min="9420" max="9420" width="9.140625" style="101" customWidth="1"/>
    <col min="9421" max="9651" width="9.140625" style="101"/>
    <col min="9652" max="9652" width="5" style="101" customWidth="1"/>
    <col min="9653" max="9653" width="17.7109375" style="101" customWidth="1"/>
    <col min="9654" max="9654" width="14.28515625" style="101" customWidth="1"/>
    <col min="9655" max="9655" width="7.140625" style="101" customWidth="1"/>
    <col min="9656" max="9656" width="12.42578125" style="101" customWidth="1"/>
    <col min="9657" max="9657" width="13" style="101" customWidth="1"/>
    <col min="9658" max="9663" width="9.140625" style="101" customWidth="1"/>
    <col min="9664" max="9667" width="13.28515625" style="101" customWidth="1"/>
    <col min="9668" max="9668" width="10.42578125" style="101" customWidth="1"/>
    <col min="9669" max="9672" width="9.140625" style="101" customWidth="1"/>
    <col min="9673" max="9673" width="15.7109375" style="101" customWidth="1"/>
    <col min="9674" max="9674" width="9.140625" style="101" customWidth="1"/>
    <col min="9675" max="9675" width="15.28515625" style="101" bestFit="1" customWidth="1"/>
    <col min="9676" max="9676" width="9.140625" style="101" customWidth="1"/>
    <col min="9677" max="9907" width="9.140625" style="101"/>
    <col min="9908" max="9908" width="5" style="101" customWidth="1"/>
    <col min="9909" max="9909" width="17.7109375" style="101" customWidth="1"/>
    <col min="9910" max="9910" width="14.28515625" style="101" customWidth="1"/>
    <col min="9911" max="9911" width="7.140625" style="101" customWidth="1"/>
    <col min="9912" max="9912" width="12.42578125" style="101" customWidth="1"/>
    <col min="9913" max="9913" width="13" style="101" customWidth="1"/>
    <col min="9914" max="9919" width="9.140625" style="101" customWidth="1"/>
    <col min="9920" max="9923" width="13.28515625" style="101" customWidth="1"/>
    <col min="9924" max="9924" width="10.42578125" style="101" customWidth="1"/>
    <col min="9925" max="9928" width="9.140625" style="101" customWidth="1"/>
    <col min="9929" max="9929" width="15.7109375" style="101" customWidth="1"/>
    <col min="9930" max="9930" width="9.140625" style="101" customWidth="1"/>
    <col min="9931" max="9931" width="15.28515625" style="101" bestFit="1" customWidth="1"/>
    <col min="9932" max="9932" width="9.140625" style="101" customWidth="1"/>
    <col min="9933" max="10163" width="9.140625" style="101"/>
    <col min="10164" max="10164" width="5" style="101" customWidth="1"/>
    <col min="10165" max="10165" width="17.7109375" style="101" customWidth="1"/>
    <col min="10166" max="10166" width="14.28515625" style="101" customWidth="1"/>
    <col min="10167" max="10167" width="7.140625" style="101" customWidth="1"/>
    <col min="10168" max="10168" width="12.42578125" style="101" customWidth="1"/>
    <col min="10169" max="10169" width="13" style="101" customWidth="1"/>
    <col min="10170" max="10175" width="9.140625" style="101" customWidth="1"/>
    <col min="10176" max="10179" width="13.28515625" style="101" customWidth="1"/>
    <col min="10180" max="10180" width="10.42578125" style="101" customWidth="1"/>
    <col min="10181" max="10184" width="9.140625" style="101" customWidth="1"/>
    <col min="10185" max="10185" width="15.7109375" style="101" customWidth="1"/>
    <col min="10186" max="10186" width="9.140625" style="101" customWidth="1"/>
    <col min="10187" max="10187" width="15.28515625" style="101" bestFit="1" customWidth="1"/>
    <col min="10188" max="10188" width="9.140625" style="101" customWidth="1"/>
    <col min="10189" max="10419" width="9.140625" style="101"/>
    <col min="10420" max="10420" width="5" style="101" customWidth="1"/>
    <col min="10421" max="10421" width="17.7109375" style="101" customWidth="1"/>
    <col min="10422" max="10422" width="14.28515625" style="101" customWidth="1"/>
    <col min="10423" max="10423" width="7.140625" style="101" customWidth="1"/>
    <col min="10424" max="10424" width="12.42578125" style="101" customWidth="1"/>
    <col min="10425" max="10425" width="13" style="101" customWidth="1"/>
    <col min="10426" max="10431" width="9.140625" style="101" customWidth="1"/>
    <col min="10432" max="10435" width="13.28515625" style="101" customWidth="1"/>
    <col min="10436" max="10436" width="10.42578125" style="101" customWidth="1"/>
    <col min="10437" max="10440" width="9.140625" style="101" customWidth="1"/>
    <col min="10441" max="10441" width="15.7109375" style="101" customWidth="1"/>
    <col min="10442" max="10442" width="9.140625" style="101" customWidth="1"/>
    <col min="10443" max="10443" width="15.28515625" style="101" bestFit="1" customWidth="1"/>
    <col min="10444" max="10444" width="9.140625" style="101" customWidth="1"/>
    <col min="10445" max="10675" width="9.140625" style="101"/>
    <col min="10676" max="10676" width="5" style="101" customWidth="1"/>
    <col min="10677" max="10677" width="17.7109375" style="101" customWidth="1"/>
    <col min="10678" max="10678" width="14.28515625" style="101" customWidth="1"/>
    <col min="10679" max="10679" width="7.140625" style="101" customWidth="1"/>
    <col min="10680" max="10680" width="12.42578125" style="101" customWidth="1"/>
    <col min="10681" max="10681" width="13" style="101" customWidth="1"/>
    <col min="10682" max="10687" width="9.140625" style="101" customWidth="1"/>
    <col min="10688" max="10691" width="13.28515625" style="101" customWidth="1"/>
    <col min="10692" max="10692" width="10.42578125" style="101" customWidth="1"/>
    <col min="10693" max="10696" width="9.140625" style="101" customWidth="1"/>
    <col min="10697" max="10697" width="15.7109375" style="101" customWidth="1"/>
    <col min="10698" max="10698" width="9.140625" style="101" customWidth="1"/>
    <col min="10699" max="10699" width="15.28515625" style="101" bestFit="1" customWidth="1"/>
    <col min="10700" max="10700" width="9.140625" style="101" customWidth="1"/>
    <col min="10701" max="10931" width="9.140625" style="101"/>
    <col min="10932" max="10932" width="5" style="101" customWidth="1"/>
    <col min="10933" max="10933" width="17.7109375" style="101" customWidth="1"/>
    <col min="10934" max="10934" width="14.28515625" style="101" customWidth="1"/>
    <col min="10935" max="10935" width="7.140625" style="101" customWidth="1"/>
    <col min="10936" max="10936" width="12.42578125" style="101" customWidth="1"/>
    <col min="10937" max="10937" width="13" style="101" customWidth="1"/>
    <col min="10938" max="10943" width="9.140625" style="101" customWidth="1"/>
    <col min="10944" max="10947" width="13.28515625" style="101" customWidth="1"/>
    <col min="10948" max="10948" width="10.42578125" style="101" customWidth="1"/>
    <col min="10949" max="10952" width="9.140625" style="101" customWidth="1"/>
    <col min="10953" max="10953" width="15.7109375" style="101" customWidth="1"/>
    <col min="10954" max="10954" width="9.140625" style="101" customWidth="1"/>
    <col min="10955" max="10955" width="15.28515625" style="101" bestFit="1" customWidth="1"/>
    <col min="10956" max="10956" width="9.140625" style="101" customWidth="1"/>
    <col min="10957" max="11187" width="9.140625" style="101"/>
    <col min="11188" max="11188" width="5" style="101" customWidth="1"/>
    <col min="11189" max="11189" width="17.7109375" style="101" customWidth="1"/>
    <col min="11190" max="11190" width="14.28515625" style="101" customWidth="1"/>
    <col min="11191" max="11191" width="7.140625" style="101" customWidth="1"/>
    <col min="11192" max="11192" width="12.42578125" style="101" customWidth="1"/>
    <col min="11193" max="11193" width="13" style="101" customWidth="1"/>
    <col min="11194" max="11199" width="9.140625" style="101" customWidth="1"/>
    <col min="11200" max="11203" width="13.28515625" style="101" customWidth="1"/>
    <col min="11204" max="11204" width="10.42578125" style="101" customWidth="1"/>
    <col min="11205" max="11208" width="9.140625" style="101" customWidth="1"/>
    <col min="11209" max="11209" width="15.7109375" style="101" customWidth="1"/>
    <col min="11210" max="11210" width="9.140625" style="101" customWidth="1"/>
    <col min="11211" max="11211" width="15.28515625" style="101" bestFit="1" customWidth="1"/>
    <col min="11212" max="11212" width="9.140625" style="101" customWidth="1"/>
    <col min="11213" max="11443" width="9.140625" style="101"/>
    <col min="11444" max="11444" width="5" style="101" customWidth="1"/>
    <col min="11445" max="11445" width="17.7109375" style="101" customWidth="1"/>
    <col min="11446" max="11446" width="14.28515625" style="101" customWidth="1"/>
    <col min="11447" max="11447" width="7.140625" style="101" customWidth="1"/>
    <col min="11448" max="11448" width="12.42578125" style="101" customWidth="1"/>
    <col min="11449" max="11449" width="13" style="101" customWidth="1"/>
    <col min="11450" max="11455" width="9.140625" style="101" customWidth="1"/>
    <col min="11456" max="11459" width="13.28515625" style="101" customWidth="1"/>
    <col min="11460" max="11460" width="10.42578125" style="101" customWidth="1"/>
    <col min="11461" max="11464" width="9.140625" style="101" customWidth="1"/>
    <col min="11465" max="11465" width="15.7109375" style="101" customWidth="1"/>
    <col min="11466" max="11466" width="9.140625" style="101" customWidth="1"/>
    <col min="11467" max="11467" width="15.28515625" style="101" bestFit="1" customWidth="1"/>
    <col min="11468" max="11468" width="9.140625" style="101" customWidth="1"/>
    <col min="11469" max="11699" width="9.140625" style="101"/>
    <col min="11700" max="11700" width="5" style="101" customWidth="1"/>
    <col min="11701" max="11701" width="17.7109375" style="101" customWidth="1"/>
    <col min="11702" max="11702" width="14.28515625" style="101" customWidth="1"/>
    <col min="11703" max="11703" width="7.140625" style="101" customWidth="1"/>
    <col min="11704" max="11704" width="12.42578125" style="101" customWidth="1"/>
    <col min="11705" max="11705" width="13" style="101" customWidth="1"/>
    <col min="11706" max="11711" width="9.140625" style="101" customWidth="1"/>
    <col min="11712" max="11715" width="13.28515625" style="101" customWidth="1"/>
    <col min="11716" max="11716" width="10.42578125" style="101" customWidth="1"/>
    <col min="11717" max="11720" width="9.140625" style="101" customWidth="1"/>
    <col min="11721" max="11721" width="15.7109375" style="101" customWidth="1"/>
    <col min="11722" max="11722" width="9.140625" style="101" customWidth="1"/>
    <col min="11723" max="11723" width="15.28515625" style="101" bestFit="1" customWidth="1"/>
    <col min="11724" max="11724" width="9.140625" style="101" customWidth="1"/>
    <col min="11725" max="11955" width="9.140625" style="101"/>
    <col min="11956" max="11956" width="5" style="101" customWidth="1"/>
    <col min="11957" max="11957" width="17.7109375" style="101" customWidth="1"/>
    <col min="11958" max="11958" width="14.28515625" style="101" customWidth="1"/>
    <col min="11959" max="11959" width="7.140625" style="101" customWidth="1"/>
    <col min="11960" max="11960" width="12.42578125" style="101" customWidth="1"/>
    <col min="11961" max="11961" width="13" style="101" customWidth="1"/>
    <col min="11962" max="11967" width="9.140625" style="101" customWidth="1"/>
    <col min="11968" max="11971" width="13.28515625" style="101" customWidth="1"/>
    <col min="11972" max="11972" width="10.42578125" style="101" customWidth="1"/>
    <col min="11973" max="11976" width="9.140625" style="101" customWidth="1"/>
    <col min="11977" max="11977" width="15.7109375" style="101" customWidth="1"/>
    <col min="11978" max="11978" width="9.140625" style="101" customWidth="1"/>
    <col min="11979" max="11979" width="15.28515625" style="101" bestFit="1" customWidth="1"/>
    <col min="11980" max="11980" width="9.140625" style="101" customWidth="1"/>
    <col min="11981" max="12211" width="9.140625" style="101"/>
    <col min="12212" max="12212" width="5" style="101" customWidth="1"/>
    <col min="12213" max="12213" width="17.7109375" style="101" customWidth="1"/>
    <col min="12214" max="12214" width="14.28515625" style="101" customWidth="1"/>
    <col min="12215" max="12215" width="7.140625" style="101" customWidth="1"/>
    <col min="12216" max="12216" width="12.42578125" style="101" customWidth="1"/>
    <col min="12217" max="12217" width="13" style="101" customWidth="1"/>
    <col min="12218" max="12223" width="9.140625" style="101" customWidth="1"/>
    <col min="12224" max="12227" width="13.28515625" style="101" customWidth="1"/>
    <col min="12228" max="12228" width="10.42578125" style="101" customWidth="1"/>
    <col min="12229" max="12232" width="9.140625" style="101" customWidth="1"/>
    <col min="12233" max="12233" width="15.7109375" style="101" customWidth="1"/>
    <col min="12234" max="12234" width="9.140625" style="101" customWidth="1"/>
    <col min="12235" max="12235" width="15.28515625" style="101" bestFit="1" customWidth="1"/>
    <col min="12236" max="12236" width="9.140625" style="101" customWidth="1"/>
    <col min="12237" max="12467" width="9.140625" style="101"/>
    <col min="12468" max="12468" width="5" style="101" customWidth="1"/>
    <col min="12469" max="12469" width="17.7109375" style="101" customWidth="1"/>
    <col min="12470" max="12470" width="14.28515625" style="101" customWidth="1"/>
    <col min="12471" max="12471" width="7.140625" style="101" customWidth="1"/>
    <col min="12472" max="12472" width="12.42578125" style="101" customWidth="1"/>
    <col min="12473" max="12473" width="13" style="101" customWidth="1"/>
    <col min="12474" max="12479" width="9.140625" style="101" customWidth="1"/>
    <col min="12480" max="12483" width="13.28515625" style="101" customWidth="1"/>
    <col min="12484" max="12484" width="10.42578125" style="101" customWidth="1"/>
    <col min="12485" max="12488" width="9.140625" style="101" customWidth="1"/>
    <col min="12489" max="12489" width="15.7109375" style="101" customWidth="1"/>
    <col min="12490" max="12490" width="9.140625" style="101" customWidth="1"/>
    <col min="12491" max="12491" width="15.28515625" style="101" bestFit="1" customWidth="1"/>
    <col min="12492" max="12492" width="9.140625" style="101" customWidth="1"/>
    <col min="12493" max="12723" width="9.140625" style="101"/>
    <col min="12724" max="12724" width="5" style="101" customWidth="1"/>
    <col min="12725" max="12725" width="17.7109375" style="101" customWidth="1"/>
    <col min="12726" max="12726" width="14.28515625" style="101" customWidth="1"/>
    <col min="12727" max="12727" width="7.140625" style="101" customWidth="1"/>
    <col min="12728" max="12728" width="12.42578125" style="101" customWidth="1"/>
    <col min="12729" max="12729" width="13" style="101" customWidth="1"/>
    <col min="12730" max="12735" width="9.140625" style="101" customWidth="1"/>
    <col min="12736" max="12739" width="13.28515625" style="101" customWidth="1"/>
    <col min="12740" max="12740" width="10.42578125" style="101" customWidth="1"/>
    <col min="12741" max="12744" width="9.140625" style="101" customWidth="1"/>
    <col min="12745" max="12745" width="15.7109375" style="101" customWidth="1"/>
    <col min="12746" max="12746" width="9.140625" style="101" customWidth="1"/>
    <col min="12747" max="12747" width="15.28515625" style="101" bestFit="1" customWidth="1"/>
    <col min="12748" max="12748" width="9.140625" style="101" customWidth="1"/>
    <col min="12749" max="12979" width="9.140625" style="101"/>
    <col min="12980" max="12980" width="5" style="101" customWidth="1"/>
    <col min="12981" max="12981" width="17.7109375" style="101" customWidth="1"/>
    <col min="12982" max="12982" width="14.28515625" style="101" customWidth="1"/>
    <col min="12983" max="12983" width="7.140625" style="101" customWidth="1"/>
    <col min="12984" max="12984" width="12.42578125" style="101" customWidth="1"/>
    <col min="12985" max="12985" width="13" style="101" customWidth="1"/>
    <col min="12986" max="12991" width="9.140625" style="101" customWidth="1"/>
    <col min="12992" max="12995" width="13.28515625" style="101" customWidth="1"/>
    <col min="12996" max="12996" width="10.42578125" style="101" customWidth="1"/>
    <col min="12997" max="13000" width="9.140625" style="101" customWidth="1"/>
    <col min="13001" max="13001" width="15.7109375" style="101" customWidth="1"/>
    <col min="13002" max="13002" width="9.140625" style="101" customWidth="1"/>
    <col min="13003" max="13003" width="15.28515625" style="101" bestFit="1" customWidth="1"/>
    <col min="13004" max="13004" width="9.140625" style="101" customWidth="1"/>
    <col min="13005" max="13235" width="9.140625" style="101"/>
    <col min="13236" max="13236" width="5" style="101" customWidth="1"/>
    <col min="13237" max="13237" width="17.7109375" style="101" customWidth="1"/>
    <col min="13238" max="13238" width="14.28515625" style="101" customWidth="1"/>
    <col min="13239" max="13239" width="7.140625" style="101" customWidth="1"/>
    <col min="13240" max="13240" width="12.42578125" style="101" customWidth="1"/>
    <col min="13241" max="13241" width="13" style="101" customWidth="1"/>
    <col min="13242" max="13247" width="9.140625" style="101" customWidth="1"/>
    <col min="13248" max="13251" width="13.28515625" style="101" customWidth="1"/>
    <col min="13252" max="13252" width="10.42578125" style="101" customWidth="1"/>
    <col min="13253" max="13256" width="9.140625" style="101" customWidth="1"/>
    <col min="13257" max="13257" width="15.7109375" style="101" customWidth="1"/>
    <col min="13258" max="13258" width="9.140625" style="101" customWidth="1"/>
    <col min="13259" max="13259" width="15.28515625" style="101" bestFit="1" customWidth="1"/>
    <col min="13260" max="13260" width="9.140625" style="101" customWidth="1"/>
    <col min="13261" max="13491" width="9.140625" style="101"/>
    <col min="13492" max="13492" width="5" style="101" customWidth="1"/>
    <col min="13493" max="13493" width="17.7109375" style="101" customWidth="1"/>
    <col min="13494" max="13494" width="14.28515625" style="101" customWidth="1"/>
    <col min="13495" max="13495" width="7.140625" style="101" customWidth="1"/>
    <col min="13496" max="13496" width="12.42578125" style="101" customWidth="1"/>
    <col min="13497" max="13497" width="13" style="101" customWidth="1"/>
    <col min="13498" max="13503" width="9.140625" style="101" customWidth="1"/>
    <col min="13504" max="13507" width="13.28515625" style="101" customWidth="1"/>
    <col min="13508" max="13508" width="10.42578125" style="101" customWidth="1"/>
    <col min="13509" max="13512" width="9.140625" style="101" customWidth="1"/>
    <col min="13513" max="13513" width="15.7109375" style="101" customWidth="1"/>
    <col min="13514" max="13514" width="9.140625" style="101" customWidth="1"/>
    <col min="13515" max="13515" width="15.28515625" style="101" bestFit="1" customWidth="1"/>
    <col min="13516" max="13516" width="9.140625" style="101" customWidth="1"/>
    <col min="13517" max="13747" width="9.140625" style="101"/>
    <col min="13748" max="13748" width="5" style="101" customWidth="1"/>
    <col min="13749" max="13749" width="17.7109375" style="101" customWidth="1"/>
    <col min="13750" max="13750" width="14.28515625" style="101" customWidth="1"/>
    <col min="13751" max="13751" width="7.140625" style="101" customWidth="1"/>
    <col min="13752" max="13752" width="12.42578125" style="101" customWidth="1"/>
    <col min="13753" max="13753" width="13" style="101" customWidth="1"/>
    <col min="13754" max="13759" width="9.140625" style="101" customWidth="1"/>
    <col min="13760" max="13763" width="13.28515625" style="101" customWidth="1"/>
    <col min="13764" max="13764" width="10.42578125" style="101" customWidth="1"/>
    <col min="13765" max="13768" width="9.140625" style="101" customWidth="1"/>
    <col min="13769" max="13769" width="15.7109375" style="101" customWidth="1"/>
    <col min="13770" max="13770" width="9.140625" style="101" customWidth="1"/>
    <col min="13771" max="13771" width="15.28515625" style="101" bestFit="1" customWidth="1"/>
    <col min="13772" max="13772" width="9.140625" style="101" customWidth="1"/>
    <col min="13773" max="14003" width="9.140625" style="101"/>
    <col min="14004" max="14004" width="5" style="101" customWidth="1"/>
    <col min="14005" max="14005" width="17.7109375" style="101" customWidth="1"/>
    <col min="14006" max="14006" width="14.28515625" style="101" customWidth="1"/>
    <col min="14007" max="14007" width="7.140625" style="101" customWidth="1"/>
    <col min="14008" max="14008" width="12.42578125" style="101" customWidth="1"/>
    <col min="14009" max="14009" width="13" style="101" customWidth="1"/>
    <col min="14010" max="14015" width="9.140625" style="101" customWidth="1"/>
    <col min="14016" max="14019" width="13.28515625" style="101" customWidth="1"/>
    <col min="14020" max="14020" width="10.42578125" style="101" customWidth="1"/>
    <col min="14021" max="14024" width="9.140625" style="101" customWidth="1"/>
    <col min="14025" max="14025" width="15.7109375" style="101" customWidth="1"/>
    <col min="14026" max="14026" width="9.140625" style="101" customWidth="1"/>
    <col min="14027" max="14027" width="15.28515625" style="101" bestFit="1" customWidth="1"/>
    <col min="14028" max="14028" width="9.140625" style="101" customWidth="1"/>
    <col min="14029" max="14259" width="9.140625" style="101"/>
    <col min="14260" max="14260" width="5" style="101" customWidth="1"/>
    <col min="14261" max="14261" width="17.7109375" style="101" customWidth="1"/>
    <col min="14262" max="14262" width="14.28515625" style="101" customWidth="1"/>
    <col min="14263" max="14263" width="7.140625" style="101" customWidth="1"/>
    <col min="14264" max="14264" width="12.42578125" style="101" customWidth="1"/>
    <col min="14265" max="14265" width="13" style="101" customWidth="1"/>
    <col min="14266" max="14271" width="9.140625" style="101" customWidth="1"/>
    <col min="14272" max="14275" width="13.28515625" style="101" customWidth="1"/>
    <col min="14276" max="14276" width="10.42578125" style="101" customWidth="1"/>
    <col min="14277" max="14280" width="9.140625" style="101" customWidth="1"/>
    <col min="14281" max="14281" width="15.7109375" style="101" customWidth="1"/>
    <col min="14282" max="14282" width="9.140625" style="101" customWidth="1"/>
    <col min="14283" max="14283" width="15.28515625" style="101" bestFit="1" customWidth="1"/>
    <col min="14284" max="14284" width="9.140625" style="101" customWidth="1"/>
    <col min="14285" max="14515" width="9.140625" style="101"/>
    <col min="14516" max="14516" width="5" style="101" customWidth="1"/>
    <col min="14517" max="14517" width="17.7109375" style="101" customWidth="1"/>
    <col min="14518" max="14518" width="14.28515625" style="101" customWidth="1"/>
    <col min="14519" max="14519" width="7.140625" style="101" customWidth="1"/>
    <col min="14520" max="14520" width="12.42578125" style="101" customWidth="1"/>
    <col min="14521" max="14521" width="13" style="101" customWidth="1"/>
    <col min="14522" max="14527" width="9.140625" style="101" customWidth="1"/>
    <col min="14528" max="14531" width="13.28515625" style="101" customWidth="1"/>
    <col min="14532" max="14532" width="10.42578125" style="101" customWidth="1"/>
    <col min="14533" max="14536" width="9.140625" style="101" customWidth="1"/>
    <col min="14537" max="14537" width="15.7109375" style="101" customWidth="1"/>
    <col min="14538" max="14538" width="9.140625" style="101" customWidth="1"/>
    <col min="14539" max="14539" width="15.28515625" style="101" bestFit="1" customWidth="1"/>
    <col min="14540" max="14540" width="9.140625" style="101" customWidth="1"/>
    <col min="14541" max="14771" width="9.140625" style="101"/>
    <col min="14772" max="14772" width="5" style="101" customWidth="1"/>
    <col min="14773" max="14773" width="17.7109375" style="101" customWidth="1"/>
    <col min="14774" max="14774" width="14.28515625" style="101" customWidth="1"/>
    <col min="14775" max="14775" width="7.140625" style="101" customWidth="1"/>
    <col min="14776" max="14776" width="12.42578125" style="101" customWidth="1"/>
    <col min="14777" max="14777" width="13" style="101" customWidth="1"/>
    <col min="14778" max="14783" width="9.140625" style="101" customWidth="1"/>
    <col min="14784" max="14787" width="13.28515625" style="101" customWidth="1"/>
    <col min="14788" max="14788" width="10.42578125" style="101" customWidth="1"/>
    <col min="14789" max="14792" width="9.140625" style="101" customWidth="1"/>
    <col min="14793" max="14793" width="15.7109375" style="101" customWidth="1"/>
    <col min="14794" max="14794" width="9.140625" style="101" customWidth="1"/>
    <col min="14795" max="14795" width="15.28515625" style="101" bestFit="1" customWidth="1"/>
    <col min="14796" max="14796" width="9.140625" style="101" customWidth="1"/>
    <col min="14797" max="15027" width="9.140625" style="101"/>
    <col min="15028" max="15028" width="5" style="101" customWidth="1"/>
    <col min="15029" max="15029" width="17.7109375" style="101" customWidth="1"/>
    <col min="15030" max="15030" width="14.28515625" style="101" customWidth="1"/>
    <col min="15031" max="15031" width="7.140625" style="101" customWidth="1"/>
    <col min="15032" max="15032" width="12.42578125" style="101" customWidth="1"/>
    <col min="15033" max="15033" width="13" style="101" customWidth="1"/>
    <col min="15034" max="15039" width="9.140625" style="101" customWidth="1"/>
    <col min="15040" max="15043" width="13.28515625" style="101" customWidth="1"/>
    <col min="15044" max="15044" width="10.42578125" style="101" customWidth="1"/>
    <col min="15045" max="15048" width="9.140625" style="101" customWidth="1"/>
    <col min="15049" max="15049" width="15.7109375" style="101" customWidth="1"/>
    <col min="15050" max="15050" width="9.140625" style="101" customWidth="1"/>
    <col min="15051" max="15051" width="15.28515625" style="101" bestFit="1" customWidth="1"/>
    <col min="15052" max="15052" width="9.140625" style="101" customWidth="1"/>
    <col min="15053" max="15283" width="9.140625" style="101"/>
    <col min="15284" max="15284" width="5" style="101" customWidth="1"/>
    <col min="15285" max="15285" width="17.7109375" style="101" customWidth="1"/>
    <col min="15286" max="15286" width="14.28515625" style="101" customWidth="1"/>
    <col min="15287" max="15287" width="7.140625" style="101" customWidth="1"/>
    <col min="15288" max="15288" width="12.42578125" style="101" customWidth="1"/>
    <col min="15289" max="15289" width="13" style="101" customWidth="1"/>
    <col min="15290" max="15295" width="9.140625" style="101" customWidth="1"/>
    <col min="15296" max="15299" width="13.28515625" style="101" customWidth="1"/>
    <col min="15300" max="15300" width="10.42578125" style="101" customWidth="1"/>
    <col min="15301" max="15304" width="9.140625" style="101" customWidth="1"/>
    <col min="15305" max="15305" width="15.7109375" style="101" customWidth="1"/>
    <col min="15306" max="15306" width="9.140625" style="101" customWidth="1"/>
    <col min="15307" max="15307" width="15.28515625" style="101" bestFit="1" customWidth="1"/>
    <col min="15308" max="15308" width="9.140625" style="101" customWidth="1"/>
    <col min="15309" max="15539" width="9.140625" style="101"/>
    <col min="15540" max="15540" width="5" style="101" customWidth="1"/>
    <col min="15541" max="15541" width="17.7109375" style="101" customWidth="1"/>
    <col min="15542" max="15542" width="14.28515625" style="101" customWidth="1"/>
    <col min="15543" max="15543" width="7.140625" style="101" customWidth="1"/>
    <col min="15544" max="15544" width="12.42578125" style="101" customWidth="1"/>
    <col min="15545" max="15545" width="13" style="101" customWidth="1"/>
    <col min="15546" max="15551" width="9.140625" style="101" customWidth="1"/>
    <col min="15552" max="15555" width="13.28515625" style="101" customWidth="1"/>
    <col min="15556" max="15556" width="10.42578125" style="101" customWidth="1"/>
    <col min="15557" max="15560" width="9.140625" style="101" customWidth="1"/>
    <col min="15561" max="15561" width="15.7109375" style="101" customWidth="1"/>
    <col min="15562" max="15562" width="9.140625" style="101" customWidth="1"/>
    <col min="15563" max="15563" width="15.28515625" style="101" bestFit="1" customWidth="1"/>
    <col min="15564" max="15564" width="9.140625" style="101" customWidth="1"/>
    <col min="15565" max="15795" width="9.140625" style="101"/>
    <col min="15796" max="15796" width="5" style="101" customWidth="1"/>
    <col min="15797" max="15797" width="17.7109375" style="101" customWidth="1"/>
    <col min="15798" max="15798" width="14.28515625" style="101" customWidth="1"/>
    <col min="15799" max="15799" width="7.140625" style="101" customWidth="1"/>
    <col min="15800" max="15800" width="12.42578125" style="101" customWidth="1"/>
    <col min="15801" max="15801" width="13" style="101" customWidth="1"/>
    <col min="15802" max="15807" width="9.140625" style="101" customWidth="1"/>
    <col min="15808" max="15811" width="13.28515625" style="101" customWidth="1"/>
    <col min="15812" max="15812" width="10.42578125" style="101" customWidth="1"/>
    <col min="15813" max="15816" width="9.140625" style="101" customWidth="1"/>
    <col min="15817" max="15817" width="15.7109375" style="101" customWidth="1"/>
    <col min="15818" max="15818" width="9.140625" style="101" customWidth="1"/>
    <col min="15819" max="15819" width="15.28515625" style="101" bestFit="1" customWidth="1"/>
    <col min="15820" max="15820" width="9.140625" style="101" customWidth="1"/>
    <col min="15821" max="16051" width="9.140625" style="101"/>
    <col min="16052" max="16052" width="5" style="101" customWidth="1"/>
    <col min="16053" max="16053" width="17.7109375" style="101" customWidth="1"/>
    <col min="16054" max="16054" width="14.28515625" style="101" customWidth="1"/>
    <col min="16055" max="16055" width="7.140625" style="101" customWidth="1"/>
    <col min="16056" max="16056" width="12.42578125" style="101" customWidth="1"/>
    <col min="16057" max="16057" width="13" style="101" customWidth="1"/>
    <col min="16058" max="16063" width="9.140625" style="101" customWidth="1"/>
    <col min="16064" max="16067" width="13.28515625" style="101" customWidth="1"/>
    <col min="16068" max="16068" width="10.42578125" style="101" customWidth="1"/>
    <col min="16069" max="16072" width="9.140625" style="101" customWidth="1"/>
    <col min="16073" max="16073" width="15.7109375" style="101" customWidth="1"/>
    <col min="16074" max="16074" width="9.140625" style="101" customWidth="1"/>
    <col min="16075" max="16075" width="15.28515625" style="101" bestFit="1" customWidth="1"/>
    <col min="16076" max="16076" width="9.140625" style="101" customWidth="1"/>
    <col min="16077" max="16384" width="9.140625" style="101"/>
  </cols>
  <sheetData>
    <row r="1" spans="1:21" ht="200.25" customHeight="1" x14ac:dyDescent="0.2">
      <c r="B1" s="521" t="s">
        <v>332</v>
      </c>
      <c r="C1" s="522"/>
      <c r="D1" s="522"/>
      <c r="E1" s="522"/>
      <c r="F1" s="522"/>
      <c r="G1" s="522"/>
      <c r="H1" s="52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21" x14ac:dyDescent="0.2">
      <c r="A2" s="103"/>
      <c r="B2" s="103"/>
      <c r="C2" s="103"/>
      <c r="D2" s="103"/>
      <c r="E2" s="103"/>
      <c r="F2" s="103"/>
    </row>
    <row r="3" spans="1:21" s="104" customFormat="1" ht="18" customHeight="1" x14ac:dyDescent="0.2">
      <c r="A3" s="516" t="s">
        <v>63</v>
      </c>
      <c r="B3" s="516" t="s">
        <v>25</v>
      </c>
      <c r="C3" s="516" t="s">
        <v>225</v>
      </c>
      <c r="D3" s="516" t="s">
        <v>68</v>
      </c>
      <c r="E3" s="517" t="s">
        <v>269</v>
      </c>
      <c r="F3" s="518" t="s">
        <v>270</v>
      </c>
      <c r="G3" s="518" t="s">
        <v>271</v>
      </c>
      <c r="H3" s="519" t="s">
        <v>272</v>
      </c>
      <c r="I3" s="516" t="s">
        <v>273</v>
      </c>
      <c r="J3" s="516" t="s">
        <v>329</v>
      </c>
      <c r="K3" s="516" t="s">
        <v>328</v>
      </c>
      <c r="L3" s="516" t="s">
        <v>327</v>
      </c>
      <c r="M3" s="373"/>
      <c r="N3" s="373"/>
      <c r="O3" s="373"/>
      <c r="P3" s="346"/>
      <c r="Q3" s="346"/>
      <c r="R3" s="346"/>
      <c r="S3" s="346"/>
    </row>
    <row r="4" spans="1:21" s="104" customFormat="1" ht="12" customHeight="1" x14ac:dyDescent="0.2">
      <c r="A4" s="516"/>
      <c r="B4" s="516"/>
      <c r="C4" s="516"/>
      <c r="D4" s="516"/>
      <c r="E4" s="517"/>
      <c r="F4" s="518"/>
      <c r="G4" s="518"/>
      <c r="H4" s="520"/>
      <c r="I4" s="516"/>
      <c r="J4" s="516"/>
      <c r="K4" s="516" t="s">
        <v>326</v>
      </c>
      <c r="L4" s="516" t="s">
        <v>327</v>
      </c>
      <c r="M4" s="513" t="s">
        <v>286</v>
      </c>
      <c r="N4" s="514"/>
      <c r="O4" s="515"/>
      <c r="P4" s="346"/>
      <c r="Q4" s="346"/>
      <c r="R4" s="352"/>
      <c r="S4" s="379"/>
    </row>
    <row r="5" spans="1:21" s="104" customFormat="1" ht="29.45" customHeight="1" x14ac:dyDescent="0.2">
      <c r="A5" s="516"/>
      <c r="B5" s="516"/>
      <c r="C5" s="516"/>
      <c r="D5" s="516"/>
      <c r="E5" s="517"/>
      <c r="F5" s="518"/>
      <c r="G5" s="518"/>
      <c r="H5" s="520"/>
      <c r="I5" s="516"/>
      <c r="J5" s="516"/>
      <c r="K5" s="523" t="s">
        <v>326</v>
      </c>
      <c r="L5" s="523" t="s">
        <v>327</v>
      </c>
      <c r="M5" s="376">
        <v>2021</v>
      </c>
      <c r="N5" s="376">
        <v>2022</v>
      </c>
      <c r="O5" s="376">
        <v>2023</v>
      </c>
      <c r="P5" s="496" t="s">
        <v>306</v>
      </c>
      <c r="Q5" s="497"/>
      <c r="R5" s="498"/>
      <c r="S5" s="2" t="s">
        <v>330</v>
      </c>
      <c r="T5" s="366" t="s">
        <v>268</v>
      </c>
      <c r="U5" s="144" t="s">
        <v>3</v>
      </c>
    </row>
    <row r="6" spans="1:21" s="191" customFormat="1" x14ac:dyDescent="0.2">
      <c r="A6" s="184">
        <v>1</v>
      </c>
      <c r="B6" s="185" t="s">
        <v>32</v>
      </c>
      <c r="C6" s="186">
        <v>4</v>
      </c>
      <c r="D6" s="187">
        <v>33</v>
      </c>
      <c r="E6" s="188">
        <v>30.847000000000001</v>
      </c>
      <c r="F6" s="189">
        <f t="shared" ref="F6:F23" si="0">ROUND(C6*D6*E6,1)</f>
        <v>4071.8</v>
      </c>
      <c r="G6" s="189"/>
      <c r="H6" s="190">
        <f t="shared" ref="H6:H23" si="1">F6-G6</f>
        <v>4071.8</v>
      </c>
      <c r="I6" s="190">
        <v>4986.3999999999996</v>
      </c>
      <c r="J6" s="357">
        <f t="shared" ref="J6:J23" si="2">ROUND(I6*1.04,1)</f>
        <v>5185.8999999999996</v>
      </c>
      <c r="K6" s="377">
        <f>ROUND(F6*$K$26,1)</f>
        <v>3103.6</v>
      </c>
      <c r="L6" s="377">
        <f>F6-K6</f>
        <v>968.20000000000027</v>
      </c>
      <c r="M6" s="377">
        <f>K6</f>
        <v>3103.6</v>
      </c>
      <c r="N6" s="377">
        <f>M6</f>
        <v>3103.6</v>
      </c>
      <c r="O6" s="377">
        <f>N6</f>
        <v>3103.6</v>
      </c>
      <c r="P6" s="162">
        <f>M6*1000</f>
        <v>3103600</v>
      </c>
      <c r="Q6" s="162">
        <f>P6</f>
        <v>3103600</v>
      </c>
      <c r="R6" s="162">
        <f>Q6</f>
        <v>3103600</v>
      </c>
      <c r="S6" s="162">
        <f>L6*1000</f>
        <v>968200.00000000023</v>
      </c>
      <c r="T6" s="142">
        <v>7</v>
      </c>
      <c r="U6" s="141">
        <f>C6-T6</f>
        <v>-3</v>
      </c>
    </row>
    <row r="7" spans="1:21" s="191" customFormat="1" x14ac:dyDescent="0.2">
      <c r="A7" s="184">
        <v>2</v>
      </c>
      <c r="B7" s="185" t="s">
        <v>64</v>
      </c>
      <c r="C7" s="184">
        <v>22</v>
      </c>
      <c r="D7" s="187">
        <v>33</v>
      </c>
      <c r="E7" s="192">
        <v>42.707839999999997</v>
      </c>
      <c r="F7" s="189">
        <f t="shared" si="0"/>
        <v>31005.9</v>
      </c>
      <c r="G7" s="189"/>
      <c r="H7" s="190">
        <f t="shared" si="1"/>
        <v>31005.9</v>
      </c>
      <c r="I7" s="190">
        <v>32977.699999999997</v>
      </c>
      <c r="J7" s="357">
        <f t="shared" si="2"/>
        <v>34296.800000000003</v>
      </c>
      <c r="K7" s="377">
        <f t="shared" ref="K7:K23" si="3">ROUND(F7*$K$26,1)</f>
        <v>23632.9</v>
      </c>
      <c r="L7" s="377">
        <f t="shared" ref="L7:L23" si="4">F7-K7</f>
        <v>7373</v>
      </c>
      <c r="M7" s="377">
        <f t="shared" ref="M7:M23" si="5">K7</f>
        <v>23632.9</v>
      </c>
      <c r="N7" s="377">
        <f t="shared" ref="N7:O7" si="6">M7</f>
        <v>23632.9</v>
      </c>
      <c r="O7" s="377">
        <f t="shared" si="6"/>
        <v>23632.9</v>
      </c>
      <c r="P7" s="162">
        <f t="shared" ref="P7:P23" si="7">M7*1000</f>
        <v>23632900</v>
      </c>
      <c r="Q7" s="162">
        <f t="shared" ref="Q7:R7" si="8">P7</f>
        <v>23632900</v>
      </c>
      <c r="R7" s="162">
        <f t="shared" si="8"/>
        <v>23632900</v>
      </c>
      <c r="S7" s="162">
        <f t="shared" ref="S7:S23" si="9">L7*1000</f>
        <v>7373000</v>
      </c>
      <c r="T7" s="142">
        <v>26</v>
      </c>
      <c r="U7" s="141">
        <f t="shared" ref="U7:U23" si="10">C7-T7</f>
        <v>-4</v>
      </c>
    </row>
    <row r="8" spans="1:21" s="191" customFormat="1" x14ac:dyDescent="0.2">
      <c r="A8" s="184">
        <v>3</v>
      </c>
      <c r="B8" s="185" t="s">
        <v>65</v>
      </c>
      <c r="C8" s="184">
        <v>30</v>
      </c>
      <c r="D8" s="187">
        <v>33</v>
      </c>
      <c r="E8" s="105">
        <v>45.122999999999998</v>
      </c>
      <c r="F8" s="189">
        <f t="shared" si="0"/>
        <v>44671.8</v>
      </c>
      <c r="G8" s="189"/>
      <c r="H8" s="190">
        <f t="shared" si="1"/>
        <v>44671.8</v>
      </c>
      <c r="I8" s="190">
        <v>29124.2</v>
      </c>
      <c r="J8" s="357">
        <f t="shared" si="2"/>
        <v>30289.200000000001</v>
      </c>
      <c r="K8" s="377">
        <f t="shared" si="3"/>
        <v>34049.199999999997</v>
      </c>
      <c r="L8" s="377">
        <f t="shared" si="4"/>
        <v>10622.600000000006</v>
      </c>
      <c r="M8" s="377">
        <f t="shared" si="5"/>
        <v>34049.199999999997</v>
      </c>
      <c r="N8" s="377">
        <f t="shared" ref="N8:O8" si="11">M8</f>
        <v>34049.199999999997</v>
      </c>
      <c r="O8" s="377">
        <f t="shared" si="11"/>
        <v>34049.199999999997</v>
      </c>
      <c r="P8" s="162">
        <f t="shared" si="7"/>
        <v>34049200</v>
      </c>
      <c r="Q8" s="162">
        <f t="shared" ref="Q8:R8" si="12">P8</f>
        <v>34049200</v>
      </c>
      <c r="R8" s="162">
        <f t="shared" si="12"/>
        <v>34049200</v>
      </c>
      <c r="S8" s="162">
        <f t="shared" si="9"/>
        <v>10622600.000000006</v>
      </c>
      <c r="T8" s="142">
        <v>20</v>
      </c>
      <c r="U8" s="141">
        <f t="shared" si="10"/>
        <v>10</v>
      </c>
    </row>
    <row r="9" spans="1:21" s="191" customFormat="1" x14ac:dyDescent="0.2">
      <c r="A9" s="184">
        <v>4</v>
      </c>
      <c r="B9" s="185" t="s">
        <v>8</v>
      </c>
      <c r="C9" s="184">
        <v>22</v>
      </c>
      <c r="D9" s="187">
        <v>33</v>
      </c>
      <c r="E9" s="192">
        <v>92.321879999999993</v>
      </c>
      <c r="F9" s="189">
        <f t="shared" si="0"/>
        <v>67025.7</v>
      </c>
      <c r="G9" s="189"/>
      <c r="H9" s="190">
        <f t="shared" si="1"/>
        <v>67025.7</v>
      </c>
      <c r="I9" s="190">
        <v>55964</v>
      </c>
      <c r="J9" s="357">
        <f t="shared" si="2"/>
        <v>58202.6</v>
      </c>
      <c r="K9" s="377">
        <f>ROUNDDOWN(F9*$K$26,1)</f>
        <v>51087.4</v>
      </c>
      <c r="L9" s="377">
        <f t="shared" si="4"/>
        <v>15938.299999999996</v>
      </c>
      <c r="M9" s="377">
        <f t="shared" si="5"/>
        <v>51087.4</v>
      </c>
      <c r="N9" s="377">
        <f t="shared" ref="N9:O9" si="13">M9</f>
        <v>51087.4</v>
      </c>
      <c r="O9" s="377">
        <f t="shared" si="13"/>
        <v>51087.4</v>
      </c>
      <c r="P9" s="162">
        <f t="shared" si="7"/>
        <v>51087400</v>
      </c>
      <c r="Q9" s="162">
        <f t="shared" ref="Q9:R9" si="14">P9</f>
        <v>51087400</v>
      </c>
      <c r="R9" s="162">
        <f t="shared" si="14"/>
        <v>51087400</v>
      </c>
      <c r="S9" s="162">
        <f t="shared" si="9"/>
        <v>15938299.999999996</v>
      </c>
      <c r="T9" s="142">
        <v>27</v>
      </c>
      <c r="U9" s="141">
        <f t="shared" si="10"/>
        <v>-5</v>
      </c>
    </row>
    <row r="10" spans="1:21" s="191" customFormat="1" x14ac:dyDescent="0.2">
      <c r="A10" s="184">
        <v>5</v>
      </c>
      <c r="B10" s="185" t="s">
        <v>9</v>
      </c>
      <c r="C10" s="184">
        <v>23</v>
      </c>
      <c r="D10" s="187">
        <v>33</v>
      </c>
      <c r="E10" s="192">
        <v>54.71</v>
      </c>
      <c r="F10" s="189">
        <f t="shared" si="0"/>
        <v>41524.9</v>
      </c>
      <c r="G10" s="189"/>
      <c r="H10" s="190">
        <f t="shared" si="1"/>
        <v>41524.9</v>
      </c>
      <c r="I10" s="190">
        <v>25616.9</v>
      </c>
      <c r="J10" s="357">
        <f t="shared" si="2"/>
        <v>26641.599999999999</v>
      </c>
      <c r="K10" s="377">
        <f t="shared" si="3"/>
        <v>31650.6</v>
      </c>
      <c r="L10" s="377">
        <f t="shared" si="4"/>
        <v>9874.3000000000029</v>
      </c>
      <c r="M10" s="377">
        <f t="shared" si="5"/>
        <v>31650.6</v>
      </c>
      <c r="N10" s="377">
        <f t="shared" ref="N10:O10" si="15">M10</f>
        <v>31650.6</v>
      </c>
      <c r="O10" s="377">
        <f t="shared" si="15"/>
        <v>31650.6</v>
      </c>
      <c r="P10" s="162">
        <f t="shared" si="7"/>
        <v>31650600</v>
      </c>
      <c r="Q10" s="162">
        <f t="shared" ref="Q10:R10" si="16">P10</f>
        <v>31650600</v>
      </c>
      <c r="R10" s="162">
        <f t="shared" si="16"/>
        <v>31650600</v>
      </c>
      <c r="S10" s="162">
        <f t="shared" si="9"/>
        <v>9874300.0000000037</v>
      </c>
      <c r="T10" s="142">
        <v>17</v>
      </c>
      <c r="U10" s="141">
        <f t="shared" si="10"/>
        <v>6</v>
      </c>
    </row>
    <row r="11" spans="1:21" s="191" customFormat="1" x14ac:dyDescent="0.2">
      <c r="A11" s="184">
        <v>6</v>
      </c>
      <c r="B11" s="185" t="s">
        <v>66</v>
      </c>
      <c r="C11" s="184">
        <v>33</v>
      </c>
      <c r="D11" s="187">
        <v>33</v>
      </c>
      <c r="E11" s="192">
        <v>58.69</v>
      </c>
      <c r="F11" s="189">
        <f>ROUND(C11*D11*E11,1)</f>
        <v>63913.4</v>
      </c>
      <c r="G11" s="189"/>
      <c r="H11" s="190">
        <f t="shared" si="1"/>
        <v>63913.4</v>
      </c>
      <c r="I11" s="190">
        <v>61328.1</v>
      </c>
      <c r="J11" s="357">
        <f t="shared" si="2"/>
        <v>63781.2</v>
      </c>
      <c r="K11" s="377">
        <f t="shared" si="3"/>
        <v>48715.3</v>
      </c>
      <c r="L11" s="377">
        <f t="shared" si="4"/>
        <v>15198.099999999999</v>
      </c>
      <c r="M11" s="377">
        <f t="shared" si="5"/>
        <v>48715.3</v>
      </c>
      <c r="N11" s="377">
        <f t="shared" ref="N11:O11" si="17">M11</f>
        <v>48715.3</v>
      </c>
      <c r="O11" s="377">
        <f t="shared" si="17"/>
        <v>48715.3</v>
      </c>
      <c r="P11" s="162">
        <f t="shared" si="7"/>
        <v>48715300</v>
      </c>
      <c r="Q11" s="162">
        <f t="shared" ref="Q11:R11" si="18">P11</f>
        <v>48715300</v>
      </c>
      <c r="R11" s="162">
        <f t="shared" si="18"/>
        <v>48715300</v>
      </c>
      <c r="S11" s="162">
        <f t="shared" si="9"/>
        <v>15198099.999999998</v>
      </c>
      <c r="T11" s="142">
        <v>31</v>
      </c>
      <c r="U11" s="141">
        <f t="shared" si="10"/>
        <v>2</v>
      </c>
    </row>
    <row r="12" spans="1:21" s="191" customFormat="1" x14ac:dyDescent="0.2">
      <c r="A12" s="184">
        <v>7</v>
      </c>
      <c r="B12" s="185" t="s">
        <v>11</v>
      </c>
      <c r="C12" s="184">
        <v>11</v>
      </c>
      <c r="D12" s="187">
        <v>33</v>
      </c>
      <c r="E12" s="192">
        <v>38.1875</v>
      </c>
      <c r="F12" s="189">
        <f t="shared" si="0"/>
        <v>13862.1</v>
      </c>
      <c r="G12" s="189"/>
      <c r="H12" s="190">
        <f t="shared" si="1"/>
        <v>13862.1</v>
      </c>
      <c r="I12" s="190">
        <v>14300.7</v>
      </c>
      <c r="J12" s="357">
        <f t="shared" si="2"/>
        <v>14872.7</v>
      </c>
      <c r="K12" s="377">
        <f t="shared" si="3"/>
        <v>10565.8</v>
      </c>
      <c r="L12" s="377">
        <f t="shared" si="4"/>
        <v>3296.3000000000011</v>
      </c>
      <c r="M12" s="377">
        <f t="shared" si="5"/>
        <v>10565.8</v>
      </c>
      <c r="N12" s="377">
        <f t="shared" ref="N12:O12" si="19">M12</f>
        <v>10565.8</v>
      </c>
      <c r="O12" s="377">
        <f t="shared" si="19"/>
        <v>10565.8</v>
      </c>
      <c r="P12" s="162">
        <f t="shared" si="7"/>
        <v>10565800</v>
      </c>
      <c r="Q12" s="162">
        <f t="shared" ref="Q12:R12" si="20">P12</f>
        <v>10565800</v>
      </c>
      <c r="R12" s="162">
        <f t="shared" si="20"/>
        <v>10565800</v>
      </c>
      <c r="S12" s="162">
        <f t="shared" si="9"/>
        <v>3296300.0000000009</v>
      </c>
      <c r="T12" s="142">
        <v>13</v>
      </c>
      <c r="U12" s="141">
        <f t="shared" si="10"/>
        <v>-2</v>
      </c>
    </row>
    <row r="13" spans="1:21" s="191" customFormat="1" x14ac:dyDescent="0.2">
      <c r="A13" s="184">
        <v>8</v>
      </c>
      <c r="B13" s="185" t="s">
        <v>12</v>
      </c>
      <c r="C13" s="184">
        <v>15</v>
      </c>
      <c r="D13" s="187">
        <v>33</v>
      </c>
      <c r="E13" s="192">
        <v>39.826000000000001</v>
      </c>
      <c r="F13" s="189">
        <f t="shared" si="0"/>
        <v>19713.900000000001</v>
      </c>
      <c r="G13" s="189"/>
      <c r="H13" s="190">
        <f t="shared" si="1"/>
        <v>19713.900000000001</v>
      </c>
      <c r="I13" s="190">
        <v>14333.1</v>
      </c>
      <c r="J13" s="357">
        <f t="shared" si="2"/>
        <v>14906.4</v>
      </c>
      <c r="K13" s="377">
        <f t="shared" si="3"/>
        <v>15026.1</v>
      </c>
      <c r="L13" s="377">
        <f t="shared" si="4"/>
        <v>4687.8000000000011</v>
      </c>
      <c r="M13" s="377">
        <f t="shared" si="5"/>
        <v>15026.1</v>
      </c>
      <c r="N13" s="377">
        <f t="shared" ref="N13:O13" si="21">M13</f>
        <v>15026.1</v>
      </c>
      <c r="O13" s="377">
        <f t="shared" si="21"/>
        <v>15026.1</v>
      </c>
      <c r="P13" s="162">
        <f t="shared" si="7"/>
        <v>15026100</v>
      </c>
      <c r="Q13" s="162">
        <f t="shared" ref="Q13:R13" si="22">P13</f>
        <v>15026100</v>
      </c>
      <c r="R13" s="162">
        <f t="shared" si="22"/>
        <v>15026100</v>
      </c>
      <c r="S13" s="162">
        <f t="shared" si="9"/>
        <v>4687800.0000000009</v>
      </c>
      <c r="T13" s="142">
        <v>11</v>
      </c>
      <c r="U13" s="141">
        <f t="shared" si="10"/>
        <v>4</v>
      </c>
    </row>
    <row r="14" spans="1:21" s="191" customFormat="1" x14ac:dyDescent="0.2">
      <c r="A14" s="184">
        <v>9</v>
      </c>
      <c r="B14" s="185" t="s">
        <v>13</v>
      </c>
      <c r="C14" s="184">
        <v>15</v>
      </c>
      <c r="D14" s="187">
        <v>33</v>
      </c>
      <c r="E14" s="192">
        <v>52.078000000000003</v>
      </c>
      <c r="F14" s="189">
        <f t="shared" si="0"/>
        <v>25778.6</v>
      </c>
      <c r="G14" s="189"/>
      <c r="H14" s="190">
        <f t="shared" si="1"/>
        <v>25778.6</v>
      </c>
      <c r="I14" s="190">
        <v>27066.2</v>
      </c>
      <c r="J14" s="357">
        <f t="shared" si="2"/>
        <v>28148.799999999999</v>
      </c>
      <c r="K14" s="377">
        <f t="shared" si="3"/>
        <v>19648.599999999999</v>
      </c>
      <c r="L14" s="377">
        <f t="shared" si="4"/>
        <v>6130</v>
      </c>
      <c r="M14" s="377">
        <f t="shared" si="5"/>
        <v>19648.599999999999</v>
      </c>
      <c r="N14" s="377">
        <f t="shared" ref="N14:O14" si="23">M14</f>
        <v>19648.599999999999</v>
      </c>
      <c r="O14" s="377">
        <f t="shared" si="23"/>
        <v>19648.599999999999</v>
      </c>
      <c r="P14" s="162">
        <f t="shared" si="7"/>
        <v>19648600</v>
      </c>
      <c r="Q14" s="162">
        <f t="shared" ref="Q14:R14" si="24">P14</f>
        <v>19648600</v>
      </c>
      <c r="R14" s="162">
        <f t="shared" si="24"/>
        <v>19648600</v>
      </c>
      <c r="S14" s="162">
        <f t="shared" si="9"/>
        <v>6130000</v>
      </c>
      <c r="T14" s="142">
        <v>17</v>
      </c>
      <c r="U14" s="141">
        <f t="shared" si="10"/>
        <v>-2</v>
      </c>
    </row>
    <row r="15" spans="1:21" s="191" customFormat="1" x14ac:dyDescent="0.2">
      <c r="A15" s="184">
        <v>10</v>
      </c>
      <c r="B15" s="185" t="s">
        <v>33</v>
      </c>
      <c r="C15" s="184">
        <v>6</v>
      </c>
      <c r="D15" s="187">
        <v>33</v>
      </c>
      <c r="E15" s="192">
        <v>39.987000000000002</v>
      </c>
      <c r="F15" s="189">
        <f>ROUND(C15*D15*E15,1)</f>
        <v>7917.4</v>
      </c>
      <c r="G15" s="189"/>
      <c r="H15" s="190">
        <f t="shared" si="1"/>
        <v>7917.4</v>
      </c>
      <c r="I15" s="190">
        <v>11431.8</v>
      </c>
      <c r="J15" s="357">
        <f t="shared" si="2"/>
        <v>11889.1</v>
      </c>
      <c r="K15" s="377">
        <f t="shared" si="3"/>
        <v>6034.7</v>
      </c>
      <c r="L15" s="377">
        <f t="shared" si="4"/>
        <v>1882.6999999999998</v>
      </c>
      <c r="M15" s="377">
        <f t="shared" si="5"/>
        <v>6034.7</v>
      </c>
      <c r="N15" s="377">
        <f t="shared" ref="N15:O15" si="25">M15</f>
        <v>6034.7</v>
      </c>
      <c r="O15" s="377">
        <f t="shared" si="25"/>
        <v>6034.7</v>
      </c>
      <c r="P15" s="162">
        <f t="shared" si="7"/>
        <v>6034700</v>
      </c>
      <c r="Q15" s="162">
        <f t="shared" ref="Q15:R15" si="26">P15</f>
        <v>6034700</v>
      </c>
      <c r="R15" s="162">
        <f t="shared" si="26"/>
        <v>6034700</v>
      </c>
      <c r="S15" s="162">
        <f t="shared" si="9"/>
        <v>1882699.9999999998</v>
      </c>
      <c r="T15" s="142">
        <v>9</v>
      </c>
      <c r="U15" s="141">
        <f t="shared" si="10"/>
        <v>-3</v>
      </c>
    </row>
    <row r="16" spans="1:21" s="191" customFormat="1" x14ac:dyDescent="0.2">
      <c r="A16" s="184">
        <v>11</v>
      </c>
      <c r="B16" s="185" t="s">
        <v>67</v>
      </c>
      <c r="C16" s="184">
        <v>14</v>
      </c>
      <c r="D16" s="187">
        <v>33</v>
      </c>
      <c r="E16" s="192">
        <v>60.112450000000003</v>
      </c>
      <c r="F16" s="189">
        <f t="shared" si="0"/>
        <v>27772</v>
      </c>
      <c r="G16" s="189"/>
      <c r="H16" s="190">
        <f t="shared" si="1"/>
        <v>27772</v>
      </c>
      <c r="I16" s="190">
        <v>20148.3</v>
      </c>
      <c r="J16" s="357">
        <f t="shared" si="2"/>
        <v>20954.2</v>
      </c>
      <c r="K16" s="377">
        <f t="shared" si="3"/>
        <v>21168</v>
      </c>
      <c r="L16" s="377">
        <f t="shared" si="4"/>
        <v>6604</v>
      </c>
      <c r="M16" s="377">
        <f t="shared" si="5"/>
        <v>21168</v>
      </c>
      <c r="N16" s="377">
        <f t="shared" ref="N16:O16" si="27">M16</f>
        <v>21168</v>
      </c>
      <c r="O16" s="377">
        <f t="shared" si="27"/>
        <v>21168</v>
      </c>
      <c r="P16" s="162">
        <f t="shared" si="7"/>
        <v>21168000</v>
      </c>
      <c r="Q16" s="162">
        <f t="shared" ref="Q16:R16" si="28">P16</f>
        <v>21168000</v>
      </c>
      <c r="R16" s="162">
        <f t="shared" si="28"/>
        <v>21168000</v>
      </c>
      <c r="S16" s="162">
        <f t="shared" si="9"/>
        <v>6604000</v>
      </c>
      <c r="T16" s="142">
        <v>12</v>
      </c>
      <c r="U16" s="141">
        <f t="shared" si="10"/>
        <v>2</v>
      </c>
    </row>
    <row r="17" spans="1:21" s="191" customFormat="1" x14ac:dyDescent="0.2">
      <c r="A17" s="184">
        <v>12</v>
      </c>
      <c r="B17" s="185" t="s">
        <v>16</v>
      </c>
      <c r="C17" s="184">
        <v>13</v>
      </c>
      <c r="D17" s="187">
        <v>33</v>
      </c>
      <c r="E17" s="192">
        <v>53.048999999999999</v>
      </c>
      <c r="F17" s="189">
        <f t="shared" si="0"/>
        <v>22758</v>
      </c>
      <c r="G17" s="189"/>
      <c r="H17" s="190">
        <f t="shared" si="1"/>
        <v>22758</v>
      </c>
      <c r="I17" s="190">
        <v>23157.599999999999</v>
      </c>
      <c r="J17" s="357">
        <f t="shared" si="2"/>
        <v>24083.9</v>
      </c>
      <c r="K17" s="377">
        <f t="shared" si="3"/>
        <v>17346.3</v>
      </c>
      <c r="L17" s="377">
        <f t="shared" si="4"/>
        <v>5411.7000000000007</v>
      </c>
      <c r="M17" s="377">
        <f t="shared" si="5"/>
        <v>17346.3</v>
      </c>
      <c r="N17" s="377">
        <f t="shared" ref="N17:O17" si="29">M17</f>
        <v>17346.3</v>
      </c>
      <c r="O17" s="377">
        <f t="shared" si="29"/>
        <v>17346.3</v>
      </c>
      <c r="P17" s="162">
        <f t="shared" si="7"/>
        <v>17346300</v>
      </c>
      <c r="Q17" s="162">
        <f t="shared" ref="Q17:R17" si="30">P17</f>
        <v>17346300</v>
      </c>
      <c r="R17" s="162">
        <f t="shared" si="30"/>
        <v>17346300</v>
      </c>
      <c r="S17" s="162">
        <f t="shared" si="9"/>
        <v>5411700.0000000009</v>
      </c>
      <c r="T17" s="142">
        <v>14</v>
      </c>
      <c r="U17" s="141">
        <f t="shared" si="10"/>
        <v>-1</v>
      </c>
    </row>
    <row r="18" spans="1:21" s="191" customFormat="1" x14ac:dyDescent="0.2">
      <c r="A18" s="184">
        <v>13</v>
      </c>
      <c r="B18" s="185" t="s">
        <v>17</v>
      </c>
      <c r="C18" s="184">
        <v>11</v>
      </c>
      <c r="D18" s="187">
        <v>33</v>
      </c>
      <c r="E18" s="192">
        <v>32.203000000000003</v>
      </c>
      <c r="F18" s="189">
        <f t="shared" si="0"/>
        <v>11689.7</v>
      </c>
      <c r="G18" s="189"/>
      <c r="H18" s="190">
        <f t="shared" si="1"/>
        <v>11689.7</v>
      </c>
      <c r="I18" s="190">
        <v>8761</v>
      </c>
      <c r="J18" s="357">
        <f t="shared" si="2"/>
        <v>9111.4</v>
      </c>
      <c r="K18" s="377">
        <f t="shared" si="3"/>
        <v>8910</v>
      </c>
      <c r="L18" s="377">
        <f t="shared" si="4"/>
        <v>2779.7000000000007</v>
      </c>
      <c r="M18" s="377">
        <f t="shared" si="5"/>
        <v>8910</v>
      </c>
      <c r="N18" s="377">
        <f t="shared" ref="N18:O18" si="31">M18</f>
        <v>8910</v>
      </c>
      <c r="O18" s="377">
        <f t="shared" si="31"/>
        <v>8910</v>
      </c>
      <c r="P18" s="162">
        <f t="shared" si="7"/>
        <v>8910000</v>
      </c>
      <c r="Q18" s="162">
        <f t="shared" ref="Q18:R18" si="32">P18</f>
        <v>8910000</v>
      </c>
      <c r="R18" s="162">
        <f t="shared" si="32"/>
        <v>8910000</v>
      </c>
      <c r="S18" s="162">
        <f t="shared" si="9"/>
        <v>2779700.0000000009</v>
      </c>
      <c r="T18" s="142">
        <v>12</v>
      </c>
      <c r="U18" s="141">
        <f t="shared" si="10"/>
        <v>-1</v>
      </c>
    </row>
    <row r="19" spans="1:21" s="191" customFormat="1" x14ac:dyDescent="0.2">
      <c r="A19" s="184">
        <v>14</v>
      </c>
      <c r="B19" s="185" t="s">
        <v>18</v>
      </c>
      <c r="C19" s="184">
        <v>9</v>
      </c>
      <c r="D19" s="187">
        <v>33</v>
      </c>
      <c r="E19" s="193">
        <v>51.988349999999997</v>
      </c>
      <c r="F19" s="189">
        <f t="shared" si="0"/>
        <v>15440.5</v>
      </c>
      <c r="G19" s="189"/>
      <c r="H19" s="190">
        <f t="shared" si="1"/>
        <v>15440.5</v>
      </c>
      <c r="I19" s="190">
        <v>11059.7</v>
      </c>
      <c r="J19" s="357">
        <f t="shared" si="2"/>
        <v>11502.1</v>
      </c>
      <c r="K19" s="377">
        <f t="shared" si="3"/>
        <v>11768.9</v>
      </c>
      <c r="L19" s="377">
        <f t="shared" si="4"/>
        <v>3671.6000000000004</v>
      </c>
      <c r="M19" s="377">
        <f t="shared" si="5"/>
        <v>11768.9</v>
      </c>
      <c r="N19" s="377">
        <f t="shared" ref="N19:O19" si="33">M19</f>
        <v>11768.9</v>
      </c>
      <c r="O19" s="377">
        <f t="shared" si="33"/>
        <v>11768.9</v>
      </c>
      <c r="P19" s="162">
        <f t="shared" si="7"/>
        <v>11768900</v>
      </c>
      <c r="Q19" s="162">
        <f t="shared" ref="Q19:R19" si="34">P19</f>
        <v>11768900</v>
      </c>
      <c r="R19" s="162">
        <f t="shared" si="34"/>
        <v>11768900</v>
      </c>
      <c r="S19" s="162">
        <f t="shared" si="9"/>
        <v>3671600.0000000005</v>
      </c>
      <c r="T19" s="142">
        <v>7</v>
      </c>
      <c r="U19" s="141">
        <f t="shared" si="10"/>
        <v>2</v>
      </c>
    </row>
    <row r="20" spans="1:21" s="191" customFormat="1" x14ac:dyDescent="0.2">
      <c r="A20" s="184">
        <v>15</v>
      </c>
      <c r="B20" s="185" t="s">
        <v>19</v>
      </c>
      <c r="C20" s="184">
        <v>18</v>
      </c>
      <c r="D20" s="187">
        <v>33</v>
      </c>
      <c r="E20" s="192">
        <v>20.219000000000001</v>
      </c>
      <c r="F20" s="189">
        <f t="shared" si="0"/>
        <v>12010.1</v>
      </c>
      <c r="G20" s="189"/>
      <c r="H20" s="190">
        <f t="shared" si="1"/>
        <v>12010.1</v>
      </c>
      <c r="I20" s="190">
        <v>7164.6</v>
      </c>
      <c r="J20" s="357">
        <f t="shared" si="2"/>
        <v>7451.2</v>
      </c>
      <c r="K20" s="377">
        <f t="shared" si="3"/>
        <v>9154.2000000000007</v>
      </c>
      <c r="L20" s="377">
        <f t="shared" si="4"/>
        <v>2855.8999999999996</v>
      </c>
      <c r="M20" s="377">
        <f t="shared" si="5"/>
        <v>9154.2000000000007</v>
      </c>
      <c r="N20" s="377">
        <f t="shared" ref="N20:O20" si="35">M20</f>
        <v>9154.2000000000007</v>
      </c>
      <c r="O20" s="377">
        <f t="shared" si="35"/>
        <v>9154.2000000000007</v>
      </c>
      <c r="P20" s="162">
        <f t="shared" si="7"/>
        <v>9154200</v>
      </c>
      <c r="Q20" s="162">
        <f t="shared" ref="Q20:R20" si="36">P20</f>
        <v>9154200</v>
      </c>
      <c r="R20" s="162">
        <f t="shared" si="36"/>
        <v>9154200</v>
      </c>
      <c r="S20" s="162">
        <f t="shared" si="9"/>
        <v>2855899.9999999995</v>
      </c>
      <c r="T20" s="142">
        <v>11</v>
      </c>
      <c r="U20" s="141">
        <f t="shared" si="10"/>
        <v>7</v>
      </c>
    </row>
    <row r="21" spans="1:21" s="191" customFormat="1" x14ac:dyDescent="0.2">
      <c r="A21" s="184">
        <v>16</v>
      </c>
      <c r="B21" s="185" t="s">
        <v>20</v>
      </c>
      <c r="C21" s="184">
        <v>12</v>
      </c>
      <c r="D21" s="187">
        <v>33</v>
      </c>
      <c r="E21" s="192">
        <v>47.9</v>
      </c>
      <c r="F21" s="189">
        <f t="shared" si="0"/>
        <v>18968.400000000001</v>
      </c>
      <c r="G21" s="189"/>
      <c r="H21" s="190">
        <f t="shared" si="1"/>
        <v>18968.400000000001</v>
      </c>
      <c r="I21" s="190">
        <v>21159.5</v>
      </c>
      <c r="J21" s="357">
        <f t="shared" si="2"/>
        <v>22005.9</v>
      </c>
      <c r="K21" s="377">
        <f t="shared" si="3"/>
        <v>14457.9</v>
      </c>
      <c r="L21" s="377">
        <f t="shared" si="4"/>
        <v>4510.5000000000018</v>
      </c>
      <c r="M21" s="377">
        <f t="shared" si="5"/>
        <v>14457.9</v>
      </c>
      <c r="N21" s="377">
        <f t="shared" ref="N21:O21" si="37">M21</f>
        <v>14457.9</v>
      </c>
      <c r="O21" s="377">
        <f t="shared" si="37"/>
        <v>14457.9</v>
      </c>
      <c r="P21" s="162">
        <f t="shared" si="7"/>
        <v>14457900</v>
      </c>
      <c r="Q21" s="162">
        <f t="shared" ref="Q21:R21" si="38">P21</f>
        <v>14457900</v>
      </c>
      <c r="R21" s="162">
        <f t="shared" si="38"/>
        <v>14457900</v>
      </c>
      <c r="S21" s="162">
        <f t="shared" si="9"/>
        <v>4510500.0000000019</v>
      </c>
      <c r="T21" s="142">
        <v>14</v>
      </c>
      <c r="U21" s="141">
        <f t="shared" si="10"/>
        <v>-2</v>
      </c>
    </row>
    <row r="22" spans="1:21" s="191" customFormat="1" x14ac:dyDescent="0.2">
      <c r="A22" s="184">
        <v>17</v>
      </c>
      <c r="B22" s="185" t="s">
        <v>21</v>
      </c>
      <c r="C22" s="184">
        <v>38</v>
      </c>
      <c r="D22" s="187">
        <v>33</v>
      </c>
      <c r="E22" s="192">
        <v>74.768730000000005</v>
      </c>
      <c r="F22" s="189">
        <f t="shared" si="0"/>
        <v>93760</v>
      </c>
      <c r="G22" s="189"/>
      <c r="H22" s="190">
        <f t="shared" si="1"/>
        <v>93760</v>
      </c>
      <c r="I22" s="190">
        <v>26677.7</v>
      </c>
      <c r="J22" s="357">
        <f t="shared" si="2"/>
        <v>27744.799999999999</v>
      </c>
      <c r="K22" s="377">
        <f t="shared" si="3"/>
        <v>71464.600000000006</v>
      </c>
      <c r="L22" s="377">
        <f t="shared" si="4"/>
        <v>22295.399999999994</v>
      </c>
      <c r="M22" s="377">
        <f t="shared" si="5"/>
        <v>71464.600000000006</v>
      </c>
      <c r="N22" s="377">
        <f t="shared" ref="N22:O22" si="39">M22</f>
        <v>71464.600000000006</v>
      </c>
      <c r="O22" s="377">
        <f t="shared" si="39"/>
        <v>71464.600000000006</v>
      </c>
      <c r="P22" s="162">
        <f t="shared" si="7"/>
        <v>71464600</v>
      </c>
      <c r="Q22" s="162">
        <f t="shared" ref="Q22:R22" si="40">P22</f>
        <v>71464600</v>
      </c>
      <c r="R22" s="162">
        <f t="shared" si="40"/>
        <v>71464600</v>
      </c>
      <c r="S22" s="162">
        <f t="shared" si="9"/>
        <v>22295399.999999993</v>
      </c>
      <c r="T22" s="142">
        <v>15</v>
      </c>
      <c r="U22" s="141">
        <f t="shared" si="10"/>
        <v>23</v>
      </c>
    </row>
    <row r="23" spans="1:21" s="191" customFormat="1" x14ac:dyDescent="0.2">
      <c r="A23" s="184">
        <v>18</v>
      </c>
      <c r="B23" s="185" t="s">
        <v>22</v>
      </c>
      <c r="C23" s="184">
        <v>6</v>
      </c>
      <c r="D23" s="187">
        <v>33</v>
      </c>
      <c r="E23" s="192">
        <v>94.195999999999998</v>
      </c>
      <c r="F23" s="189">
        <f t="shared" si="0"/>
        <v>18650.8</v>
      </c>
      <c r="G23" s="189"/>
      <c r="H23" s="190">
        <f t="shared" si="1"/>
        <v>18650.8</v>
      </c>
      <c r="I23" s="190">
        <v>25944.3</v>
      </c>
      <c r="J23" s="357">
        <f t="shared" si="2"/>
        <v>26982.1</v>
      </c>
      <c r="K23" s="377">
        <f t="shared" si="3"/>
        <v>14215.8</v>
      </c>
      <c r="L23" s="377">
        <f t="shared" si="4"/>
        <v>4435</v>
      </c>
      <c r="M23" s="377">
        <f t="shared" si="5"/>
        <v>14215.8</v>
      </c>
      <c r="N23" s="377">
        <f t="shared" ref="N23:O23" si="41">M23</f>
        <v>14215.8</v>
      </c>
      <c r="O23" s="377">
        <f t="shared" si="41"/>
        <v>14215.8</v>
      </c>
      <c r="P23" s="162">
        <f t="shared" si="7"/>
        <v>14215800</v>
      </c>
      <c r="Q23" s="162">
        <f t="shared" ref="Q23:R23" si="42">P23</f>
        <v>14215800</v>
      </c>
      <c r="R23" s="162">
        <f t="shared" si="42"/>
        <v>14215800</v>
      </c>
      <c r="S23" s="162">
        <f t="shared" si="9"/>
        <v>4435000</v>
      </c>
      <c r="T23" s="142">
        <v>9</v>
      </c>
      <c r="U23" s="141">
        <f t="shared" si="10"/>
        <v>-3</v>
      </c>
    </row>
    <row r="24" spans="1:21" s="200" customFormat="1" x14ac:dyDescent="0.2">
      <c r="A24" s="194"/>
      <c r="B24" s="194" t="s">
        <v>23</v>
      </c>
      <c r="C24" s="195">
        <f>SUM(C6:C23)</f>
        <v>302</v>
      </c>
      <c r="D24" s="196"/>
      <c r="E24" s="197"/>
      <c r="F24" s="198">
        <f>SUM(F6:F23)</f>
        <v>540535</v>
      </c>
      <c r="G24" s="198">
        <f>SUM(G6:G23)</f>
        <v>0</v>
      </c>
      <c r="H24" s="199">
        <f>SUM(H6:H23)</f>
        <v>540535</v>
      </c>
      <c r="I24" s="199">
        <f>SUM(I6:I23)</f>
        <v>421201.8</v>
      </c>
      <c r="J24" s="374">
        <f>SUM(J6:J23)</f>
        <v>438049.9</v>
      </c>
      <c r="K24" s="378">
        <f t="shared" ref="K24:O24" si="43">SUM(K6:K23)</f>
        <v>411999.90000000008</v>
      </c>
      <c r="L24" s="378">
        <f t="shared" si="43"/>
        <v>128535.09999999999</v>
      </c>
      <c r="M24" s="378">
        <f t="shared" si="43"/>
        <v>411999.90000000008</v>
      </c>
      <c r="N24" s="378">
        <f t="shared" si="43"/>
        <v>411999.90000000008</v>
      </c>
      <c r="O24" s="378">
        <f t="shared" si="43"/>
        <v>411999.90000000008</v>
      </c>
      <c r="P24" s="375">
        <f>SUM(P6:P23)</f>
        <v>411999900</v>
      </c>
      <c r="Q24" s="348">
        <f t="shared" ref="Q24:S24" si="44">SUM(Q6:Q23)</f>
        <v>411999900</v>
      </c>
      <c r="R24" s="349">
        <f t="shared" si="44"/>
        <v>411999900</v>
      </c>
      <c r="S24" s="349">
        <f t="shared" si="44"/>
        <v>128535100</v>
      </c>
      <c r="T24" s="143">
        <f>SUM(T6:T23)</f>
        <v>272</v>
      </c>
      <c r="U24" s="143">
        <f>SUM(U6:U23)</f>
        <v>30</v>
      </c>
    </row>
    <row r="25" spans="1:21" s="106" customFormat="1" ht="12" customHeight="1" x14ac:dyDescent="0.2">
      <c r="B25" s="107"/>
      <c r="C25" s="108"/>
      <c r="D25" s="109"/>
      <c r="E25" s="110"/>
      <c r="F25" s="111"/>
      <c r="G25" s="109"/>
      <c r="H25" s="160">
        <f>H24/I24-100%</f>
        <v>0.28331597823181198</v>
      </c>
      <c r="I25" s="161"/>
      <c r="J25" s="160">
        <f>J24/I24-100%</f>
        <v>4.0000066476449048E-2</v>
      </c>
      <c r="K25" s="162"/>
      <c r="L25" s="162"/>
      <c r="M25" s="162"/>
      <c r="N25" s="162"/>
      <c r="O25" s="162"/>
      <c r="P25" s="3"/>
      <c r="Q25" s="2">
        <v>562156400</v>
      </c>
      <c r="R25" s="2">
        <v>584642700</v>
      </c>
      <c r="S25" s="3"/>
    </row>
    <row r="26" spans="1:21" x14ac:dyDescent="0.2">
      <c r="B26" s="109"/>
      <c r="C26" s="109"/>
      <c r="D26" s="109"/>
      <c r="E26" s="110"/>
      <c r="F26" s="112"/>
      <c r="K26" s="356">
        <f>(K27/1000)/F24</f>
        <v>0.76220762762818328</v>
      </c>
      <c r="P26" s="79"/>
      <c r="Q26" s="159">
        <f>Q25-Q24</f>
        <v>150156500</v>
      </c>
      <c r="R26" s="159">
        <f>R25-R24</f>
        <v>172642800</v>
      </c>
      <c r="S26" s="79"/>
    </row>
    <row r="27" spans="1:21" x14ac:dyDescent="0.2">
      <c r="E27" s="101"/>
      <c r="F27" s="101"/>
      <c r="K27" s="33">
        <v>411999900</v>
      </c>
    </row>
    <row r="28" spans="1:21" x14ac:dyDescent="0.2">
      <c r="B28" s="109"/>
      <c r="C28" s="109"/>
      <c r="D28" s="109"/>
      <c r="E28" s="110"/>
      <c r="F28" s="112"/>
      <c r="G28" s="109"/>
    </row>
    <row r="29" spans="1:21" x14ac:dyDescent="0.2">
      <c r="H29" s="113"/>
    </row>
    <row r="31" spans="1:21" x14ac:dyDescent="0.2">
      <c r="H31" s="101">
        <f>H24/C24</f>
        <v>1789.8509933774835</v>
      </c>
      <c r="I31" s="415">
        <f>M24/H31</f>
        <v>230.18670354371136</v>
      </c>
      <c r="J31" s="416">
        <f>C24-I31</f>
        <v>71.81329645628864</v>
      </c>
    </row>
  </sheetData>
  <sheetProtection selectLockedCells="1" selectUnlockedCells="1"/>
  <mergeCells count="15">
    <mergeCell ref="K3:K5"/>
    <mergeCell ref="L3:L5"/>
    <mergeCell ref="J3:J5"/>
    <mergeCell ref="P5:R5"/>
    <mergeCell ref="M4:O4"/>
    <mergeCell ref="F3:F5"/>
    <mergeCell ref="G3:G5"/>
    <mergeCell ref="H3:H5"/>
    <mergeCell ref="I3:I5"/>
    <mergeCell ref="B1:H1"/>
    <mergeCell ref="A3:A5"/>
    <mergeCell ref="B3:B5"/>
    <mergeCell ref="C3:C5"/>
    <mergeCell ref="D3:D5"/>
    <mergeCell ref="E3:E5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403" customWidth="1"/>
    <col min="2" max="2" width="16.7109375" style="380" customWidth="1"/>
    <col min="3" max="3" width="13.140625" style="380" customWidth="1"/>
    <col min="4" max="4" width="15.28515625" style="380" customWidth="1"/>
    <col min="5" max="5" width="14.28515625" style="380" customWidth="1"/>
    <col min="6" max="6" width="13.140625" style="380" customWidth="1"/>
    <col min="7" max="7" width="20.85546875" style="380" customWidth="1"/>
    <col min="8" max="9" width="13.140625" style="380" customWidth="1"/>
    <col min="10" max="10" width="15.5703125" style="380" customWidth="1"/>
    <col min="11" max="11" width="19" style="380" customWidth="1"/>
    <col min="12" max="12" width="16" style="380" customWidth="1"/>
    <col min="13" max="27" width="13.140625" style="380" customWidth="1"/>
    <col min="28" max="28" width="13" style="380" customWidth="1"/>
    <col min="29" max="29" width="14.28515625" style="380" customWidth="1"/>
    <col min="30" max="30" width="13.140625" style="380" customWidth="1"/>
    <col min="31" max="31" width="13.42578125" style="380" customWidth="1"/>
    <col min="32" max="32" width="15" style="380" bestFit="1" customWidth="1"/>
    <col min="33" max="33" width="14.28515625" style="380" customWidth="1"/>
    <col min="34" max="34" width="12.140625" style="380" customWidth="1"/>
    <col min="35" max="35" width="14.85546875" style="380" customWidth="1"/>
    <col min="36" max="36" width="11.5703125" style="380" bestFit="1" customWidth="1"/>
    <col min="37" max="37" width="14.85546875" style="380" bestFit="1" customWidth="1"/>
    <col min="38" max="38" width="13.5703125" style="380" bestFit="1" customWidth="1"/>
    <col min="39" max="39" width="11.28515625" style="380" bestFit="1" customWidth="1"/>
    <col min="40" max="40" width="15.140625" style="380" customWidth="1"/>
    <col min="41" max="41" width="13.7109375" style="380" customWidth="1"/>
    <col min="42" max="43" width="11.28515625" style="380" bestFit="1" customWidth="1"/>
    <col min="44" max="44" width="9.140625" style="380"/>
    <col min="45" max="47" width="15.28515625" style="380" bestFit="1" customWidth="1"/>
    <col min="48" max="48" width="12.7109375" style="380" bestFit="1" customWidth="1"/>
    <col min="49" max="16384" width="9.140625" style="380"/>
  </cols>
  <sheetData>
    <row r="1" spans="1:48" ht="36" customHeight="1" x14ac:dyDescent="0.2">
      <c r="A1" s="545" t="s">
        <v>333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545"/>
      <c r="P1" s="545"/>
      <c r="Q1" s="545"/>
      <c r="R1" s="545"/>
      <c r="S1" s="545"/>
      <c r="T1" s="545"/>
      <c r="U1" s="545"/>
      <c r="V1" s="545"/>
      <c r="W1" s="545"/>
      <c r="X1" s="545"/>
      <c r="Y1" s="545"/>
      <c r="Z1" s="545"/>
      <c r="AA1" s="545"/>
      <c r="AB1" s="545"/>
      <c r="AC1" s="545"/>
      <c r="AD1" s="545"/>
      <c r="AE1" s="545"/>
      <c r="AF1" s="545"/>
      <c r="AG1" s="545"/>
      <c r="AH1" s="545"/>
    </row>
    <row r="3" spans="1:48" s="382" customFormat="1" ht="33" customHeight="1" x14ac:dyDescent="0.2">
      <c r="A3" s="546" t="s">
        <v>24</v>
      </c>
      <c r="B3" s="535" t="s">
        <v>70</v>
      </c>
      <c r="C3" s="535" t="s">
        <v>71</v>
      </c>
      <c r="D3" s="535" t="s">
        <v>280</v>
      </c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 t="s">
        <v>246</v>
      </c>
      <c r="V3" s="535"/>
      <c r="W3" s="535"/>
      <c r="X3" s="535"/>
      <c r="Y3" s="535"/>
      <c r="Z3" s="535"/>
      <c r="AA3" s="547" t="s">
        <v>72</v>
      </c>
      <c r="AB3" s="535" t="s">
        <v>73</v>
      </c>
      <c r="AC3" s="535"/>
      <c r="AD3" s="535"/>
      <c r="AE3" s="548" t="s">
        <v>255</v>
      </c>
      <c r="AF3" s="549" t="s">
        <v>255</v>
      </c>
      <c r="AG3" s="549"/>
      <c r="AH3" s="550"/>
      <c r="AI3" s="381" t="s">
        <v>289</v>
      </c>
      <c r="AK3" s="516" t="s">
        <v>328</v>
      </c>
      <c r="AL3" s="516" t="s">
        <v>327</v>
      </c>
      <c r="AM3" s="527" t="s">
        <v>286</v>
      </c>
      <c r="AN3" s="528"/>
      <c r="AO3" s="528"/>
      <c r="AP3" s="529"/>
      <c r="AQ3" s="530"/>
    </row>
    <row r="4" spans="1:48" s="382" customFormat="1" x14ac:dyDescent="0.2">
      <c r="A4" s="546"/>
      <c r="B4" s="535"/>
      <c r="C4" s="535"/>
      <c r="D4" s="538" t="s">
        <v>74</v>
      </c>
      <c r="E4" s="538" t="s">
        <v>75</v>
      </c>
      <c r="F4" s="538" t="s">
        <v>76</v>
      </c>
      <c r="G4" s="538" t="s">
        <v>77</v>
      </c>
      <c r="H4" s="538" t="s">
        <v>78</v>
      </c>
      <c r="I4" s="538" t="s">
        <v>79</v>
      </c>
      <c r="J4" s="538" t="s">
        <v>80</v>
      </c>
      <c r="K4" s="538" t="s">
        <v>81</v>
      </c>
      <c r="L4" s="538" t="s">
        <v>82</v>
      </c>
      <c r="M4" s="539" t="s">
        <v>83</v>
      </c>
      <c r="N4" s="540" t="s">
        <v>84</v>
      </c>
      <c r="O4" s="540"/>
      <c r="P4" s="541" t="s">
        <v>274</v>
      </c>
      <c r="Q4" s="541"/>
      <c r="R4" s="542"/>
      <c r="S4" s="543" t="s">
        <v>85</v>
      </c>
      <c r="T4" s="535" t="s">
        <v>86</v>
      </c>
      <c r="U4" s="535" t="s">
        <v>87</v>
      </c>
      <c r="V4" s="535" t="s">
        <v>88</v>
      </c>
      <c r="W4" s="535" t="s">
        <v>89</v>
      </c>
      <c r="X4" s="535" t="s">
        <v>90</v>
      </c>
      <c r="Y4" s="535" t="s">
        <v>275</v>
      </c>
      <c r="Z4" s="535" t="s">
        <v>260</v>
      </c>
      <c r="AA4" s="547"/>
      <c r="AB4" s="535" t="s">
        <v>91</v>
      </c>
      <c r="AC4" s="535" t="s">
        <v>92</v>
      </c>
      <c r="AD4" s="535" t="s">
        <v>276</v>
      </c>
      <c r="AE4" s="548"/>
      <c r="AF4" s="535" t="s">
        <v>69</v>
      </c>
      <c r="AG4" s="535" t="s">
        <v>247</v>
      </c>
      <c r="AH4" s="535" t="s">
        <v>248</v>
      </c>
      <c r="AI4" s="536" t="s">
        <v>69</v>
      </c>
      <c r="AJ4" s="544" t="s">
        <v>329</v>
      </c>
      <c r="AK4" s="516" t="s">
        <v>326</v>
      </c>
      <c r="AL4" s="534" t="s">
        <v>327</v>
      </c>
      <c r="AM4" s="531">
        <v>2020</v>
      </c>
      <c r="AN4" s="529"/>
      <c r="AO4" s="530"/>
      <c r="AP4" s="532">
        <v>2022</v>
      </c>
      <c r="AQ4" s="532">
        <v>2023</v>
      </c>
    </row>
    <row r="5" spans="1:48" s="382" customFormat="1" ht="78" customHeight="1" x14ac:dyDescent="0.2">
      <c r="A5" s="546"/>
      <c r="B5" s="535"/>
      <c r="C5" s="535"/>
      <c r="D5" s="538"/>
      <c r="E5" s="538"/>
      <c r="F5" s="538"/>
      <c r="G5" s="538"/>
      <c r="H5" s="538"/>
      <c r="I5" s="538"/>
      <c r="J5" s="538"/>
      <c r="K5" s="538"/>
      <c r="L5" s="538"/>
      <c r="M5" s="539"/>
      <c r="N5" s="383" t="s">
        <v>93</v>
      </c>
      <c r="O5" s="383" t="s">
        <v>94</v>
      </c>
      <c r="P5" s="384" t="s">
        <v>274</v>
      </c>
      <c r="Q5" s="385" t="s">
        <v>277</v>
      </c>
      <c r="R5" s="385" t="s">
        <v>278</v>
      </c>
      <c r="S5" s="543"/>
      <c r="T5" s="535"/>
      <c r="U5" s="535"/>
      <c r="V5" s="535"/>
      <c r="W5" s="535"/>
      <c r="X5" s="535"/>
      <c r="Y5" s="535"/>
      <c r="Z5" s="535"/>
      <c r="AA5" s="547"/>
      <c r="AB5" s="535"/>
      <c r="AC5" s="535"/>
      <c r="AD5" s="535"/>
      <c r="AE5" s="548"/>
      <c r="AF5" s="535"/>
      <c r="AG5" s="535"/>
      <c r="AH5" s="535"/>
      <c r="AI5" s="537"/>
      <c r="AJ5" s="544"/>
      <c r="AK5" s="523" t="s">
        <v>326</v>
      </c>
      <c r="AL5" s="523" t="s">
        <v>327</v>
      </c>
      <c r="AM5" s="386" t="s">
        <v>69</v>
      </c>
      <c r="AN5" s="386" t="s">
        <v>247</v>
      </c>
      <c r="AO5" s="386" t="s">
        <v>248</v>
      </c>
      <c r="AP5" s="533"/>
      <c r="AQ5" s="533"/>
      <c r="AS5" s="496" t="s">
        <v>306</v>
      </c>
      <c r="AT5" s="497"/>
      <c r="AU5" s="498"/>
      <c r="AV5" s="2" t="s">
        <v>330</v>
      </c>
    </row>
    <row r="6" spans="1:48" s="191" customFormat="1" ht="12" customHeight="1" x14ac:dyDescent="0.2">
      <c r="A6" s="204">
        <v>1</v>
      </c>
      <c r="B6" s="205" t="s">
        <v>32</v>
      </c>
      <c r="C6" s="204">
        <v>4457</v>
      </c>
      <c r="D6" s="207">
        <v>71</v>
      </c>
      <c r="E6" s="207">
        <v>23</v>
      </c>
      <c r="F6" s="207">
        <v>9</v>
      </c>
      <c r="G6" s="207">
        <v>1</v>
      </c>
      <c r="H6" s="207">
        <v>4</v>
      </c>
      <c r="I6" s="207">
        <v>135</v>
      </c>
      <c r="J6" s="207">
        <v>15</v>
      </c>
      <c r="K6" s="207">
        <v>326</v>
      </c>
      <c r="L6" s="207">
        <v>286</v>
      </c>
      <c r="M6" s="207">
        <f t="shared" ref="M6:M20" si="0">D6+F6+G6+H6+I6+J6+K6+L6</f>
        <v>847</v>
      </c>
      <c r="N6" s="207">
        <v>0</v>
      </c>
      <c r="O6" s="207">
        <v>0</v>
      </c>
      <c r="P6" s="207">
        <v>1825</v>
      </c>
      <c r="Q6" s="207">
        <v>384</v>
      </c>
      <c r="R6" s="207">
        <f>P6-Q6</f>
        <v>1441</v>
      </c>
      <c r="S6" s="207">
        <f t="shared" ref="S6:S23" si="1">J6+K6+N6+O6</f>
        <v>341</v>
      </c>
      <c r="T6" s="207">
        <f t="shared" ref="T6:T23" si="2">M6+N6+O6+P6</f>
        <v>2672</v>
      </c>
      <c r="U6" s="208">
        <f>ROUND(M6*$G$29*$G$28*(100-AA6)/100/1000,1)</f>
        <v>13452.5</v>
      </c>
      <c r="V6" s="208">
        <f t="shared" ref="V6:V23" si="3">ROUND((N6+O6)*$G$28*$G$29*(100-AA6)/100/1000*1,1)</f>
        <v>0</v>
      </c>
      <c r="W6" s="209">
        <f>U6+V6</f>
        <v>13452.5</v>
      </c>
      <c r="X6" s="210">
        <f t="shared" ref="X6:X23" si="4">ROUND(P6*$G$29*$G$30*(100-AA6)/100/1000,1)</f>
        <v>3623.2</v>
      </c>
      <c r="Y6" s="210">
        <f>ROUND(R6*$G$29*$G$31*(100-AA6)/100/1000,1)</f>
        <v>22886.7</v>
      </c>
      <c r="Z6" s="211">
        <f>ROUND(U6+V6+X6+Y6,1)</f>
        <v>39962.400000000001</v>
      </c>
      <c r="AA6" s="202">
        <v>14.5</v>
      </c>
      <c r="AB6" s="212">
        <v>0.5</v>
      </c>
      <c r="AC6" s="213">
        <f>ROUND(AB6*$AD$31*1000,1)</f>
        <v>562850</v>
      </c>
      <c r="AD6" s="209">
        <f>ROUND(AB6*$AD$31*1.2,1)</f>
        <v>675.4</v>
      </c>
      <c r="AE6" s="201">
        <f>Z6+AD6</f>
        <v>40637.800000000003</v>
      </c>
      <c r="AF6" s="203">
        <f>AE6</f>
        <v>40637.800000000003</v>
      </c>
      <c r="AG6" s="203">
        <f>AF6-AH6</f>
        <v>39962.400000000001</v>
      </c>
      <c r="AH6" s="203">
        <f t="shared" ref="AH6:AH23" si="5">AD6</f>
        <v>675.4</v>
      </c>
      <c r="AI6" s="203">
        <v>15468.7</v>
      </c>
      <c r="AJ6" s="357">
        <f t="shared" ref="AJ6:AJ23" si="6">ROUND(AI6*1.04,1)</f>
        <v>16087.4</v>
      </c>
      <c r="AK6" s="358">
        <f>ROUND(AF6*$AK$26,1)</f>
        <v>19671.8</v>
      </c>
      <c r="AL6" s="358">
        <f>AF6-AK6</f>
        <v>20966.000000000004</v>
      </c>
      <c r="AM6" s="377">
        <f t="shared" ref="AM6:AM23" si="7">AS6/1000</f>
        <v>19671.8</v>
      </c>
      <c r="AN6" s="377">
        <f>AM6-AO6</f>
        <v>18996.399999999998</v>
      </c>
      <c r="AO6" s="377">
        <f t="shared" ref="AO6:AO23" si="8">AH6</f>
        <v>675.4</v>
      </c>
      <c r="AP6" s="377">
        <f t="shared" ref="AP6:AP23" si="9">AT6/1000</f>
        <v>19671.8</v>
      </c>
      <c r="AQ6" s="377">
        <f t="shared" ref="AQ6:AQ23" si="10">AU6/1000</f>
        <v>19671.8</v>
      </c>
      <c r="AS6" s="162">
        <f t="shared" ref="AS6:AS23" si="11">AK6*1000</f>
        <v>19671800</v>
      </c>
      <c r="AT6" s="162">
        <f>AS6</f>
        <v>19671800</v>
      </c>
      <c r="AU6" s="162">
        <f>AT6</f>
        <v>19671800</v>
      </c>
      <c r="AV6" s="162">
        <f t="shared" ref="AV6:AV23" si="12">AL6*1000</f>
        <v>20966000.000000004</v>
      </c>
    </row>
    <row r="7" spans="1:48" s="191" customFormat="1" x14ac:dyDescent="0.2">
      <c r="A7" s="204">
        <v>2</v>
      </c>
      <c r="B7" s="205" t="s">
        <v>64</v>
      </c>
      <c r="C7" s="204">
        <v>4136</v>
      </c>
      <c r="D7" s="207">
        <v>161</v>
      </c>
      <c r="E7" s="207">
        <v>21</v>
      </c>
      <c r="F7" s="207">
        <v>116</v>
      </c>
      <c r="G7" s="207">
        <v>2</v>
      </c>
      <c r="H7" s="207">
        <v>8</v>
      </c>
      <c r="I7" s="207">
        <v>119</v>
      </c>
      <c r="J7" s="207">
        <v>13</v>
      </c>
      <c r="K7" s="207">
        <v>154</v>
      </c>
      <c r="L7" s="207">
        <v>684</v>
      </c>
      <c r="M7" s="207">
        <f t="shared" si="0"/>
        <v>1257</v>
      </c>
      <c r="N7" s="207">
        <v>384</v>
      </c>
      <c r="O7" s="207">
        <v>48</v>
      </c>
      <c r="P7" s="207">
        <v>1757</v>
      </c>
      <c r="Q7" s="207">
        <v>764</v>
      </c>
      <c r="R7" s="207">
        <f t="shared" ref="R7:R23" si="13">P7-Q7</f>
        <v>993</v>
      </c>
      <c r="S7" s="207">
        <f t="shared" si="1"/>
        <v>599</v>
      </c>
      <c r="T7" s="207">
        <f t="shared" si="2"/>
        <v>3446</v>
      </c>
      <c r="U7" s="208">
        <f t="shared" ref="U7:U23" si="14">ROUND(M7*$G$29*$G$28*(100-AA7)/100/1000,1)</f>
        <v>21248.5</v>
      </c>
      <c r="V7" s="208">
        <f t="shared" si="3"/>
        <v>7302.6</v>
      </c>
      <c r="W7" s="209">
        <f t="shared" ref="W7:W16" si="15">U7+V7</f>
        <v>28551.1</v>
      </c>
      <c r="X7" s="210">
        <f t="shared" si="4"/>
        <v>3712.6</v>
      </c>
      <c r="Y7" s="210">
        <f t="shared" ref="Y7:Y23" si="16">ROUND(R7*$G$29*$G$31*(100-AA7)/100/1000,1)</f>
        <v>16785.8</v>
      </c>
      <c r="Z7" s="211">
        <f t="shared" ref="Z7:Z23" si="17">ROUND(U7+V7+X7+Y7,1)</f>
        <v>49049.5</v>
      </c>
      <c r="AA7" s="202">
        <v>9</v>
      </c>
      <c r="AB7" s="212">
        <v>0.5</v>
      </c>
      <c r="AC7" s="213">
        <f t="shared" ref="AC7:AC23" si="18">ROUND(AB7*$AD$31*1000,1)</f>
        <v>562850</v>
      </c>
      <c r="AD7" s="209">
        <f t="shared" ref="AD7:AD23" si="19">ROUND(AB7*$AD$31*1.2,1)</f>
        <v>675.4</v>
      </c>
      <c r="AE7" s="201">
        <f t="shared" ref="AE7:AE23" si="20">Z7+AD7</f>
        <v>49724.9</v>
      </c>
      <c r="AF7" s="203">
        <f t="shared" ref="AF7:AF23" si="21">AE7</f>
        <v>49724.9</v>
      </c>
      <c r="AG7" s="203">
        <f t="shared" ref="AG7:AG23" si="22">AF7-AH7</f>
        <v>49049.5</v>
      </c>
      <c r="AH7" s="203">
        <f t="shared" si="5"/>
        <v>675.4</v>
      </c>
      <c r="AI7" s="203">
        <v>30488.7</v>
      </c>
      <c r="AJ7" s="357">
        <f t="shared" si="6"/>
        <v>31708.2</v>
      </c>
      <c r="AK7" s="358">
        <f t="shared" ref="AK7:AK23" si="23">ROUND(AF7*$AK$26,1)</f>
        <v>24070.6</v>
      </c>
      <c r="AL7" s="358">
        <f t="shared" ref="AL7:AL23" si="24">AF7-AK7</f>
        <v>25654.300000000003</v>
      </c>
      <c r="AM7" s="377">
        <f t="shared" si="7"/>
        <v>24070.6</v>
      </c>
      <c r="AN7" s="377">
        <f t="shared" ref="AN7:AN23" si="25">AM7-AO7</f>
        <v>23395.199999999997</v>
      </c>
      <c r="AO7" s="377">
        <f t="shared" si="8"/>
        <v>675.4</v>
      </c>
      <c r="AP7" s="377">
        <f t="shared" si="9"/>
        <v>24070.6</v>
      </c>
      <c r="AQ7" s="377">
        <f t="shared" si="10"/>
        <v>24070.6</v>
      </c>
      <c r="AS7" s="162">
        <f t="shared" si="11"/>
        <v>24070600</v>
      </c>
      <c r="AT7" s="162">
        <f t="shared" ref="AT7:AU7" si="26">AS7</f>
        <v>24070600</v>
      </c>
      <c r="AU7" s="162">
        <f t="shared" si="26"/>
        <v>24070600</v>
      </c>
      <c r="AV7" s="162">
        <f t="shared" si="12"/>
        <v>25654300.000000004</v>
      </c>
    </row>
    <row r="8" spans="1:48" s="191" customFormat="1" x14ac:dyDescent="0.2">
      <c r="A8" s="204">
        <v>3</v>
      </c>
      <c r="B8" s="205" t="s">
        <v>65</v>
      </c>
      <c r="C8" s="206">
        <v>7483</v>
      </c>
      <c r="D8" s="207">
        <v>833</v>
      </c>
      <c r="E8" s="207">
        <v>60</v>
      </c>
      <c r="F8" s="207">
        <v>67</v>
      </c>
      <c r="G8" s="207">
        <v>0</v>
      </c>
      <c r="H8" s="207">
        <v>9</v>
      </c>
      <c r="I8" s="207">
        <v>262</v>
      </c>
      <c r="J8" s="207">
        <v>39</v>
      </c>
      <c r="K8" s="207">
        <v>435</v>
      </c>
      <c r="L8" s="207">
        <v>505</v>
      </c>
      <c r="M8" s="207">
        <f t="shared" si="0"/>
        <v>2150</v>
      </c>
      <c r="N8" s="207">
        <v>127</v>
      </c>
      <c r="O8" s="207">
        <v>5</v>
      </c>
      <c r="P8" s="207">
        <v>3127</v>
      </c>
      <c r="Q8" s="207">
        <v>1118</v>
      </c>
      <c r="R8" s="207">
        <f t="shared" si="13"/>
        <v>2009</v>
      </c>
      <c r="S8" s="207">
        <f t="shared" si="1"/>
        <v>606</v>
      </c>
      <c r="T8" s="207">
        <f t="shared" si="2"/>
        <v>5409</v>
      </c>
      <c r="U8" s="208">
        <f t="shared" si="14"/>
        <v>34187.300000000003</v>
      </c>
      <c r="V8" s="208">
        <f t="shared" si="3"/>
        <v>2098.9</v>
      </c>
      <c r="W8" s="209">
        <f t="shared" si="15"/>
        <v>36286.200000000004</v>
      </c>
      <c r="X8" s="210">
        <f>ROUND(P8*$G$29*$G$30*(100-AA8)/100/1000,1)</f>
        <v>6215.3</v>
      </c>
      <c r="Y8" s="210">
        <f t="shared" si="16"/>
        <v>31945.200000000001</v>
      </c>
      <c r="Z8" s="211">
        <f t="shared" si="17"/>
        <v>74446.7</v>
      </c>
      <c r="AA8" s="202">
        <v>14.4</v>
      </c>
      <c r="AB8" s="212">
        <v>0.8</v>
      </c>
      <c r="AC8" s="213">
        <f t="shared" si="18"/>
        <v>900560</v>
      </c>
      <c r="AD8" s="209">
        <f t="shared" si="19"/>
        <v>1080.7</v>
      </c>
      <c r="AE8" s="201">
        <f t="shared" si="20"/>
        <v>75527.399999999994</v>
      </c>
      <c r="AF8" s="203">
        <f t="shared" si="21"/>
        <v>75527.399999999994</v>
      </c>
      <c r="AG8" s="203">
        <f t="shared" si="22"/>
        <v>74446.7</v>
      </c>
      <c r="AH8" s="203">
        <f t="shared" si="5"/>
        <v>1080.7</v>
      </c>
      <c r="AI8" s="203">
        <v>41851.9</v>
      </c>
      <c r="AJ8" s="357">
        <f t="shared" si="6"/>
        <v>43526</v>
      </c>
      <c r="AK8" s="358">
        <f t="shared" si="23"/>
        <v>36561</v>
      </c>
      <c r="AL8" s="358">
        <f t="shared" si="24"/>
        <v>38966.399999999994</v>
      </c>
      <c r="AM8" s="377">
        <f t="shared" si="7"/>
        <v>36561</v>
      </c>
      <c r="AN8" s="377">
        <f t="shared" si="25"/>
        <v>35480.300000000003</v>
      </c>
      <c r="AO8" s="377">
        <f t="shared" si="8"/>
        <v>1080.7</v>
      </c>
      <c r="AP8" s="377">
        <f t="shared" si="9"/>
        <v>36561</v>
      </c>
      <c r="AQ8" s="377">
        <f t="shared" si="10"/>
        <v>36561</v>
      </c>
      <c r="AS8" s="162">
        <f t="shared" si="11"/>
        <v>36561000</v>
      </c>
      <c r="AT8" s="162">
        <f t="shared" ref="AT8:AU8" si="27">AS8</f>
        <v>36561000</v>
      </c>
      <c r="AU8" s="162">
        <f t="shared" si="27"/>
        <v>36561000</v>
      </c>
      <c r="AV8" s="162">
        <f t="shared" si="12"/>
        <v>38966399.999999993</v>
      </c>
    </row>
    <row r="9" spans="1:48" s="191" customFormat="1" x14ac:dyDescent="0.2">
      <c r="A9" s="204">
        <v>4</v>
      </c>
      <c r="B9" s="205" t="s">
        <v>8</v>
      </c>
      <c r="C9" s="206">
        <v>45470</v>
      </c>
      <c r="D9" s="207">
        <v>320</v>
      </c>
      <c r="E9" s="207">
        <v>99</v>
      </c>
      <c r="F9" s="207">
        <v>86</v>
      </c>
      <c r="G9" s="207">
        <v>8</v>
      </c>
      <c r="H9" s="207">
        <v>15</v>
      </c>
      <c r="I9" s="207">
        <v>750</v>
      </c>
      <c r="J9" s="207">
        <v>44</v>
      </c>
      <c r="K9" s="207">
        <v>2299</v>
      </c>
      <c r="L9" s="207">
        <v>985</v>
      </c>
      <c r="M9" s="207">
        <f t="shared" si="0"/>
        <v>4507</v>
      </c>
      <c r="N9" s="207">
        <v>0</v>
      </c>
      <c r="O9" s="207">
        <v>0</v>
      </c>
      <c r="P9" s="207">
        <v>22095</v>
      </c>
      <c r="Q9" s="207">
        <v>2771</v>
      </c>
      <c r="R9" s="207">
        <f t="shared" si="13"/>
        <v>19324</v>
      </c>
      <c r="S9" s="207">
        <f t="shared" si="1"/>
        <v>2343</v>
      </c>
      <c r="T9" s="207">
        <f t="shared" si="2"/>
        <v>26602</v>
      </c>
      <c r="U9" s="208">
        <f t="shared" si="14"/>
        <v>73173.100000000006</v>
      </c>
      <c r="V9" s="208">
        <f t="shared" si="3"/>
        <v>0</v>
      </c>
      <c r="W9" s="209">
        <f t="shared" si="15"/>
        <v>73173.100000000006</v>
      </c>
      <c r="X9" s="210">
        <f t="shared" si="4"/>
        <v>44840.2</v>
      </c>
      <c r="Y9" s="210">
        <f t="shared" si="16"/>
        <v>313733.3</v>
      </c>
      <c r="Z9" s="211">
        <f t="shared" si="17"/>
        <v>431746.6</v>
      </c>
      <c r="AA9" s="202">
        <v>12.6</v>
      </c>
      <c r="AB9" s="212">
        <v>1</v>
      </c>
      <c r="AC9" s="213">
        <f t="shared" si="18"/>
        <v>1125700</v>
      </c>
      <c r="AD9" s="209">
        <f t="shared" si="19"/>
        <v>1350.8</v>
      </c>
      <c r="AE9" s="201">
        <f t="shared" si="20"/>
        <v>433097.39999999997</v>
      </c>
      <c r="AF9" s="203">
        <f t="shared" si="21"/>
        <v>433097.39999999997</v>
      </c>
      <c r="AG9" s="203">
        <f t="shared" si="22"/>
        <v>431746.6</v>
      </c>
      <c r="AH9" s="203">
        <f t="shared" si="5"/>
        <v>1350.8</v>
      </c>
      <c r="AI9" s="203">
        <v>99937.4</v>
      </c>
      <c r="AJ9" s="357">
        <f t="shared" si="6"/>
        <v>103934.9</v>
      </c>
      <c r="AK9" s="358">
        <f t="shared" si="23"/>
        <v>209651.9</v>
      </c>
      <c r="AL9" s="358">
        <f t="shared" si="24"/>
        <v>223445.49999999997</v>
      </c>
      <c r="AM9" s="377">
        <f t="shared" si="7"/>
        <v>209651.9</v>
      </c>
      <c r="AN9" s="377">
        <f t="shared" si="25"/>
        <v>208301.1</v>
      </c>
      <c r="AO9" s="377">
        <f t="shared" si="8"/>
        <v>1350.8</v>
      </c>
      <c r="AP9" s="377">
        <f t="shared" si="9"/>
        <v>209651.9</v>
      </c>
      <c r="AQ9" s="377">
        <f t="shared" si="10"/>
        <v>209651.9</v>
      </c>
      <c r="AS9" s="162">
        <f t="shared" si="11"/>
        <v>209651900</v>
      </c>
      <c r="AT9" s="162">
        <f t="shared" ref="AT9:AU9" si="28">AS9</f>
        <v>209651900</v>
      </c>
      <c r="AU9" s="162">
        <f t="shared" si="28"/>
        <v>209651900</v>
      </c>
      <c r="AV9" s="162">
        <f t="shared" si="12"/>
        <v>223445499.99999997</v>
      </c>
    </row>
    <row r="10" spans="1:48" s="191" customFormat="1" x14ac:dyDescent="0.2">
      <c r="A10" s="204">
        <v>5</v>
      </c>
      <c r="B10" s="205" t="s">
        <v>9</v>
      </c>
      <c r="C10" s="206">
        <v>16506</v>
      </c>
      <c r="D10" s="207">
        <v>2765</v>
      </c>
      <c r="E10" s="207">
        <v>111</v>
      </c>
      <c r="F10" s="207">
        <v>30</v>
      </c>
      <c r="G10" s="207">
        <v>2</v>
      </c>
      <c r="H10" s="207">
        <v>13</v>
      </c>
      <c r="I10" s="207">
        <v>540</v>
      </c>
      <c r="J10" s="207">
        <v>120</v>
      </c>
      <c r="K10" s="207">
        <v>1399</v>
      </c>
      <c r="L10" s="207">
        <v>977</v>
      </c>
      <c r="M10" s="207">
        <f t="shared" si="0"/>
        <v>5846</v>
      </c>
      <c r="N10" s="207">
        <v>0</v>
      </c>
      <c r="O10" s="207">
        <v>0</v>
      </c>
      <c r="P10" s="207">
        <v>7241</v>
      </c>
      <c r="Q10" s="207">
        <v>2518</v>
      </c>
      <c r="R10" s="207">
        <f t="shared" si="13"/>
        <v>4723</v>
      </c>
      <c r="S10" s="207">
        <f t="shared" si="1"/>
        <v>1519</v>
      </c>
      <c r="T10" s="207">
        <f t="shared" si="2"/>
        <v>13087</v>
      </c>
      <c r="U10" s="208">
        <f t="shared" si="14"/>
        <v>100993.60000000001</v>
      </c>
      <c r="V10" s="208">
        <f t="shared" si="3"/>
        <v>0</v>
      </c>
      <c r="W10" s="209">
        <f t="shared" si="15"/>
        <v>100993.60000000001</v>
      </c>
      <c r="X10" s="210">
        <f t="shared" si="4"/>
        <v>15636.6</v>
      </c>
      <c r="Y10" s="210">
        <f t="shared" si="16"/>
        <v>81593</v>
      </c>
      <c r="Z10" s="211">
        <f t="shared" si="17"/>
        <v>198223.2</v>
      </c>
      <c r="AA10" s="202">
        <v>7</v>
      </c>
      <c r="AB10" s="212">
        <v>1</v>
      </c>
      <c r="AC10" s="213">
        <f t="shared" si="18"/>
        <v>1125700</v>
      </c>
      <c r="AD10" s="209">
        <f t="shared" si="19"/>
        <v>1350.8</v>
      </c>
      <c r="AE10" s="201">
        <f t="shared" si="20"/>
        <v>199574</v>
      </c>
      <c r="AF10" s="203">
        <f t="shared" si="21"/>
        <v>199574</v>
      </c>
      <c r="AG10" s="203">
        <f t="shared" si="22"/>
        <v>198223.2</v>
      </c>
      <c r="AH10" s="203">
        <f t="shared" si="5"/>
        <v>1350.8</v>
      </c>
      <c r="AI10" s="203">
        <v>99303.2</v>
      </c>
      <c r="AJ10" s="357">
        <f t="shared" si="6"/>
        <v>103275.3</v>
      </c>
      <c r="AK10" s="358">
        <f t="shared" si="23"/>
        <v>96608.9</v>
      </c>
      <c r="AL10" s="358">
        <f t="shared" si="24"/>
        <v>102965.1</v>
      </c>
      <c r="AM10" s="377">
        <f t="shared" si="7"/>
        <v>96608.9</v>
      </c>
      <c r="AN10" s="377">
        <f t="shared" si="25"/>
        <v>95258.099999999991</v>
      </c>
      <c r="AO10" s="377">
        <f t="shared" si="8"/>
        <v>1350.8</v>
      </c>
      <c r="AP10" s="377">
        <f t="shared" si="9"/>
        <v>96608.9</v>
      </c>
      <c r="AQ10" s="377">
        <f t="shared" si="10"/>
        <v>96608.9</v>
      </c>
      <c r="AS10" s="162">
        <f t="shared" si="11"/>
        <v>96608900</v>
      </c>
      <c r="AT10" s="162">
        <f t="shared" ref="AT10:AU10" si="29">AS10</f>
        <v>96608900</v>
      </c>
      <c r="AU10" s="162">
        <f t="shared" si="29"/>
        <v>96608900</v>
      </c>
      <c r="AV10" s="162">
        <f t="shared" si="12"/>
        <v>102965100</v>
      </c>
    </row>
    <row r="11" spans="1:48" s="191" customFormat="1" x14ac:dyDescent="0.2">
      <c r="A11" s="204">
        <v>6</v>
      </c>
      <c r="B11" s="205" t="s">
        <v>66</v>
      </c>
      <c r="C11" s="206">
        <v>20437</v>
      </c>
      <c r="D11" s="207">
        <v>572</v>
      </c>
      <c r="E11" s="207">
        <v>147</v>
      </c>
      <c r="F11" s="207">
        <v>66</v>
      </c>
      <c r="G11" s="207">
        <v>3</v>
      </c>
      <c r="H11" s="207">
        <v>10</v>
      </c>
      <c r="I11" s="207">
        <v>893</v>
      </c>
      <c r="J11" s="207">
        <v>39</v>
      </c>
      <c r="K11" s="207">
        <v>1920</v>
      </c>
      <c r="L11" s="207">
        <v>1582</v>
      </c>
      <c r="M11" s="207">
        <f t="shared" si="0"/>
        <v>5085</v>
      </c>
      <c r="N11" s="207">
        <v>0</v>
      </c>
      <c r="O11" s="207">
        <v>0</v>
      </c>
      <c r="P11" s="207">
        <v>9103</v>
      </c>
      <c r="Q11" s="207">
        <v>2592</v>
      </c>
      <c r="R11" s="207">
        <f t="shared" si="13"/>
        <v>6511</v>
      </c>
      <c r="S11" s="207">
        <f t="shared" si="1"/>
        <v>1959</v>
      </c>
      <c r="T11" s="207">
        <f t="shared" si="2"/>
        <v>14188</v>
      </c>
      <c r="U11" s="208">
        <f t="shared" si="14"/>
        <v>87185.600000000006</v>
      </c>
      <c r="V11" s="208">
        <f t="shared" si="3"/>
        <v>0</v>
      </c>
      <c r="W11" s="209">
        <f t="shared" si="15"/>
        <v>87185.600000000006</v>
      </c>
      <c r="X11" s="210">
        <f t="shared" si="4"/>
        <v>19509.599999999999</v>
      </c>
      <c r="Y11" s="210">
        <f t="shared" si="16"/>
        <v>111635.3</v>
      </c>
      <c r="Z11" s="211">
        <f t="shared" si="17"/>
        <v>218330.5</v>
      </c>
      <c r="AA11" s="202">
        <v>7.7</v>
      </c>
      <c r="AB11" s="212">
        <v>1</v>
      </c>
      <c r="AC11" s="213">
        <f t="shared" si="18"/>
        <v>1125700</v>
      </c>
      <c r="AD11" s="209">
        <f t="shared" si="19"/>
        <v>1350.8</v>
      </c>
      <c r="AE11" s="201">
        <f t="shared" si="20"/>
        <v>219681.3</v>
      </c>
      <c r="AF11" s="203">
        <f t="shared" si="21"/>
        <v>219681.3</v>
      </c>
      <c r="AG11" s="203">
        <f t="shared" si="22"/>
        <v>218330.5</v>
      </c>
      <c r="AH11" s="203">
        <f t="shared" si="5"/>
        <v>1350.8</v>
      </c>
      <c r="AI11" s="203">
        <v>94751.8</v>
      </c>
      <c r="AJ11" s="357">
        <f t="shared" si="6"/>
        <v>98541.9</v>
      </c>
      <c r="AK11" s="358">
        <f t="shared" si="23"/>
        <v>106342.39999999999</v>
      </c>
      <c r="AL11" s="358">
        <f t="shared" si="24"/>
        <v>113338.9</v>
      </c>
      <c r="AM11" s="377">
        <f t="shared" si="7"/>
        <v>106342.39999999999</v>
      </c>
      <c r="AN11" s="377">
        <f t="shared" si="25"/>
        <v>104991.59999999999</v>
      </c>
      <c r="AO11" s="377">
        <f t="shared" si="8"/>
        <v>1350.8</v>
      </c>
      <c r="AP11" s="377">
        <f t="shared" si="9"/>
        <v>106342.39999999999</v>
      </c>
      <c r="AQ11" s="377">
        <f t="shared" si="10"/>
        <v>106342.39999999999</v>
      </c>
      <c r="AS11" s="162">
        <f t="shared" si="11"/>
        <v>106342400</v>
      </c>
      <c r="AT11" s="162">
        <f t="shared" ref="AT11:AU11" si="30">AS11</f>
        <v>106342400</v>
      </c>
      <c r="AU11" s="162">
        <f t="shared" si="30"/>
        <v>106342400</v>
      </c>
      <c r="AV11" s="162">
        <f t="shared" si="12"/>
        <v>113338900</v>
      </c>
    </row>
    <row r="12" spans="1:48" s="191" customFormat="1" x14ac:dyDescent="0.2">
      <c r="A12" s="204">
        <v>7</v>
      </c>
      <c r="B12" s="205" t="s">
        <v>11</v>
      </c>
      <c r="C12" s="206">
        <v>7443</v>
      </c>
      <c r="D12" s="207">
        <v>122</v>
      </c>
      <c r="E12" s="207">
        <v>17</v>
      </c>
      <c r="F12" s="207">
        <v>49</v>
      </c>
      <c r="G12" s="207">
        <v>0</v>
      </c>
      <c r="H12" s="207">
        <v>1</v>
      </c>
      <c r="I12" s="207">
        <v>441</v>
      </c>
      <c r="J12" s="207">
        <v>1</v>
      </c>
      <c r="K12" s="207">
        <v>707</v>
      </c>
      <c r="L12" s="207">
        <v>592</v>
      </c>
      <c r="M12" s="207">
        <f t="shared" si="0"/>
        <v>1913</v>
      </c>
      <c r="N12" s="207">
        <v>0</v>
      </c>
      <c r="O12" s="207">
        <v>0</v>
      </c>
      <c r="P12" s="207">
        <v>3300</v>
      </c>
      <c r="Q12" s="207">
        <v>0</v>
      </c>
      <c r="R12" s="207">
        <f t="shared" si="13"/>
        <v>3300</v>
      </c>
      <c r="S12" s="207">
        <f t="shared" si="1"/>
        <v>708</v>
      </c>
      <c r="T12" s="207">
        <f t="shared" si="2"/>
        <v>5213</v>
      </c>
      <c r="U12" s="208">
        <f t="shared" si="14"/>
        <v>31307.1</v>
      </c>
      <c r="V12" s="208">
        <f t="shared" si="3"/>
        <v>0</v>
      </c>
      <c r="W12" s="209">
        <f t="shared" si="15"/>
        <v>31307.1</v>
      </c>
      <c r="X12" s="210">
        <f t="shared" si="4"/>
        <v>6750.8</v>
      </c>
      <c r="Y12" s="210">
        <f t="shared" si="16"/>
        <v>54006</v>
      </c>
      <c r="Z12" s="211">
        <f t="shared" si="17"/>
        <v>92063.9</v>
      </c>
      <c r="AA12" s="202">
        <v>11.9</v>
      </c>
      <c r="AB12" s="212">
        <v>0.8</v>
      </c>
      <c r="AC12" s="213">
        <f t="shared" si="18"/>
        <v>900560</v>
      </c>
      <c r="AD12" s="209">
        <f t="shared" si="19"/>
        <v>1080.7</v>
      </c>
      <c r="AE12" s="201">
        <f t="shared" si="20"/>
        <v>93144.599999999991</v>
      </c>
      <c r="AF12" s="203">
        <f t="shared" si="21"/>
        <v>93144.599999999991</v>
      </c>
      <c r="AG12" s="203">
        <f t="shared" si="22"/>
        <v>92063.9</v>
      </c>
      <c r="AH12" s="203">
        <f t="shared" si="5"/>
        <v>1080.7</v>
      </c>
      <c r="AI12" s="203">
        <v>38877.4</v>
      </c>
      <c r="AJ12" s="357">
        <f t="shared" si="6"/>
        <v>40432.5</v>
      </c>
      <c r="AK12" s="358">
        <f t="shared" si="23"/>
        <v>45089</v>
      </c>
      <c r="AL12" s="358">
        <f t="shared" si="24"/>
        <v>48055.599999999991</v>
      </c>
      <c r="AM12" s="377">
        <f t="shared" si="7"/>
        <v>45089</v>
      </c>
      <c r="AN12" s="377">
        <f t="shared" si="25"/>
        <v>44008.3</v>
      </c>
      <c r="AO12" s="377">
        <f t="shared" si="8"/>
        <v>1080.7</v>
      </c>
      <c r="AP12" s="377">
        <f t="shared" si="9"/>
        <v>45089</v>
      </c>
      <c r="AQ12" s="377">
        <f t="shared" si="10"/>
        <v>45089</v>
      </c>
      <c r="AS12" s="162">
        <f t="shared" si="11"/>
        <v>45089000</v>
      </c>
      <c r="AT12" s="162">
        <f t="shared" ref="AT12:AU12" si="31">AS12</f>
        <v>45089000</v>
      </c>
      <c r="AU12" s="162">
        <f t="shared" si="31"/>
        <v>45089000</v>
      </c>
      <c r="AV12" s="162">
        <f t="shared" si="12"/>
        <v>48055599.999999993</v>
      </c>
    </row>
    <row r="13" spans="1:48" s="191" customFormat="1" x14ac:dyDescent="0.2">
      <c r="A13" s="204">
        <v>8</v>
      </c>
      <c r="B13" s="205" t="s">
        <v>12</v>
      </c>
      <c r="C13" s="206">
        <v>7073</v>
      </c>
      <c r="D13" s="207">
        <v>135</v>
      </c>
      <c r="E13" s="207">
        <v>43</v>
      </c>
      <c r="F13" s="207">
        <v>19</v>
      </c>
      <c r="G13" s="207">
        <v>0</v>
      </c>
      <c r="H13" s="207">
        <v>14</v>
      </c>
      <c r="I13" s="207">
        <v>163</v>
      </c>
      <c r="J13" s="207">
        <v>29</v>
      </c>
      <c r="K13" s="207">
        <v>568</v>
      </c>
      <c r="L13" s="207">
        <v>313</v>
      </c>
      <c r="M13" s="207">
        <f t="shared" si="0"/>
        <v>1241</v>
      </c>
      <c r="N13" s="207">
        <v>0</v>
      </c>
      <c r="O13" s="207">
        <v>0</v>
      </c>
      <c r="P13" s="207">
        <v>3108</v>
      </c>
      <c r="Q13" s="207">
        <v>595</v>
      </c>
      <c r="R13" s="207">
        <f t="shared" si="13"/>
        <v>2513</v>
      </c>
      <c r="S13" s="207">
        <f t="shared" si="1"/>
        <v>597</v>
      </c>
      <c r="T13" s="207">
        <f t="shared" si="2"/>
        <v>4349</v>
      </c>
      <c r="U13" s="208">
        <f t="shared" si="14"/>
        <v>21969.3</v>
      </c>
      <c r="V13" s="208">
        <f t="shared" si="3"/>
        <v>0</v>
      </c>
      <c r="W13" s="209">
        <f t="shared" si="15"/>
        <v>21969.3</v>
      </c>
      <c r="X13" s="210">
        <f t="shared" si="4"/>
        <v>6877.6</v>
      </c>
      <c r="Y13" s="210">
        <f t="shared" si="16"/>
        <v>44487.5</v>
      </c>
      <c r="Z13" s="211">
        <f t="shared" si="17"/>
        <v>73334.399999999994</v>
      </c>
      <c r="AA13" s="202">
        <v>4.7</v>
      </c>
      <c r="AB13" s="212">
        <v>0.8</v>
      </c>
      <c r="AC13" s="213">
        <f t="shared" si="18"/>
        <v>900560</v>
      </c>
      <c r="AD13" s="209">
        <f t="shared" si="19"/>
        <v>1080.7</v>
      </c>
      <c r="AE13" s="201">
        <f t="shared" si="20"/>
        <v>74415.099999999991</v>
      </c>
      <c r="AF13" s="203">
        <f t="shared" si="21"/>
        <v>74415.099999999991</v>
      </c>
      <c r="AG13" s="203">
        <f t="shared" si="22"/>
        <v>73334.399999999994</v>
      </c>
      <c r="AH13" s="203">
        <f t="shared" si="5"/>
        <v>1080.7</v>
      </c>
      <c r="AI13" s="203">
        <v>26486.6</v>
      </c>
      <c r="AJ13" s="357">
        <f t="shared" si="6"/>
        <v>27546.1</v>
      </c>
      <c r="AK13" s="358">
        <f t="shared" si="23"/>
        <v>36022.5</v>
      </c>
      <c r="AL13" s="358">
        <f t="shared" si="24"/>
        <v>38392.599999999991</v>
      </c>
      <c r="AM13" s="377">
        <f t="shared" si="7"/>
        <v>36022.5</v>
      </c>
      <c r="AN13" s="377">
        <f t="shared" si="25"/>
        <v>34941.800000000003</v>
      </c>
      <c r="AO13" s="377">
        <f t="shared" si="8"/>
        <v>1080.7</v>
      </c>
      <c r="AP13" s="377">
        <f t="shared" si="9"/>
        <v>36022.5</v>
      </c>
      <c r="AQ13" s="377">
        <f t="shared" si="10"/>
        <v>36022.5</v>
      </c>
      <c r="AS13" s="162">
        <f t="shared" si="11"/>
        <v>36022500</v>
      </c>
      <c r="AT13" s="162">
        <f t="shared" ref="AT13:AU13" si="32">AS13</f>
        <v>36022500</v>
      </c>
      <c r="AU13" s="162">
        <f t="shared" si="32"/>
        <v>36022500</v>
      </c>
      <c r="AV13" s="162">
        <f t="shared" si="12"/>
        <v>38392599.999999993</v>
      </c>
    </row>
    <row r="14" spans="1:48" s="191" customFormat="1" x14ac:dyDescent="0.2">
      <c r="A14" s="204">
        <v>9</v>
      </c>
      <c r="B14" s="205" t="s">
        <v>13</v>
      </c>
      <c r="C14" s="206">
        <v>8910</v>
      </c>
      <c r="D14" s="207">
        <v>568</v>
      </c>
      <c r="E14" s="207">
        <v>47</v>
      </c>
      <c r="F14" s="207">
        <v>45</v>
      </c>
      <c r="G14" s="207">
        <v>4</v>
      </c>
      <c r="H14" s="207">
        <v>6</v>
      </c>
      <c r="I14" s="207">
        <v>265</v>
      </c>
      <c r="J14" s="207">
        <v>0</v>
      </c>
      <c r="K14" s="207">
        <v>717</v>
      </c>
      <c r="L14" s="207">
        <v>364</v>
      </c>
      <c r="M14" s="207">
        <f t="shared" si="0"/>
        <v>1969</v>
      </c>
      <c r="N14" s="207">
        <v>0</v>
      </c>
      <c r="O14" s="207">
        <v>0</v>
      </c>
      <c r="P14" s="207">
        <v>4014</v>
      </c>
      <c r="Q14" s="207">
        <v>984</v>
      </c>
      <c r="R14" s="207">
        <f t="shared" si="13"/>
        <v>3030</v>
      </c>
      <c r="S14" s="207">
        <f t="shared" si="1"/>
        <v>717</v>
      </c>
      <c r="T14" s="207">
        <f t="shared" si="2"/>
        <v>5983</v>
      </c>
      <c r="U14" s="208">
        <f t="shared" si="14"/>
        <v>34674.199999999997</v>
      </c>
      <c r="V14" s="208">
        <f t="shared" si="3"/>
        <v>0</v>
      </c>
      <c r="W14" s="209">
        <f t="shared" si="15"/>
        <v>34674.199999999997</v>
      </c>
      <c r="X14" s="210">
        <f t="shared" si="4"/>
        <v>8835.7999999999993</v>
      </c>
      <c r="Y14" s="210">
        <f t="shared" si="16"/>
        <v>53358.400000000001</v>
      </c>
      <c r="Z14" s="211">
        <f t="shared" si="17"/>
        <v>96868.4</v>
      </c>
      <c r="AA14" s="202">
        <v>5.2</v>
      </c>
      <c r="AB14" s="212">
        <v>0.9</v>
      </c>
      <c r="AC14" s="213">
        <f t="shared" si="18"/>
        <v>1013130</v>
      </c>
      <c r="AD14" s="209">
        <f t="shared" si="19"/>
        <v>1215.8</v>
      </c>
      <c r="AE14" s="201">
        <f t="shared" si="20"/>
        <v>98084.2</v>
      </c>
      <c r="AF14" s="203">
        <f t="shared" si="21"/>
        <v>98084.2</v>
      </c>
      <c r="AG14" s="203">
        <f t="shared" si="22"/>
        <v>96868.4</v>
      </c>
      <c r="AH14" s="203">
        <f t="shared" si="5"/>
        <v>1215.8</v>
      </c>
      <c r="AI14" s="203">
        <v>41665.4</v>
      </c>
      <c r="AJ14" s="357">
        <f t="shared" si="6"/>
        <v>43332</v>
      </c>
      <c r="AK14" s="358">
        <f t="shared" si="23"/>
        <v>47480.2</v>
      </c>
      <c r="AL14" s="358">
        <f t="shared" si="24"/>
        <v>50604</v>
      </c>
      <c r="AM14" s="377">
        <f t="shared" si="7"/>
        <v>47480.2</v>
      </c>
      <c r="AN14" s="377">
        <f t="shared" si="25"/>
        <v>46264.399999999994</v>
      </c>
      <c r="AO14" s="377">
        <f t="shared" si="8"/>
        <v>1215.8</v>
      </c>
      <c r="AP14" s="377">
        <f t="shared" si="9"/>
        <v>47480.2</v>
      </c>
      <c r="AQ14" s="377">
        <f t="shared" si="10"/>
        <v>47480.2</v>
      </c>
      <c r="AS14" s="162">
        <f t="shared" si="11"/>
        <v>47480200</v>
      </c>
      <c r="AT14" s="162">
        <f t="shared" ref="AT14:AU14" si="33">AS14</f>
        <v>47480200</v>
      </c>
      <c r="AU14" s="162">
        <f t="shared" si="33"/>
        <v>47480200</v>
      </c>
      <c r="AV14" s="162">
        <f t="shared" si="12"/>
        <v>50604000</v>
      </c>
    </row>
    <row r="15" spans="1:48" s="191" customFormat="1" x14ac:dyDescent="0.2">
      <c r="A15" s="204">
        <v>10</v>
      </c>
      <c r="B15" s="205" t="s">
        <v>33</v>
      </c>
      <c r="C15" s="206">
        <v>2683</v>
      </c>
      <c r="D15" s="207">
        <v>291</v>
      </c>
      <c r="E15" s="207">
        <v>22</v>
      </c>
      <c r="F15" s="207">
        <v>22</v>
      </c>
      <c r="G15" s="207">
        <v>0</v>
      </c>
      <c r="H15" s="207">
        <v>9</v>
      </c>
      <c r="I15" s="207">
        <v>207</v>
      </c>
      <c r="J15" s="207">
        <v>11</v>
      </c>
      <c r="K15" s="207">
        <v>213</v>
      </c>
      <c r="L15" s="207">
        <v>381</v>
      </c>
      <c r="M15" s="207">
        <f t="shared" si="0"/>
        <v>1134</v>
      </c>
      <c r="N15" s="207">
        <v>0</v>
      </c>
      <c r="O15" s="207">
        <v>0</v>
      </c>
      <c r="P15" s="207">
        <v>1120</v>
      </c>
      <c r="Q15" s="207">
        <v>478</v>
      </c>
      <c r="R15" s="207">
        <f t="shared" si="13"/>
        <v>642</v>
      </c>
      <c r="S15" s="207">
        <f t="shared" si="1"/>
        <v>224</v>
      </c>
      <c r="T15" s="207">
        <f t="shared" si="2"/>
        <v>2254</v>
      </c>
      <c r="U15" s="208">
        <f t="shared" si="14"/>
        <v>18010.7</v>
      </c>
      <c r="V15" s="208">
        <f t="shared" si="3"/>
        <v>0</v>
      </c>
      <c r="W15" s="209">
        <f t="shared" si="15"/>
        <v>18010.7</v>
      </c>
      <c r="X15" s="210">
        <f t="shared" si="4"/>
        <v>2223.5</v>
      </c>
      <c r="Y15" s="210">
        <f>ROUND(R15*$G$29*$G$31*(100-AA15)/100/1000,1)</f>
        <v>10196.6</v>
      </c>
      <c r="Z15" s="211">
        <f t="shared" si="17"/>
        <v>30430.799999999999</v>
      </c>
      <c r="AA15" s="202">
        <v>14.5</v>
      </c>
      <c r="AB15" s="212">
        <v>0.3</v>
      </c>
      <c r="AC15" s="213">
        <f t="shared" si="18"/>
        <v>337710</v>
      </c>
      <c r="AD15" s="209">
        <f t="shared" ref="AD15" si="34">ROUND(AB15*$AD$31*1.2,1)</f>
        <v>405.3</v>
      </c>
      <c r="AE15" s="201">
        <f t="shared" ref="AE15" si="35">Z15+AD15</f>
        <v>30836.1</v>
      </c>
      <c r="AF15" s="203">
        <f t="shared" si="21"/>
        <v>30836.1</v>
      </c>
      <c r="AG15" s="203">
        <f t="shared" si="22"/>
        <v>30430.799999999999</v>
      </c>
      <c r="AH15" s="203">
        <f t="shared" si="5"/>
        <v>405.3</v>
      </c>
      <c r="AI15" s="203">
        <v>20512.3</v>
      </c>
      <c r="AJ15" s="357">
        <f t="shared" si="6"/>
        <v>21332.799999999999</v>
      </c>
      <c r="AK15" s="358">
        <f t="shared" si="23"/>
        <v>14927</v>
      </c>
      <c r="AL15" s="358">
        <f t="shared" si="24"/>
        <v>15909.099999999999</v>
      </c>
      <c r="AM15" s="377">
        <f t="shared" si="7"/>
        <v>14927</v>
      </c>
      <c r="AN15" s="377">
        <f t="shared" si="25"/>
        <v>14521.7</v>
      </c>
      <c r="AO15" s="377">
        <f t="shared" si="8"/>
        <v>405.3</v>
      </c>
      <c r="AP15" s="377">
        <f t="shared" si="9"/>
        <v>14927</v>
      </c>
      <c r="AQ15" s="377">
        <f t="shared" si="10"/>
        <v>14927</v>
      </c>
      <c r="AS15" s="162">
        <f t="shared" si="11"/>
        <v>14927000</v>
      </c>
      <c r="AT15" s="162">
        <f t="shared" ref="AT15:AU15" si="36">AS15</f>
        <v>14927000</v>
      </c>
      <c r="AU15" s="162">
        <f t="shared" si="36"/>
        <v>14927000</v>
      </c>
      <c r="AV15" s="162">
        <f t="shared" si="12"/>
        <v>15909099.999999998</v>
      </c>
    </row>
    <row r="16" spans="1:48" s="191" customFormat="1" x14ac:dyDescent="0.2">
      <c r="A16" s="204">
        <v>11</v>
      </c>
      <c r="B16" s="205" t="s">
        <v>67</v>
      </c>
      <c r="C16" s="206">
        <v>6056</v>
      </c>
      <c r="D16" s="207">
        <v>417</v>
      </c>
      <c r="E16" s="207">
        <v>27</v>
      </c>
      <c r="F16" s="207">
        <v>71</v>
      </c>
      <c r="G16" s="207">
        <v>1</v>
      </c>
      <c r="H16" s="207">
        <v>15</v>
      </c>
      <c r="I16" s="207">
        <v>157</v>
      </c>
      <c r="J16" s="207">
        <v>27</v>
      </c>
      <c r="K16" s="207">
        <v>328</v>
      </c>
      <c r="L16" s="207">
        <v>97</v>
      </c>
      <c r="M16" s="207">
        <f t="shared" si="0"/>
        <v>1113</v>
      </c>
      <c r="N16" s="207">
        <v>105</v>
      </c>
      <c r="O16" s="207">
        <v>5</v>
      </c>
      <c r="P16" s="207">
        <v>2880</v>
      </c>
      <c r="Q16" s="207">
        <v>599</v>
      </c>
      <c r="R16" s="207">
        <f t="shared" si="13"/>
        <v>2281</v>
      </c>
      <c r="S16" s="207">
        <f t="shared" si="1"/>
        <v>465</v>
      </c>
      <c r="T16" s="207">
        <f t="shared" si="2"/>
        <v>4103</v>
      </c>
      <c r="U16" s="208">
        <f t="shared" si="14"/>
        <v>19848.099999999999</v>
      </c>
      <c r="V16" s="208">
        <f t="shared" si="3"/>
        <v>1961.6</v>
      </c>
      <c r="W16" s="209">
        <f t="shared" si="15"/>
        <v>21809.699999999997</v>
      </c>
      <c r="X16" s="210">
        <f t="shared" si="4"/>
        <v>6419.9</v>
      </c>
      <c r="Y16" s="210">
        <f t="shared" si="16"/>
        <v>40677</v>
      </c>
      <c r="Z16" s="211">
        <f t="shared" si="17"/>
        <v>68906.600000000006</v>
      </c>
      <c r="AA16" s="202">
        <v>4</v>
      </c>
      <c r="AB16" s="212">
        <v>0.7</v>
      </c>
      <c r="AC16" s="213">
        <f t="shared" si="18"/>
        <v>787990</v>
      </c>
      <c r="AD16" s="209">
        <f t="shared" si="19"/>
        <v>945.6</v>
      </c>
      <c r="AE16" s="201">
        <f t="shared" si="20"/>
        <v>69852.200000000012</v>
      </c>
      <c r="AF16" s="203">
        <f t="shared" si="21"/>
        <v>69852.200000000012</v>
      </c>
      <c r="AG16" s="203">
        <f t="shared" si="22"/>
        <v>68906.600000000006</v>
      </c>
      <c r="AH16" s="203">
        <f t="shared" si="5"/>
        <v>945.6</v>
      </c>
      <c r="AI16" s="203">
        <v>28144.9</v>
      </c>
      <c r="AJ16" s="357">
        <f t="shared" si="6"/>
        <v>29270.7</v>
      </c>
      <c r="AK16" s="358">
        <f t="shared" si="23"/>
        <v>33813.800000000003</v>
      </c>
      <c r="AL16" s="358">
        <f t="shared" si="24"/>
        <v>36038.400000000009</v>
      </c>
      <c r="AM16" s="377">
        <f t="shared" si="7"/>
        <v>33813.800000000003</v>
      </c>
      <c r="AN16" s="377">
        <f t="shared" si="25"/>
        <v>32868.200000000004</v>
      </c>
      <c r="AO16" s="377">
        <f t="shared" si="8"/>
        <v>945.6</v>
      </c>
      <c r="AP16" s="377">
        <f t="shared" si="9"/>
        <v>33813.800000000003</v>
      </c>
      <c r="AQ16" s="377">
        <f t="shared" si="10"/>
        <v>33813.800000000003</v>
      </c>
      <c r="AS16" s="162">
        <f t="shared" si="11"/>
        <v>33813800</v>
      </c>
      <c r="AT16" s="162">
        <f t="shared" ref="AT16:AU16" si="37">AS16</f>
        <v>33813800</v>
      </c>
      <c r="AU16" s="162">
        <f t="shared" si="37"/>
        <v>33813800</v>
      </c>
      <c r="AV16" s="162">
        <f t="shared" si="12"/>
        <v>36038400.000000007</v>
      </c>
    </row>
    <row r="17" spans="1:48" s="191" customFormat="1" x14ac:dyDescent="0.2">
      <c r="A17" s="204">
        <v>12</v>
      </c>
      <c r="B17" s="205" t="s">
        <v>16</v>
      </c>
      <c r="C17" s="206">
        <v>5737</v>
      </c>
      <c r="D17" s="207">
        <v>189</v>
      </c>
      <c r="E17" s="207">
        <v>51</v>
      </c>
      <c r="F17" s="207">
        <v>494</v>
      </c>
      <c r="G17" s="207">
        <v>0</v>
      </c>
      <c r="H17" s="207">
        <v>6</v>
      </c>
      <c r="I17" s="207">
        <v>377</v>
      </c>
      <c r="J17" s="207">
        <v>35</v>
      </c>
      <c r="K17" s="207">
        <v>495</v>
      </c>
      <c r="L17" s="207">
        <v>1048</v>
      </c>
      <c r="M17" s="207">
        <f t="shared" si="0"/>
        <v>2644</v>
      </c>
      <c r="N17" s="207">
        <v>0</v>
      </c>
      <c r="O17" s="207">
        <v>0</v>
      </c>
      <c r="P17" s="207">
        <v>2462</v>
      </c>
      <c r="Q17" s="207">
        <v>1093</v>
      </c>
      <c r="R17" s="207">
        <f t="shared" si="13"/>
        <v>1369</v>
      </c>
      <c r="S17" s="207">
        <f t="shared" si="1"/>
        <v>530</v>
      </c>
      <c r="T17" s="207">
        <f t="shared" si="2"/>
        <v>5106</v>
      </c>
      <c r="U17" s="208">
        <f t="shared" si="14"/>
        <v>46659.199999999997</v>
      </c>
      <c r="V17" s="208">
        <f t="shared" si="3"/>
        <v>0</v>
      </c>
      <c r="W17" s="209">
        <f>U17+V17</f>
        <v>46659.199999999997</v>
      </c>
      <c r="X17" s="210">
        <f t="shared" si="4"/>
        <v>5430.9</v>
      </c>
      <c r="Y17" s="210">
        <f>ROUND(R17*$G$29*$G$31*(100-AA17)/100/1000,1)</f>
        <v>24159</v>
      </c>
      <c r="Z17" s="211">
        <f t="shared" si="17"/>
        <v>76249.100000000006</v>
      </c>
      <c r="AA17" s="202">
        <v>5</v>
      </c>
      <c r="AB17" s="212">
        <v>0.6</v>
      </c>
      <c r="AC17" s="213">
        <f t="shared" si="18"/>
        <v>675420</v>
      </c>
      <c r="AD17" s="209">
        <f t="shared" si="19"/>
        <v>810.5</v>
      </c>
      <c r="AE17" s="201">
        <f t="shared" si="20"/>
        <v>77059.600000000006</v>
      </c>
      <c r="AF17" s="203">
        <f t="shared" si="21"/>
        <v>77059.600000000006</v>
      </c>
      <c r="AG17" s="203">
        <f t="shared" si="22"/>
        <v>76249.100000000006</v>
      </c>
      <c r="AH17" s="203">
        <f t="shared" si="5"/>
        <v>810.5</v>
      </c>
      <c r="AI17" s="203">
        <v>44255.1</v>
      </c>
      <c r="AJ17" s="357">
        <f t="shared" si="6"/>
        <v>46025.3</v>
      </c>
      <c r="AK17" s="358">
        <f t="shared" si="23"/>
        <v>37302.699999999997</v>
      </c>
      <c r="AL17" s="358">
        <f t="shared" si="24"/>
        <v>39756.900000000009</v>
      </c>
      <c r="AM17" s="377">
        <f t="shared" si="7"/>
        <v>37302.699999999997</v>
      </c>
      <c r="AN17" s="377">
        <f t="shared" si="25"/>
        <v>36492.199999999997</v>
      </c>
      <c r="AO17" s="377">
        <f t="shared" si="8"/>
        <v>810.5</v>
      </c>
      <c r="AP17" s="377">
        <f t="shared" si="9"/>
        <v>37302.699999999997</v>
      </c>
      <c r="AQ17" s="377">
        <f t="shared" si="10"/>
        <v>37302.699999999997</v>
      </c>
      <c r="AS17" s="162">
        <f t="shared" si="11"/>
        <v>37302700</v>
      </c>
      <c r="AT17" s="162">
        <f t="shared" ref="AT17:AU17" si="38">AS17</f>
        <v>37302700</v>
      </c>
      <c r="AU17" s="162">
        <f t="shared" si="38"/>
        <v>37302700</v>
      </c>
      <c r="AV17" s="162">
        <f t="shared" si="12"/>
        <v>39756900.000000007</v>
      </c>
    </row>
    <row r="18" spans="1:48" s="191" customFormat="1" x14ac:dyDescent="0.2">
      <c r="A18" s="204">
        <v>13</v>
      </c>
      <c r="B18" s="205" t="s">
        <v>17</v>
      </c>
      <c r="C18" s="206">
        <v>2757</v>
      </c>
      <c r="D18" s="207">
        <v>166</v>
      </c>
      <c r="E18" s="207">
        <v>41</v>
      </c>
      <c r="F18" s="207">
        <v>31</v>
      </c>
      <c r="G18" s="207">
        <v>0</v>
      </c>
      <c r="H18" s="207">
        <v>2</v>
      </c>
      <c r="I18" s="207">
        <v>108</v>
      </c>
      <c r="J18" s="207">
        <v>6</v>
      </c>
      <c r="K18" s="207">
        <v>311</v>
      </c>
      <c r="L18" s="207">
        <v>654</v>
      </c>
      <c r="M18" s="207">
        <f t="shared" si="0"/>
        <v>1278</v>
      </c>
      <c r="N18" s="207">
        <v>0</v>
      </c>
      <c r="O18" s="207">
        <v>0</v>
      </c>
      <c r="P18" s="207">
        <v>1118</v>
      </c>
      <c r="Q18" s="207">
        <v>150</v>
      </c>
      <c r="R18" s="207">
        <f t="shared" si="13"/>
        <v>968</v>
      </c>
      <c r="S18" s="207">
        <f t="shared" si="1"/>
        <v>317</v>
      </c>
      <c r="T18" s="207">
        <f t="shared" si="2"/>
        <v>2396</v>
      </c>
      <c r="U18" s="208">
        <f t="shared" si="14"/>
        <v>23170.400000000001</v>
      </c>
      <c r="V18" s="208">
        <f t="shared" si="3"/>
        <v>0</v>
      </c>
      <c r="W18" s="209">
        <f>U18+V18</f>
        <v>23170.400000000001</v>
      </c>
      <c r="X18" s="210">
        <f t="shared" si="4"/>
        <v>2533.6999999999998</v>
      </c>
      <c r="Y18" s="210">
        <f t="shared" si="16"/>
        <v>17550</v>
      </c>
      <c r="Z18" s="211">
        <f t="shared" si="17"/>
        <v>43254.1</v>
      </c>
      <c r="AA18" s="202">
        <v>2.4</v>
      </c>
      <c r="AB18" s="212">
        <v>0.3</v>
      </c>
      <c r="AC18" s="213">
        <f>ROUND(AB18*$AD$31*1000,1)</f>
        <v>337710</v>
      </c>
      <c r="AD18" s="209">
        <f t="shared" si="19"/>
        <v>405.3</v>
      </c>
      <c r="AE18" s="201">
        <f t="shared" si="20"/>
        <v>43659.4</v>
      </c>
      <c r="AF18" s="203">
        <f t="shared" si="21"/>
        <v>43659.4</v>
      </c>
      <c r="AG18" s="203">
        <f t="shared" si="22"/>
        <v>43254.1</v>
      </c>
      <c r="AH18" s="203">
        <f t="shared" si="5"/>
        <v>405.3</v>
      </c>
      <c r="AI18" s="203">
        <v>26212.400000000001</v>
      </c>
      <c r="AJ18" s="357">
        <f t="shared" si="6"/>
        <v>27260.9</v>
      </c>
      <c r="AK18" s="358">
        <f t="shared" si="23"/>
        <v>21134.5</v>
      </c>
      <c r="AL18" s="358">
        <f t="shared" si="24"/>
        <v>22524.9</v>
      </c>
      <c r="AM18" s="377">
        <f t="shared" si="7"/>
        <v>21134.5</v>
      </c>
      <c r="AN18" s="377">
        <f t="shared" si="25"/>
        <v>20729.2</v>
      </c>
      <c r="AO18" s="377">
        <f t="shared" si="8"/>
        <v>405.3</v>
      </c>
      <c r="AP18" s="377">
        <f t="shared" si="9"/>
        <v>21134.5</v>
      </c>
      <c r="AQ18" s="377">
        <f t="shared" si="10"/>
        <v>21134.5</v>
      </c>
      <c r="AS18" s="162">
        <f t="shared" si="11"/>
        <v>21134500</v>
      </c>
      <c r="AT18" s="162">
        <f t="shared" ref="AT18:AU18" si="39">AS18</f>
        <v>21134500</v>
      </c>
      <c r="AU18" s="162">
        <f t="shared" si="39"/>
        <v>21134500</v>
      </c>
      <c r="AV18" s="162">
        <f t="shared" si="12"/>
        <v>22524900</v>
      </c>
    </row>
    <row r="19" spans="1:48" s="191" customFormat="1" x14ac:dyDescent="0.2">
      <c r="A19" s="204">
        <v>14</v>
      </c>
      <c r="B19" s="205" t="s">
        <v>18</v>
      </c>
      <c r="C19" s="206">
        <v>5268</v>
      </c>
      <c r="D19" s="207">
        <v>35</v>
      </c>
      <c r="E19" s="207">
        <v>35</v>
      </c>
      <c r="F19" s="207">
        <v>34</v>
      </c>
      <c r="G19" s="207">
        <v>2</v>
      </c>
      <c r="H19" s="207">
        <v>3</v>
      </c>
      <c r="I19" s="207">
        <v>370</v>
      </c>
      <c r="J19" s="207">
        <v>44</v>
      </c>
      <c r="K19" s="207">
        <v>473</v>
      </c>
      <c r="L19" s="207">
        <v>447</v>
      </c>
      <c r="M19" s="207">
        <f t="shared" si="0"/>
        <v>1408</v>
      </c>
      <c r="N19" s="207">
        <v>0</v>
      </c>
      <c r="O19" s="207">
        <v>0</v>
      </c>
      <c r="P19" s="207">
        <v>2334</v>
      </c>
      <c r="Q19" s="207">
        <v>763</v>
      </c>
      <c r="R19" s="207">
        <f t="shared" si="13"/>
        <v>1571</v>
      </c>
      <c r="S19" s="207">
        <f t="shared" si="1"/>
        <v>517</v>
      </c>
      <c r="T19" s="207">
        <f t="shared" si="2"/>
        <v>3742</v>
      </c>
      <c r="U19" s="208">
        <f t="shared" si="14"/>
        <v>23016.400000000001</v>
      </c>
      <c r="V19" s="208">
        <f t="shared" si="3"/>
        <v>0</v>
      </c>
      <c r="W19" s="209">
        <f t="shared" ref="W19:W23" si="40">U19+V19</f>
        <v>23016.400000000001</v>
      </c>
      <c r="X19" s="210">
        <f t="shared" si="4"/>
        <v>4769.2</v>
      </c>
      <c r="Y19" s="210">
        <f>ROUND(R19*$G$29*$G$31*(100-AA19)/100/1000,1)</f>
        <v>25680.9</v>
      </c>
      <c r="Z19" s="211">
        <f t="shared" si="17"/>
        <v>53466.5</v>
      </c>
      <c r="AA19" s="202">
        <v>12</v>
      </c>
      <c r="AB19" s="212">
        <v>0.6</v>
      </c>
      <c r="AC19" s="213">
        <f t="shared" si="18"/>
        <v>675420</v>
      </c>
      <c r="AD19" s="209">
        <f t="shared" si="19"/>
        <v>810.5</v>
      </c>
      <c r="AE19" s="201">
        <f t="shared" si="20"/>
        <v>54277</v>
      </c>
      <c r="AF19" s="203">
        <f t="shared" si="21"/>
        <v>54277</v>
      </c>
      <c r="AG19" s="203">
        <f t="shared" si="22"/>
        <v>53466.5</v>
      </c>
      <c r="AH19" s="203">
        <f t="shared" si="5"/>
        <v>810.5</v>
      </c>
      <c r="AI19" s="203">
        <v>28645.200000000001</v>
      </c>
      <c r="AJ19" s="357">
        <f t="shared" si="6"/>
        <v>29791</v>
      </c>
      <c r="AK19" s="358">
        <f t="shared" si="23"/>
        <v>26274.2</v>
      </c>
      <c r="AL19" s="358">
        <f t="shared" si="24"/>
        <v>28002.799999999999</v>
      </c>
      <c r="AM19" s="377">
        <f t="shared" si="7"/>
        <v>26274.2</v>
      </c>
      <c r="AN19" s="377">
        <f t="shared" si="25"/>
        <v>25463.7</v>
      </c>
      <c r="AO19" s="377">
        <f t="shared" si="8"/>
        <v>810.5</v>
      </c>
      <c r="AP19" s="377">
        <f t="shared" si="9"/>
        <v>26274.2</v>
      </c>
      <c r="AQ19" s="377">
        <f t="shared" si="10"/>
        <v>26274.2</v>
      </c>
      <c r="AS19" s="162">
        <f t="shared" si="11"/>
        <v>26274200</v>
      </c>
      <c r="AT19" s="162">
        <f t="shared" ref="AT19:AU19" si="41">AS19</f>
        <v>26274200</v>
      </c>
      <c r="AU19" s="162">
        <f t="shared" si="41"/>
        <v>26274200</v>
      </c>
      <c r="AV19" s="162">
        <f t="shared" si="12"/>
        <v>28002800</v>
      </c>
    </row>
    <row r="20" spans="1:48" s="191" customFormat="1" x14ac:dyDescent="0.2">
      <c r="A20" s="204">
        <v>15</v>
      </c>
      <c r="B20" s="205" t="s">
        <v>19</v>
      </c>
      <c r="C20" s="206">
        <v>3455</v>
      </c>
      <c r="D20" s="207">
        <v>583</v>
      </c>
      <c r="E20" s="207">
        <v>16</v>
      </c>
      <c r="F20" s="207">
        <v>25</v>
      </c>
      <c r="G20" s="207">
        <v>0</v>
      </c>
      <c r="H20" s="207">
        <v>4</v>
      </c>
      <c r="I20" s="207">
        <v>217</v>
      </c>
      <c r="J20" s="207">
        <v>29</v>
      </c>
      <c r="K20" s="207">
        <v>179</v>
      </c>
      <c r="L20" s="207">
        <v>239</v>
      </c>
      <c r="M20" s="207">
        <f t="shared" si="0"/>
        <v>1276</v>
      </c>
      <c r="N20" s="207">
        <v>44</v>
      </c>
      <c r="O20" s="207">
        <v>0</v>
      </c>
      <c r="P20" s="207">
        <v>1465</v>
      </c>
      <c r="Q20" s="207">
        <v>392</v>
      </c>
      <c r="R20" s="207">
        <f t="shared" si="13"/>
        <v>1073</v>
      </c>
      <c r="S20" s="207">
        <f t="shared" si="1"/>
        <v>252</v>
      </c>
      <c r="T20" s="207">
        <f t="shared" si="2"/>
        <v>2785</v>
      </c>
      <c r="U20" s="208">
        <f t="shared" si="14"/>
        <v>22138.6</v>
      </c>
      <c r="V20" s="208">
        <f t="shared" si="3"/>
        <v>763.4</v>
      </c>
      <c r="W20" s="209">
        <f t="shared" si="40"/>
        <v>22902</v>
      </c>
      <c r="X20" s="210">
        <f t="shared" si="4"/>
        <v>3177.2</v>
      </c>
      <c r="Y20" s="210">
        <f t="shared" si="16"/>
        <v>18616.5</v>
      </c>
      <c r="Z20" s="211">
        <f t="shared" si="17"/>
        <v>44695.7</v>
      </c>
      <c r="AA20" s="202">
        <v>6.6</v>
      </c>
      <c r="AB20" s="212">
        <v>0.4</v>
      </c>
      <c r="AC20" s="213">
        <f t="shared" si="18"/>
        <v>450280</v>
      </c>
      <c r="AD20" s="209">
        <f t="shared" si="19"/>
        <v>540.29999999999995</v>
      </c>
      <c r="AE20" s="201">
        <f t="shared" si="20"/>
        <v>45236</v>
      </c>
      <c r="AF20" s="203">
        <f t="shared" si="21"/>
        <v>45236</v>
      </c>
      <c r="AG20" s="203">
        <f t="shared" si="22"/>
        <v>44695.7</v>
      </c>
      <c r="AH20" s="203">
        <f t="shared" si="5"/>
        <v>540.29999999999995</v>
      </c>
      <c r="AI20" s="203">
        <v>25506.9</v>
      </c>
      <c r="AJ20" s="357">
        <f t="shared" si="6"/>
        <v>26527.200000000001</v>
      </c>
      <c r="AK20" s="358">
        <f t="shared" si="23"/>
        <v>21897.599999999999</v>
      </c>
      <c r="AL20" s="358">
        <f t="shared" si="24"/>
        <v>23338.400000000001</v>
      </c>
      <c r="AM20" s="377">
        <f t="shared" si="7"/>
        <v>21897.599999999999</v>
      </c>
      <c r="AN20" s="377">
        <f t="shared" si="25"/>
        <v>21357.3</v>
      </c>
      <c r="AO20" s="377">
        <f t="shared" si="8"/>
        <v>540.29999999999995</v>
      </c>
      <c r="AP20" s="377">
        <f t="shared" si="9"/>
        <v>21897.599999999999</v>
      </c>
      <c r="AQ20" s="377">
        <f t="shared" si="10"/>
        <v>21897.599999999999</v>
      </c>
      <c r="AS20" s="162">
        <f t="shared" si="11"/>
        <v>21897600</v>
      </c>
      <c r="AT20" s="162">
        <f t="shared" ref="AT20:AU20" si="42">AS20</f>
        <v>21897600</v>
      </c>
      <c r="AU20" s="162">
        <f t="shared" si="42"/>
        <v>21897600</v>
      </c>
      <c r="AV20" s="162">
        <f t="shared" si="12"/>
        <v>23338400</v>
      </c>
    </row>
    <row r="21" spans="1:48" s="191" customFormat="1" x14ac:dyDescent="0.2">
      <c r="A21" s="204">
        <v>16</v>
      </c>
      <c r="B21" s="205" t="s">
        <v>20</v>
      </c>
      <c r="C21" s="206">
        <v>7194</v>
      </c>
      <c r="D21" s="207">
        <v>439</v>
      </c>
      <c r="E21" s="207">
        <v>65</v>
      </c>
      <c r="F21" s="207">
        <v>31</v>
      </c>
      <c r="G21" s="207">
        <v>0</v>
      </c>
      <c r="H21" s="207">
        <v>23</v>
      </c>
      <c r="I21" s="207">
        <v>603</v>
      </c>
      <c r="J21" s="207">
        <v>31</v>
      </c>
      <c r="K21" s="207">
        <v>533</v>
      </c>
      <c r="L21" s="207">
        <v>272</v>
      </c>
      <c r="M21" s="207">
        <f>D21+F21+G21+H21+I21+J21+K21+L21</f>
        <v>1932</v>
      </c>
      <c r="N21" s="207">
        <v>133</v>
      </c>
      <c r="O21" s="207">
        <v>2</v>
      </c>
      <c r="P21" s="207">
        <v>3084</v>
      </c>
      <c r="Q21" s="207">
        <v>841</v>
      </c>
      <c r="R21" s="207">
        <f t="shared" si="13"/>
        <v>2243</v>
      </c>
      <c r="S21" s="207">
        <f t="shared" si="1"/>
        <v>699</v>
      </c>
      <c r="T21" s="207">
        <f t="shared" si="2"/>
        <v>5151</v>
      </c>
      <c r="U21" s="208">
        <f t="shared" si="14"/>
        <v>31546.3</v>
      </c>
      <c r="V21" s="208">
        <f t="shared" si="3"/>
        <v>2204.3000000000002</v>
      </c>
      <c r="W21" s="209">
        <f t="shared" si="40"/>
        <v>33750.6</v>
      </c>
      <c r="X21" s="210">
        <f t="shared" si="4"/>
        <v>6294.6</v>
      </c>
      <c r="Y21" s="210">
        <f t="shared" si="16"/>
        <v>36624.400000000001</v>
      </c>
      <c r="Z21" s="211">
        <f t="shared" si="17"/>
        <v>76669.600000000006</v>
      </c>
      <c r="AA21" s="202">
        <v>12.1</v>
      </c>
      <c r="AB21" s="212">
        <v>0.8</v>
      </c>
      <c r="AC21" s="213">
        <f t="shared" si="18"/>
        <v>900560</v>
      </c>
      <c r="AD21" s="209">
        <f t="shared" si="19"/>
        <v>1080.7</v>
      </c>
      <c r="AE21" s="201">
        <f t="shared" si="20"/>
        <v>77750.3</v>
      </c>
      <c r="AF21" s="203">
        <f t="shared" si="21"/>
        <v>77750.3</v>
      </c>
      <c r="AG21" s="203">
        <f t="shared" si="22"/>
        <v>76669.600000000006</v>
      </c>
      <c r="AH21" s="203">
        <f t="shared" si="5"/>
        <v>1080.7</v>
      </c>
      <c r="AI21" s="203">
        <v>30291.5</v>
      </c>
      <c r="AJ21" s="357">
        <f t="shared" si="6"/>
        <v>31503.200000000001</v>
      </c>
      <c r="AK21" s="358">
        <f t="shared" si="23"/>
        <v>37637</v>
      </c>
      <c r="AL21" s="358">
        <f t="shared" si="24"/>
        <v>40113.300000000003</v>
      </c>
      <c r="AM21" s="377">
        <f t="shared" si="7"/>
        <v>37637</v>
      </c>
      <c r="AN21" s="377">
        <f t="shared" si="25"/>
        <v>36556.300000000003</v>
      </c>
      <c r="AO21" s="377">
        <f t="shared" si="8"/>
        <v>1080.7</v>
      </c>
      <c r="AP21" s="377">
        <f t="shared" si="9"/>
        <v>37637</v>
      </c>
      <c r="AQ21" s="377">
        <f t="shared" si="10"/>
        <v>37637</v>
      </c>
      <c r="AS21" s="162">
        <f t="shared" si="11"/>
        <v>37637000</v>
      </c>
      <c r="AT21" s="162">
        <f t="shared" ref="AT21:AU21" si="43">AS21</f>
        <v>37637000</v>
      </c>
      <c r="AU21" s="162">
        <f t="shared" si="43"/>
        <v>37637000</v>
      </c>
      <c r="AV21" s="162">
        <f t="shared" si="12"/>
        <v>40113300</v>
      </c>
    </row>
    <row r="22" spans="1:48" s="191" customFormat="1" x14ac:dyDescent="0.2">
      <c r="A22" s="204">
        <v>17</v>
      </c>
      <c r="B22" s="205" t="s">
        <v>21</v>
      </c>
      <c r="C22" s="206">
        <v>10973</v>
      </c>
      <c r="D22" s="207">
        <v>716</v>
      </c>
      <c r="E22" s="207">
        <v>81</v>
      </c>
      <c r="F22" s="207">
        <v>35</v>
      </c>
      <c r="G22" s="207">
        <v>3</v>
      </c>
      <c r="H22" s="207">
        <v>12</v>
      </c>
      <c r="I22" s="207">
        <v>618</v>
      </c>
      <c r="J22" s="207">
        <v>29</v>
      </c>
      <c r="K22" s="207">
        <v>661</v>
      </c>
      <c r="L22" s="207">
        <v>386</v>
      </c>
      <c r="M22" s="207">
        <f t="shared" ref="M22:M23" si="44">D22+F22+G22+H22+I22+J22+K22+L22</f>
        <v>2460</v>
      </c>
      <c r="N22" s="207">
        <v>0</v>
      </c>
      <c r="O22" s="207">
        <v>0</v>
      </c>
      <c r="P22" s="207">
        <v>5005</v>
      </c>
      <c r="Q22" s="207">
        <v>932</v>
      </c>
      <c r="R22" s="207">
        <f t="shared" si="13"/>
        <v>4073</v>
      </c>
      <c r="S22" s="207">
        <f t="shared" si="1"/>
        <v>690</v>
      </c>
      <c r="T22" s="207">
        <f t="shared" si="2"/>
        <v>7465</v>
      </c>
      <c r="U22" s="208">
        <f t="shared" si="14"/>
        <v>40304.699999999997</v>
      </c>
      <c r="V22" s="208">
        <f t="shared" si="3"/>
        <v>0</v>
      </c>
      <c r="W22" s="209">
        <f t="shared" si="40"/>
        <v>40304.699999999997</v>
      </c>
      <c r="X22" s="210">
        <f t="shared" si="4"/>
        <v>10250.299999999999</v>
      </c>
      <c r="Y22" s="210">
        <f t="shared" si="16"/>
        <v>66732.2</v>
      </c>
      <c r="Z22" s="211">
        <f t="shared" si="17"/>
        <v>117287.2</v>
      </c>
      <c r="AA22" s="202">
        <v>11.8</v>
      </c>
      <c r="AB22" s="212">
        <v>1</v>
      </c>
      <c r="AC22" s="213">
        <f t="shared" si="18"/>
        <v>1125700</v>
      </c>
      <c r="AD22" s="209">
        <f t="shared" si="19"/>
        <v>1350.8</v>
      </c>
      <c r="AE22" s="201">
        <f t="shared" si="20"/>
        <v>118638</v>
      </c>
      <c r="AF22" s="203">
        <f t="shared" si="21"/>
        <v>118638</v>
      </c>
      <c r="AG22" s="203">
        <f t="shared" si="22"/>
        <v>117287.2</v>
      </c>
      <c r="AH22" s="203">
        <f t="shared" si="5"/>
        <v>1350.8</v>
      </c>
      <c r="AI22" s="203">
        <v>46279.199999999997</v>
      </c>
      <c r="AJ22" s="357">
        <f t="shared" si="6"/>
        <v>48130.400000000001</v>
      </c>
      <c r="AK22" s="358">
        <f t="shared" si="23"/>
        <v>57429.8</v>
      </c>
      <c r="AL22" s="358">
        <f t="shared" si="24"/>
        <v>61208.2</v>
      </c>
      <c r="AM22" s="377">
        <f t="shared" si="7"/>
        <v>57429.8</v>
      </c>
      <c r="AN22" s="377">
        <f t="shared" si="25"/>
        <v>56079</v>
      </c>
      <c r="AO22" s="377">
        <f t="shared" si="8"/>
        <v>1350.8</v>
      </c>
      <c r="AP22" s="377">
        <f t="shared" si="9"/>
        <v>57429.8</v>
      </c>
      <c r="AQ22" s="377">
        <f t="shared" si="10"/>
        <v>57429.8</v>
      </c>
      <c r="AS22" s="162">
        <f t="shared" si="11"/>
        <v>57429800</v>
      </c>
      <c r="AT22" s="162">
        <f t="shared" ref="AT22:AU22" si="45">AS22</f>
        <v>57429800</v>
      </c>
      <c r="AU22" s="162">
        <f t="shared" si="45"/>
        <v>57429800</v>
      </c>
      <c r="AV22" s="162">
        <f t="shared" si="12"/>
        <v>61208200</v>
      </c>
    </row>
    <row r="23" spans="1:48" s="191" customFormat="1" x14ac:dyDescent="0.2">
      <c r="A23" s="204">
        <v>18</v>
      </c>
      <c r="B23" s="205" t="s">
        <v>22</v>
      </c>
      <c r="C23" s="206">
        <v>6573</v>
      </c>
      <c r="D23" s="207">
        <v>68</v>
      </c>
      <c r="E23" s="207">
        <v>37</v>
      </c>
      <c r="F23" s="207">
        <v>24</v>
      </c>
      <c r="G23" s="207">
        <v>3</v>
      </c>
      <c r="H23" s="207">
        <v>2</v>
      </c>
      <c r="I23" s="207">
        <v>307</v>
      </c>
      <c r="J23" s="207">
        <v>7</v>
      </c>
      <c r="K23" s="207">
        <v>408</v>
      </c>
      <c r="L23" s="207">
        <v>167</v>
      </c>
      <c r="M23" s="207">
        <f t="shared" si="44"/>
        <v>986</v>
      </c>
      <c r="N23" s="207">
        <v>0</v>
      </c>
      <c r="O23" s="207">
        <v>0</v>
      </c>
      <c r="P23" s="207">
        <v>2827</v>
      </c>
      <c r="Q23" s="207">
        <v>511</v>
      </c>
      <c r="R23" s="207">
        <f t="shared" si="13"/>
        <v>2316</v>
      </c>
      <c r="S23" s="207">
        <f t="shared" si="1"/>
        <v>415</v>
      </c>
      <c r="T23" s="207">
        <f t="shared" si="2"/>
        <v>3813</v>
      </c>
      <c r="U23" s="208">
        <f t="shared" si="14"/>
        <v>16667.5</v>
      </c>
      <c r="V23" s="208">
        <f t="shared" si="3"/>
        <v>0</v>
      </c>
      <c r="W23" s="209">
        <f t="shared" si="40"/>
        <v>16667.5</v>
      </c>
      <c r="X23" s="210">
        <f t="shared" si="4"/>
        <v>5973.5</v>
      </c>
      <c r="Y23" s="210">
        <f t="shared" si="16"/>
        <v>39150</v>
      </c>
      <c r="Z23" s="211">
        <f t="shared" si="17"/>
        <v>61791</v>
      </c>
      <c r="AA23" s="202">
        <v>9</v>
      </c>
      <c r="AB23" s="212">
        <v>0.6</v>
      </c>
      <c r="AC23" s="213">
        <f t="shared" si="18"/>
        <v>675420</v>
      </c>
      <c r="AD23" s="209">
        <f t="shared" si="19"/>
        <v>810.5</v>
      </c>
      <c r="AE23" s="201">
        <f t="shared" si="20"/>
        <v>62601.5</v>
      </c>
      <c r="AF23" s="203">
        <f t="shared" si="21"/>
        <v>62601.5</v>
      </c>
      <c r="AG23" s="203">
        <f t="shared" si="22"/>
        <v>61791</v>
      </c>
      <c r="AH23" s="203">
        <f t="shared" si="5"/>
        <v>810.5</v>
      </c>
      <c r="AI23" s="203">
        <v>21427.8</v>
      </c>
      <c r="AJ23" s="357">
        <f t="shared" si="6"/>
        <v>22284.9</v>
      </c>
      <c r="AK23" s="358">
        <f t="shared" si="23"/>
        <v>30303.9</v>
      </c>
      <c r="AL23" s="358">
        <f t="shared" si="24"/>
        <v>32297.599999999999</v>
      </c>
      <c r="AM23" s="377">
        <f t="shared" si="7"/>
        <v>30303.9</v>
      </c>
      <c r="AN23" s="377">
        <f t="shared" si="25"/>
        <v>29493.4</v>
      </c>
      <c r="AO23" s="377">
        <f t="shared" si="8"/>
        <v>810.5</v>
      </c>
      <c r="AP23" s="377">
        <f t="shared" si="9"/>
        <v>30303.9</v>
      </c>
      <c r="AQ23" s="377">
        <f t="shared" si="10"/>
        <v>30303.9</v>
      </c>
      <c r="AS23" s="162">
        <f t="shared" si="11"/>
        <v>30303900</v>
      </c>
      <c r="AT23" s="162">
        <f t="shared" ref="AT23:AU23" si="46">AS23</f>
        <v>30303900</v>
      </c>
      <c r="AU23" s="162">
        <f t="shared" si="46"/>
        <v>30303900</v>
      </c>
      <c r="AV23" s="162">
        <f t="shared" si="12"/>
        <v>32297600</v>
      </c>
    </row>
    <row r="24" spans="1:48" s="200" customFormat="1" x14ac:dyDescent="0.2">
      <c r="A24" s="387"/>
      <c r="B24" s="388" t="s">
        <v>49</v>
      </c>
      <c r="C24" s="387">
        <f t="shared" ref="C24:Z24" si="47">SUM(C6:C23)</f>
        <v>172611</v>
      </c>
      <c r="D24" s="387">
        <f t="shared" si="47"/>
        <v>8451</v>
      </c>
      <c r="E24" s="387">
        <f t="shared" si="47"/>
        <v>943</v>
      </c>
      <c r="F24" s="387">
        <f t="shared" si="47"/>
        <v>1254</v>
      </c>
      <c r="G24" s="387">
        <f t="shared" si="47"/>
        <v>29</v>
      </c>
      <c r="H24" s="387">
        <f t="shared" si="47"/>
        <v>156</v>
      </c>
      <c r="I24" s="387">
        <f t="shared" si="47"/>
        <v>6532</v>
      </c>
      <c r="J24" s="387">
        <f t="shared" si="47"/>
        <v>519</v>
      </c>
      <c r="K24" s="387">
        <f t="shared" si="47"/>
        <v>12126</v>
      </c>
      <c r="L24" s="387">
        <f t="shared" si="47"/>
        <v>9979</v>
      </c>
      <c r="M24" s="387">
        <f t="shared" si="47"/>
        <v>39046</v>
      </c>
      <c r="N24" s="387">
        <f t="shared" si="47"/>
        <v>793</v>
      </c>
      <c r="O24" s="387">
        <f t="shared" si="47"/>
        <v>60</v>
      </c>
      <c r="P24" s="387">
        <f>SUM(P6:P23)</f>
        <v>77865</v>
      </c>
      <c r="Q24" s="387">
        <f t="shared" ref="Q24:R24" si="48">SUM(Q6:Q23)</f>
        <v>17485</v>
      </c>
      <c r="R24" s="387">
        <f t="shared" si="48"/>
        <v>60380</v>
      </c>
      <c r="S24" s="387">
        <f t="shared" si="47"/>
        <v>13498</v>
      </c>
      <c r="T24" s="387">
        <f t="shared" si="47"/>
        <v>117764</v>
      </c>
      <c r="U24" s="389">
        <f t="shared" si="47"/>
        <v>659553.1</v>
      </c>
      <c r="V24" s="389">
        <f t="shared" si="47"/>
        <v>14330.8</v>
      </c>
      <c r="W24" s="211">
        <f t="shared" si="47"/>
        <v>673883.9</v>
      </c>
      <c r="X24" s="390">
        <f t="shared" si="47"/>
        <v>163074.50000000003</v>
      </c>
      <c r="Y24" s="390">
        <f t="shared" si="47"/>
        <v>1009817.8</v>
      </c>
      <c r="Z24" s="211">
        <f t="shared" si="47"/>
        <v>1846776.2</v>
      </c>
      <c r="AA24" s="391">
        <f>SUM(AA6:AA23)/18</f>
        <v>9.1333333333333346</v>
      </c>
      <c r="AB24" s="392">
        <v>12.1</v>
      </c>
      <c r="AC24" s="211">
        <f t="shared" ref="AC24:AL24" si="49">SUM(AC6:AC23)</f>
        <v>14183820</v>
      </c>
      <c r="AD24" s="211">
        <f t="shared" si="49"/>
        <v>17020.599999999999</v>
      </c>
      <c r="AE24" s="211">
        <f t="shared" si="49"/>
        <v>1863796.8000000003</v>
      </c>
      <c r="AF24" s="211">
        <f t="shared" si="49"/>
        <v>1863796.8000000003</v>
      </c>
      <c r="AG24" s="211">
        <f t="shared" si="49"/>
        <v>1846776.2</v>
      </c>
      <c r="AH24" s="211">
        <f t="shared" si="49"/>
        <v>17020.599999999999</v>
      </c>
      <c r="AI24" s="211">
        <f t="shared" si="49"/>
        <v>760106.4</v>
      </c>
      <c r="AJ24" s="393">
        <f t="shared" si="49"/>
        <v>790510.7</v>
      </c>
      <c r="AK24" s="394">
        <f t="shared" si="49"/>
        <v>902218.79999999993</v>
      </c>
      <c r="AL24" s="394">
        <f t="shared" si="49"/>
        <v>961578</v>
      </c>
      <c r="AM24" s="347">
        <f>SUM(AM6:AM23)</f>
        <v>902218.79999999993</v>
      </c>
      <c r="AN24" s="347">
        <f t="shared" ref="AN24:AO24" si="50">SUM(AN6:AN23)</f>
        <v>885198.2</v>
      </c>
      <c r="AO24" s="347">
        <f t="shared" si="50"/>
        <v>17020.599999999999</v>
      </c>
      <c r="AP24" s="348">
        <f t="shared" ref="AP24:AQ24" si="51">SUM(AP6:AP23)</f>
        <v>902218.79999999993</v>
      </c>
      <c r="AQ24" s="349">
        <f t="shared" si="51"/>
        <v>902218.79999999993</v>
      </c>
      <c r="AS24" s="347">
        <f>SUM(AS6:AS23)</f>
        <v>902218800</v>
      </c>
      <c r="AT24" s="348">
        <f t="shared" ref="AT24:AV24" si="52">SUM(AT6:AT23)</f>
        <v>902218800</v>
      </c>
      <c r="AU24" s="349">
        <f t="shared" si="52"/>
        <v>902218800</v>
      </c>
      <c r="AV24" s="349">
        <f t="shared" si="52"/>
        <v>961578000</v>
      </c>
    </row>
    <row r="25" spans="1:48" s="396" customFormat="1" x14ac:dyDescent="0.2">
      <c r="A25" s="395"/>
      <c r="B25" s="395"/>
      <c r="C25" s="395"/>
      <c r="D25" s="395"/>
      <c r="E25" s="395"/>
      <c r="F25" s="395"/>
      <c r="G25" s="395"/>
      <c r="H25" s="395"/>
      <c r="I25" s="395"/>
      <c r="J25" s="395"/>
      <c r="K25" s="395"/>
      <c r="L25" s="395"/>
      <c r="M25" s="395"/>
      <c r="N25" s="395"/>
      <c r="O25" s="395"/>
      <c r="P25" s="395"/>
      <c r="Q25" s="395"/>
      <c r="R25" s="395"/>
      <c r="S25" s="395"/>
      <c r="T25" s="395"/>
      <c r="U25" s="395"/>
      <c r="V25" s="395"/>
      <c r="W25" s="395"/>
      <c r="X25" s="395"/>
      <c r="Y25" s="395"/>
      <c r="Z25" s="395"/>
      <c r="AA25" s="395"/>
      <c r="AB25" s="395"/>
      <c r="AC25" s="395"/>
      <c r="AD25" s="395"/>
      <c r="AE25" s="395"/>
      <c r="AF25" s="160">
        <f>AF24/AI24-100%</f>
        <v>1.4520209275964526</v>
      </c>
      <c r="AG25" s="395"/>
      <c r="AH25" s="395"/>
      <c r="AI25" s="395"/>
      <c r="AJ25" s="160">
        <f>AJ24/AI24-100%</f>
        <v>4.0000057886632634E-2</v>
      </c>
      <c r="AK25" s="160"/>
      <c r="AL25" s="160"/>
      <c r="AM25" s="359"/>
      <c r="AN25" s="359"/>
      <c r="AO25" s="359"/>
      <c r="AP25" s="4"/>
      <c r="AQ25" s="4"/>
      <c r="AS25" s="4"/>
      <c r="AT25" s="159"/>
      <c r="AU25" s="159"/>
      <c r="AV25" s="4"/>
    </row>
    <row r="26" spans="1:48" s="396" customFormat="1" x14ac:dyDescent="0.2">
      <c r="A26" s="397"/>
      <c r="B26" s="397"/>
      <c r="C26" s="397"/>
      <c r="D26" s="397"/>
      <c r="E26" s="397"/>
      <c r="F26" s="397"/>
      <c r="G26" s="397"/>
      <c r="H26" s="397"/>
      <c r="I26" s="397"/>
      <c r="J26" s="397"/>
      <c r="K26" s="397"/>
      <c r="L26" s="397"/>
      <c r="M26" s="397"/>
      <c r="N26" s="397"/>
      <c r="O26" s="397"/>
      <c r="P26" s="397"/>
      <c r="Q26" s="397"/>
      <c r="R26" s="397"/>
      <c r="S26" s="397"/>
      <c r="T26" s="397"/>
      <c r="U26" s="397"/>
      <c r="V26" s="397"/>
      <c r="W26" s="397"/>
      <c r="X26" s="397"/>
      <c r="Y26" s="397"/>
      <c r="Z26" s="397"/>
      <c r="AA26" s="397"/>
      <c r="AB26" s="397"/>
      <c r="AC26" s="397"/>
      <c r="AD26" s="397"/>
      <c r="AE26" s="397"/>
      <c r="AF26" s="397"/>
      <c r="AG26" s="397"/>
      <c r="AH26" s="397"/>
      <c r="AI26" s="397"/>
      <c r="AK26" s="398">
        <f>(AK27/1000)/AF24</f>
        <v>0.48407573186089808</v>
      </c>
      <c r="AM26" s="119"/>
      <c r="AN26" s="119"/>
      <c r="AO26" s="119"/>
      <c r="AP26" s="119"/>
      <c r="AQ26" s="119"/>
      <c r="AS26" s="119"/>
      <c r="AT26" s="159"/>
      <c r="AU26" s="159"/>
      <c r="AV26" s="119"/>
    </row>
    <row r="27" spans="1:48" s="402" customFormat="1" x14ac:dyDescent="0.2">
      <c r="A27" s="399"/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  <c r="S27" s="399"/>
      <c r="T27" s="399"/>
      <c r="U27" s="399"/>
      <c r="V27" s="400"/>
      <c r="W27" s="400"/>
      <c r="X27" s="400"/>
      <c r="Y27" s="400"/>
      <c r="Z27" s="400"/>
      <c r="AA27" s="399"/>
      <c r="AB27" s="399"/>
      <c r="AC27" s="399"/>
      <c r="AD27" s="399"/>
      <c r="AE27" s="399"/>
      <c r="AF27" s="401"/>
      <c r="AG27" s="399"/>
      <c r="AH27" s="399"/>
      <c r="AK27" s="211">
        <v>902218800</v>
      </c>
    </row>
    <row r="28" spans="1:48" x14ac:dyDescent="0.2">
      <c r="D28" s="404" t="s">
        <v>97</v>
      </c>
      <c r="E28" s="405"/>
      <c r="F28" s="405"/>
      <c r="G28" s="406">
        <v>108</v>
      </c>
      <c r="V28" s="400"/>
      <c r="W28" s="400"/>
      <c r="X28" s="400"/>
      <c r="Y28" s="400"/>
      <c r="Z28" s="400"/>
      <c r="AB28" s="407" t="s">
        <v>96</v>
      </c>
      <c r="AC28" s="408"/>
      <c r="AD28" s="409">
        <f>ROUND(5600*1.1*1.1*1.1*1.1*1.06*1.06*1.1*1.06*1.06*1.1*1.06*1.04*1.04*1.04*1.04,1)</f>
        <v>15531.3</v>
      </c>
      <c r="AE28" s="410"/>
    </row>
    <row r="29" spans="1:48" x14ac:dyDescent="0.2">
      <c r="D29" s="404" t="s">
        <v>98</v>
      </c>
      <c r="E29" s="404"/>
      <c r="F29" s="404"/>
      <c r="G29" s="406">
        <v>172</v>
      </c>
      <c r="V29" s="400"/>
      <c r="W29" s="400"/>
      <c r="X29" s="400"/>
      <c r="Y29" s="400"/>
      <c r="Z29" s="400"/>
      <c r="AB29" s="407" t="s">
        <v>37</v>
      </c>
      <c r="AC29" s="408"/>
      <c r="AD29" s="411">
        <v>55.67</v>
      </c>
    </row>
    <row r="30" spans="1:48" x14ac:dyDescent="0.2">
      <c r="D30" s="404" t="s">
        <v>99</v>
      </c>
      <c r="E30" s="405"/>
      <c r="F30" s="405"/>
      <c r="G30" s="406">
        <v>13.5</v>
      </c>
      <c r="AB30" s="407" t="s">
        <v>38</v>
      </c>
      <c r="AC30" s="408"/>
      <c r="AD30" s="411">
        <v>1.302</v>
      </c>
      <c r="AF30" s="412"/>
    </row>
    <row r="31" spans="1:48" s="414" customFormat="1" x14ac:dyDescent="0.2">
      <c r="A31" s="403"/>
      <c r="B31" s="114"/>
      <c r="C31" s="400"/>
      <c r="D31" s="404" t="s">
        <v>279</v>
      </c>
      <c r="E31" s="405"/>
      <c r="F31" s="405"/>
      <c r="G31" s="406">
        <v>108</v>
      </c>
      <c r="H31" s="400"/>
      <c r="I31" s="400"/>
      <c r="J31" s="400"/>
      <c r="K31" s="400"/>
      <c r="L31" s="400"/>
      <c r="M31" s="400"/>
      <c r="N31" s="400"/>
      <c r="O31" s="400"/>
      <c r="P31" s="400"/>
      <c r="Q31" s="400"/>
      <c r="R31" s="400"/>
      <c r="S31" s="400"/>
      <c r="T31" s="400"/>
      <c r="U31" s="400"/>
      <c r="V31" s="400"/>
      <c r="W31" s="400"/>
      <c r="X31" s="400"/>
      <c r="Y31" s="400"/>
      <c r="Z31" s="400"/>
      <c r="AA31" s="400"/>
      <c r="AB31" s="413"/>
      <c r="AC31" s="413"/>
      <c r="AD31" s="409">
        <f>ROUND(AD28*AD29*AD30/1000,1)</f>
        <v>1125.7</v>
      </c>
      <c r="AE31" s="400"/>
      <c r="AF31" s="400"/>
      <c r="AG31" s="400"/>
      <c r="AH31" s="400"/>
    </row>
    <row r="34" spans="30:30" x14ac:dyDescent="0.2">
      <c r="AD34" s="380">
        <v>2020</v>
      </c>
    </row>
    <row r="35" spans="30:30" x14ac:dyDescent="0.2">
      <c r="AD35" s="380">
        <v>14933.9</v>
      </c>
    </row>
  </sheetData>
  <sheetProtection selectLockedCells="1" selectUnlockedCells="1"/>
  <mergeCells count="45"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AM3:AQ3"/>
    <mergeCell ref="AM4:AO4"/>
    <mergeCell ref="AP4:AP5"/>
    <mergeCell ref="AQ4:AQ5"/>
    <mergeCell ref="AK3:AK5"/>
    <mergeCell ref="AL3:AL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54" customWidth="1"/>
    <col min="2" max="2" width="16.7109375" style="145" customWidth="1"/>
    <col min="3" max="3" width="13.140625" style="145" customWidth="1"/>
    <col min="4" max="4" width="11.28515625" style="145" customWidth="1"/>
    <col min="5" max="5" width="11.7109375" style="145" customWidth="1"/>
    <col min="6" max="6" width="12.140625" style="145" customWidth="1"/>
    <col min="7" max="7" width="9.7109375" style="145" customWidth="1"/>
    <col min="8" max="8" width="16.7109375" style="145" customWidth="1"/>
    <col min="9" max="9" width="16.140625" style="154" bestFit="1" customWidth="1"/>
    <col min="10" max="10" width="17.28515625" style="145" bestFit="1" customWidth="1"/>
    <col min="11" max="11" width="12.7109375" style="145" customWidth="1"/>
    <col min="12" max="16384" width="9.140625" style="145"/>
  </cols>
  <sheetData>
    <row r="1" spans="1:10" ht="36" customHeight="1" x14ac:dyDescent="0.2">
      <c r="A1" s="553" t="s">
        <v>314</v>
      </c>
      <c r="B1" s="553"/>
      <c r="C1" s="553"/>
      <c r="D1" s="553"/>
      <c r="E1" s="553"/>
      <c r="F1" s="553"/>
      <c r="G1" s="553"/>
      <c r="H1" s="553"/>
      <c r="I1" s="553"/>
    </row>
    <row r="3" spans="1:10" s="146" customFormat="1" ht="13.15" customHeight="1" x14ac:dyDescent="0.2">
      <c r="A3" s="554" t="s">
        <v>24</v>
      </c>
      <c r="B3" s="555" t="s">
        <v>70</v>
      </c>
      <c r="C3" s="556" t="s">
        <v>71</v>
      </c>
      <c r="D3" s="557" t="s">
        <v>315</v>
      </c>
      <c r="E3" s="558"/>
      <c r="F3" s="558"/>
      <c r="G3" s="559" t="s">
        <v>72</v>
      </c>
      <c r="H3" s="562" t="s">
        <v>316</v>
      </c>
      <c r="I3" s="562" t="s">
        <v>317</v>
      </c>
      <c r="J3" s="551" t="s">
        <v>318</v>
      </c>
    </row>
    <row r="4" spans="1:10" s="146" customFormat="1" ht="13.15" customHeight="1" x14ac:dyDescent="0.2">
      <c r="A4" s="554"/>
      <c r="B4" s="555"/>
      <c r="C4" s="556"/>
      <c r="D4" s="558"/>
      <c r="E4" s="558"/>
      <c r="F4" s="558"/>
      <c r="G4" s="560"/>
      <c r="H4" s="558"/>
      <c r="I4" s="558"/>
      <c r="J4" s="552"/>
    </row>
    <row r="5" spans="1:10" s="146" customFormat="1" ht="33.75" x14ac:dyDescent="0.2">
      <c r="A5" s="554"/>
      <c r="B5" s="555"/>
      <c r="C5" s="556"/>
      <c r="D5" s="319" t="s">
        <v>274</v>
      </c>
      <c r="E5" s="319" t="s">
        <v>277</v>
      </c>
      <c r="F5" s="319" t="s">
        <v>278</v>
      </c>
      <c r="G5" s="561"/>
      <c r="H5" s="558"/>
      <c r="I5" s="558"/>
      <c r="J5" s="552"/>
    </row>
    <row r="6" spans="1:10" ht="12" customHeight="1" x14ac:dyDescent="0.2">
      <c r="A6" s="320">
        <v>1</v>
      </c>
      <c r="B6" s="321" t="s">
        <v>32</v>
      </c>
      <c r="C6" s="322">
        <f>Питание!C6</f>
        <v>4457</v>
      </c>
      <c r="D6" s="323">
        <f>Питание!P6</f>
        <v>1825</v>
      </c>
      <c r="E6" s="323">
        <f>Питание!Q6</f>
        <v>384</v>
      </c>
      <c r="F6" s="323">
        <f>D6-E6</f>
        <v>1441</v>
      </c>
      <c r="G6" s="324">
        <f>Питание!AA6</f>
        <v>14.5</v>
      </c>
      <c r="H6" s="325">
        <f t="shared" ref="H6:H23" si="0">ROUND(F6*$H$29*$H$30*(100-G6)/100,-2)</f>
        <v>16953100</v>
      </c>
      <c r="I6" s="326">
        <f>ROUND(H6*$I$27,-2)</f>
        <v>0</v>
      </c>
      <c r="J6" s="327">
        <f>H6-I6</f>
        <v>16953100</v>
      </c>
    </row>
    <row r="7" spans="1:10" x14ac:dyDescent="0.2">
      <c r="A7" s="320">
        <v>2</v>
      </c>
      <c r="B7" s="321" t="s">
        <v>64</v>
      </c>
      <c r="C7" s="322">
        <f>Питание!C7</f>
        <v>4136</v>
      </c>
      <c r="D7" s="323">
        <f>Питание!P7</f>
        <v>1757</v>
      </c>
      <c r="E7" s="323">
        <f>Питание!Q7</f>
        <v>764</v>
      </c>
      <c r="F7" s="328">
        <f t="shared" ref="F7:F23" si="1">D7-E7</f>
        <v>993</v>
      </c>
      <c r="G7" s="324">
        <f>Питание!AA7</f>
        <v>9</v>
      </c>
      <c r="H7" s="325">
        <f t="shared" si="0"/>
        <v>12433900</v>
      </c>
      <c r="I7" s="326">
        <f t="shared" ref="I7:I23" si="2">ROUND(H7*$I$27,-2)</f>
        <v>0</v>
      </c>
      <c r="J7" s="327">
        <f t="shared" ref="J7:J23" si="3">H7-I7</f>
        <v>12433900</v>
      </c>
    </row>
    <row r="8" spans="1:10" x14ac:dyDescent="0.2">
      <c r="A8" s="320">
        <v>3</v>
      </c>
      <c r="B8" s="321" t="s">
        <v>65</v>
      </c>
      <c r="C8" s="322">
        <f>Питание!C8</f>
        <v>7483</v>
      </c>
      <c r="D8" s="323">
        <f>Питание!P8</f>
        <v>3127</v>
      </c>
      <c r="E8" s="323">
        <f>Питание!Q8</f>
        <v>1118</v>
      </c>
      <c r="F8" s="328">
        <f t="shared" si="1"/>
        <v>2009</v>
      </c>
      <c r="G8" s="324">
        <f>Питание!AA8</f>
        <v>14.4</v>
      </c>
      <c r="H8" s="325">
        <f t="shared" si="0"/>
        <v>23663100</v>
      </c>
      <c r="I8" s="326">
        <f t="shared" si="2"/>
        <v>0</v>
      </c>
      <c r="J8" s="327">
        <f t="shared" si="3"/>
        <v>23663100</v>
      </c>
    </row>
    <row r="9" spans="1:10" x14ac:dyDescent="0.2">
      <c r="A9" s="320">
        <v>4</v>
      </c>
      <c r="B9" s="321" t="s">
        <v>8</v>
      </c>
      <c r="C9" s="322">
        <f>Питание!C9</f>
        <v>45470</v>
      </c>
      <c r="D9" s="323">
        <f>Питание!P9</f>
        <v>22095</v>
      </c>
      <c r="E9" s="323">
        <f>Питание!Q9</f>
        <v>2771</v>
      </c>
      <c r="F9" s="328">
        <f t="shared" si="1"/>
        <v>19324</v>
      </c>
      <c r="G9" s="324">
        <f>Питание!AA9</f>
        <v>12.6</v>
      </c>
      <c r="H9" s="325">
        <f t="shared" si="0"/>
        <v>232395100</v>
      </c>
      <c r="I9" s="326">
        <f t="shared" si="2"/>
        <v>0</v>
      </c>
      <c r="J9" s="327">
        <f t="shared" si="3"/>
        <v>232395100</v>
      </c>
    </row>
    <row r="10" spans="1:10" x14ac:dyDescent="0.2">
      <c r="A10" s="320">
        <v>5</v>
      </c>
      <c r="B10" s="321" t="s">
        <v>9</v>
      </c>
      <c r="C10" s="322">
        <f>Питание!C10</f>
        <v>16506</v>
      </c>
      <c r="D10" s="323">
        <f>Питание!P10</f>
        <v>7241</v>
      </c>
      <c r="E10" s="323">
        <f>Питание!Q10</f>
        <v>2518</v>
      </c>
      <c r="F10" s="328">
        <f t="shared" si="1"/>
        <v>4723</v>
      </c>
      <c r="G10" s="324">
        <f>Питание!AA10</f>
        <v>7</v>
      </c>
      <c r="H10" s="325">
        <f t="shared" si="0"/>
        <v>60439300</v>
      </c>
      <c r="I10" s="326">
        <f t="shared" si="2"/>
        <v>0</v>
      </c>
      <c r="J10" s="327">
        <f t="shared" si="3"/>
        <v>60439300</v>
      </c>
    </row>
    <row r="11" spans="1:10" x14ac:dyDescent="0.2">
      <c r="A11" s="320">
        <v>6</v>
      </c>
      <c r="B11" s="321" t="s">
        <v>66</v>
      </c>
      <c r="C11" s="322">
        <f>Питание!C11</f>
        <v>20437</v>
      </c>
      <c r="D11" s="323">
        <f>Питание!P11</f>
        <v>9103</v>
      </c>
      <c r="E11" s="323">
        <f>Питание!Q11</f>
        <v>2592</v>
      </c>
      <c r="F11" s="328">
        <f t="shared" si="1"/>
        <v>6511</v>
      </c>
      <c r="G11" s="324">
        <f>Питание!AA11</f>
        <v>7.7</v>
      </c>
      <c r="H11" s="325">
        <f t="shared" si="0"/>
        <v>82692800</v>
      </c>
      <c r="I11" s="326">
        <f t="shared" si="2"/>
        <v>0</v>
      </c>
      <c r="J11" s="327">
        <f t="shared" si="3"/>
        <v>82692800</v>
      </c>
    </row>
    <row r="12" spans="1:10" x14ac:dyDescent="0.2">
      <c r="A12" s="320">
        <v>7</v>
      </c>
      <c r="B12" s="321" t="s">
        <v>11</v>
      </c>
      <c r="C12" s="322">
        <f>Питание!C12</f>
        <v>7443</v>
      </c>
      <c r="D12" s="323">
        <f>Питание!P12</f>
        <v>3300</v>
      </c>
      <c r="E12" s="323">
        <f>Питание!Q12</f>
        <v>0</v>
      </c>
      <c r="F12" s="328">
        <f t="shared" si="1"/>
        <v>3300</v>
      </c>
      <c r="G12" s="324">
        <f>Питание!AA12</f>
        <v>11.9</v>
      </c>
      <c r="H12" s="325">
        <f t="shared" si="0"/>
        <v>40004400</v>
      </c>
      <c r="I12" s="326">
        <f t="shared" si="2"/>
        <v>0</v>
      </c>
      <c r="J12" s="327">
        <f t="shared" si="3"/>
        <v>40004400</v>
      </c>
    </row>
    <row r="13" spans="1:10" x14ac:dyDescent="0.2">
      <c r="A13" s="320">
        <v>8</v>
      </c>
      <c r="B13" s="321" t="s">
        <v>12</v>
      </c>
      <c r="C13" s="322">
        <f>Питание!C13</f>
        <v>7073</v>
      </c>
      <c r="D13" s="323">
        <f>Питание!P13</f>
        <v>3108</v>
      </c>
      <c r="E13" s="323">
        <f>Питание!Q13</f>
        <v>595</v>
      </c>
      <c r="F13" s="328">
        <f t="shared" si="1"/>
        <v>2513</v>
      </c>
      <c r="G13" s="324">
        <f>Питание!AA13</f>
        <v>4.7</v>
      </c>
      <c r="H13" s="325">
        <f t="shared" si="0"/>
        <v>32953700</v>
      </c>
      <c r="I13" s="326">
        <f t="shared" si="2"/>
        <v>0</v>
      </c>
      <c r="J13" s="327">
        <f t="shared" si="3"/>
        <v>32953700</v>
      </c>
    </row>
    <row r="14" spans="1:10" x14ac:dyDescent="0.2">
      <c r="A14" s="320">
        <v>9</v>
      </c>
      <c r="B14" s="321" t="s">
        <v>13</v>
      </c>
      <c r="C14" s="322">
        <f>Питание!C14</f>
        <v>8910</v>
      </c>
      <c r="D14" s="323">
        <f>Питание!P14</f>
        <v>4014</v>
      </c>
      <c r="E14" s="323">
        <f>Питание!Q14</f>
        <v>984</v>
      </c>
      <c r="F14" s="328">
        <f t="shared" si="1"/>
        <v>3030</v>
      </c>
      <c r="G14" s="324">
        <f>Питание!AA14</f>
        <v>5.2</v>
      </c>
      <c r="H14" s="325">
        <f t="shared" si="0"/>
        <v>39524800</v>
      </c>
      <c r="I14" s="326">
        <f t="shared" si="2"/>
        <v>0</v>
      </c>
      <c r="J14" s="327">
        <f t="shared" si="3"/>
        <v>39524800</v>
      </c>
    </row>
    <row r="15" spans="1:10" x14ac:dyDescent="0.2">
      <c r="A15" s="320">
        <v>10</v>
      </c>
      <c r="B15" s="321" t="s">
        <v>33</v>
      </c>
      <c r="C15" s="322">
        <f>Питание!C15</f>
        <v>2683</v>
      </c>
      <c r="D15" s="323">
        <f>Питание!P15</f>
        <v>1120</v>
      </c>
      <c r="E15" s="323">
        <f>Питание!Q15</f>
        <v>478</v>
      </c>
      <c r="F15" s="328">
        <f t="shared" si="1"/>
        <v>642</v>
      </c>
      <c r="G15" s="324">
        <f>Питание!AA15</f>
        <v>14.5</v>
      </c>
      <c r="H15" s="325">
        <f t="shared" si="0"/>
        <v>7553000</v>
      </c>
      <c r="I15" s="326">
        <f t="shared" si="2"/>
        <v>0</v>
      </c>
      <c r="J15" s="327">
        <f t="shared" si="3"/>
        <v>7553000</v>
      </c>
    </row>
    <row r="16" spans="1:10" x14ac:dyDescent="0.2">
      <c r="A16" s="320">
        <v>11</v>
      </c>
      <c r="B16" s="321" t="s">
        <v>67</v>
      </c>
      <c r="C16" s="322">
        <f>Питание!C16</f>
        <v>6056</v>
      </c>
      <c r="D16" s="323">
        <f>Питание!P16</f>
        <v>2880</v>
      </c>
      <c r="E16" s="323">
        <f>Питание!Q16</f>
        <v>599</v>
      </c>
      <c r="F16" s="328">
        <f t="shared" si="1"/>
        <v>2281</v>
      </c>
      <c r="G16" s="324">
        <f>Питание!AA16</f>
        <v>4</v>
      </c>
      <c r="H16" s="325">
        <f t="shared" si="0"/>
        <v>30131100</v>
      </c>
      <c r="I16" s="326">
        <f t="shared" si="2"/>
        <v>0</v>
      </c>
      <c r="J16" s="327">
        <f t="shared" si="3"/>
        <v>30131100</v>
      </c>
    </row>
    <row r="17" spans="1:11" x14ac:dyDescent="0.2">
      <c r="A17" s="320">
        <v>12</v>
      </c>
      <c r="B17" s="321" t="s">
        <v>16</v>
      </c>
      <c r="C17" s="322">
        <f>Питание!C17</f>
        <v>5737</v>
      </c>
      <c r="D17" s="323">
        <f>Питание!P17</f>
        <v>2462</v>
      </c>
      <c r="E17" s="323">
        <f>Питание!Q17</f>
        <v>1093</v>
      </c>
      <c r="F17" s="328">
        <f t="shared" si="1"/>
        <v>1369</v>
      </c>
      <c r="G17" s="324">
        <f>Питание!AA17</f>
        <v>5</v>
      </c>
      <c r="H17" s="325">
        <f t="shared" si="0"/>
        <v>17895600</v>
      </c>
      <c r="I17" s="326">
        <f t="shared" si="2"/>
        <v>0</v>
      </c>
      <c r="J17" s="327">
        <f t="shared" si="3"/>
        <v>17895600</v>
      </c>
    </row>
    <row r="18" spans="1:11" x14ac:dyDescent="0.2">
      <c r="A18" s="320">
        <v>13</v>
      </c>
      <c r="B18" s="321" t="s">
        <v>17</v>
      </c>
      <c r="C18" s="322">
        <f>Питание!C18</f>
        <v>2757</v>
      </c>
      <c r="D18" s="323">
        <f>Питание!P18</f>
        <v>1118</v>
      </c>
      <c r="E18" s="323">
        <f>Питание!Q18</f>
        <v>150</v>
      </c>
      <c r="F18" s="328">
        <f t="shared" si="1"/>
        <v>968</v>
      </c>
      <c r="G18" s="324">
        <f>Питание!AA18</f>
        <v>2.4</v>
      </c>
      <c r="H18" s="325">
        <f t="shared" si="0"/>
        <v>13000000</v>
      </c>
      <c r="I18" s="326">
        <f>ROUND(H18*$I$27,-2)</f>
        <v>0</v>
      </c>
      <c r="J18" s="327">
        <f t="shared" si="3"/>
        <v>13000000</v>
      </c>
    </row>
    <row r="19" spans="1:11" x14ac:dyDescent="0.2">
      <c r="A19" s="320">
        <v>14</v>
      </c>
      <c r="B19" s="321" t="s">
        <v>18</v>
      </c>
      <c r="C19" s="322">
        <f>Питание!C19</f>
        <v>5268</v>
      </c>
      <c r="D19" s="323">
        <f>Питание!P19</f>
        <v>2334</v>
      </c>
      <c r="E19" s="323">
        <f>Питание!Q19</f>
        <v>763</v>
      </c>
      <c r="F19" s="328">
        <f t="shared" si="1"/>
        <v>1571</v>
      </c>
      <c r="G19" s="324">
        <f>Питание!AA19</f>
        <v>12</v>
      </c>
      <c r="H19" s="325">
        <f t="shared" si="0"/>
        <v>19022900</v>
      </c>
      <c r="I19" s="326">
        <f t="shared" si="2"/>
        <v>0</v>
      </c>
      <c r="J19" s="327">
        <f t="shared" si="3"/>
        <v>19022900</v>
      </c>
    </row>
    <row r="20" spans="1:11" x14ac:dyDescent="0.2">
      <c r="A20" s="320">
        <v>15</v>
      </c>
      <c r="B20" s="321" t="s">
        <v>19</v>
      </c>
      <c r="C20" s="322">
        <f>Питание!C20</f>
        <v>3455</v>
      </c>
      <c r="D20" s="323">
        <f>Питание!P20</f>
        <v>1465</v>
      </c>
      <c r="E20" s="323">
        <f>Питание!Q20</f>
        <v>392</v>
      </c>
      <c r="F20" s="328">
        <f t="shared" si="1"/>
        <v>1073</v>
      </c>
      <c r="G20" s="324">
        <f>Питание!AA20</f>
        <v>6.6</v>
      </c>
      <c r="H20" s="325">
        <f t="shared" si="0"/>
        <v>13790000</v>
      </c>
      <c r="I20" s="326">
        <f>ROUND(H20*$I$27,-2)</f>
        <v>0</v>
      </c>
      <c r="J20" s="327">
        <f t="shared" si="3"/>
        <v>13790000</v>
      </c>
    </row>
    <row r="21" spans="1:11" x14ac:dyDescent="0.2">
      <c r="A21" s="320">
        <v>16</v>
      </c>
      <c r="B21" s="321" t="s">
        <v>20</v>
      </c>
      <c r="C21" s="322">
        <f>Питание!C21</f>
        <v>7194</v>
      </c>
      <c r="D21" s="323">
        <f>Питание!P21</f>
        <v>3084</v>
      </c>
      <c r="E21" s="323">
        <f>Питание!Q21</f>
        <v>841</v>
      </c>
      <c r="F21" s="328">
        <f t="shared" si="1"/>
        <v>2243</v>
      </c>
      <c r="G21" s="324">
        <f>Питание!AA21</f>
        <v>12.1</v>
      </c>
      <c r="H21" s="325">
        <f t="shared" si="0"/>
        <v>27129200</v>
      </c>
      <c r="I21" s="326">
        <f t="shared" si="2"/>
        <v>0</v>
      </c>
      <c r="J21" s="327">
        <f t="shared" si="3"/>
        <v>27129200</v>
      </c>
    </row>
    <row r="22" spans="1:11" x14ac:dyDescent="0.2">
      <c r="A22" s="320">
        <v>17</v>
      </c>
      <c r="B22" s="321" t="s">
        <v>21</v>
      </c>
      <c r="C22" s="322">
        <f>Питание!C22</f>
        <v>10973</v>
      </c>
      <c r="D22" s="323">
        <f>Питание!P22</f>
        <v>5005</v>
      </c>
      <c r="E22" s="323">
        <f>Питание!Q22</f>
        <v>932</v>
      </c>
      <c r="F22" s="328">
        <f t="shared" si="1"/>
        <v>4073</v>
      </c>
      <c r="G22" s="324">
        <f>Питание!AA22</f>
        <v>11.8</v>
      </c>
      <c r="H22" s="325">
        <f t="shared" si="0"/>
        <v>49431200</v>
      </c>
      <c r="I22" s="326">
        <f t="shared" si="2"/>
        <v>0</v>
      </c>
      <c r="J22" s="327">
        <f t="shared" si="3"/>
        <v>49431200</v>
      </c>
    </row>
    <row r="23" spans="1:11" x14ac:dyDescent="0.2">
      <c r="A23" s="320">
        <v>18</v>
      </c>
      <c r="B23" s="321" t="s">
        <v>22</v>
      </c>
      <c r="C23" s="322">
        <f>Питание!C23</f>
        <v>6573</v>
      </c>
      <c r="D23" s="323">
        <f>Питание!P23</f>
        <v>2827</v>
      </c>
      <c r="E23" s="323">
        <f>Питание!Q23</f>
        <v>511</v>
      </c>
      <c r="F23" s="328">
        <f t="shared" si="1"/>
        <v>2316</v>
      </c>
      <c r="G23" s="324">
        <f>Питание!AA23</f>
        <v>9</v>
      </c>
      <c r="H23" s="325">
        <f t="shared" si="0"/>
        <v>29000000</v>
      </c>
      <c r="I23" s="326">
        <f t="shared" si="2"/>
        <v>0</v>
      </c>
      <c r="J23" s="327">
        <f t="shared" si="3"/>
        <v>29000000</v>
      </c>
    </row>
    <row r="24" spans="1:11" s="147" customFormat="1" x14ac:dyDescent="0.2">
      <c r="A24" s="329"/>
      <c r="B24" s="330" t="s">
        <v>49</v>
      </c>
      <c r="C24" s="331">
        <f t="shared" ref="C24" si="4">SUM(C6:C23)</f>
        <v>172611</v>
      </c>
      <c r="D24" s="331">
        <f>SUM(D6:D23)</f>
        <v>77865</v>
      </c>
      <c r="E24" s="331">
        <f t="shared" ref="E24:F24" si="5">SUM(E6:E23)</f>
        <v>17485</v>
      </c>
      <c r="F24" s="331">
        <f t="shared" si="5"/>
        <v>60380</v>
      </c>
      <c r="G24" s="332">
        <f>SUM(G6:G23)/18</f>
        <v>9.1333333333333346</v>
      </c>
      <c r="H24" s="345">
        <f>SUM(H6:H23)</f>
        <v>748013200</v>
      </c>
      <c r="I24" s="333">
        <f>SUM(I6:I23)</f>
        <v>0</v>
      </c>
      <c r="J24" s="334">
        <f>SUM(J6:J23)</f>
        <v>748013200</v>
      </c>
    </row>
    <row r="25" spans="1:11" s="149" customFormat="1" x14ac:dyDescent="0.2">
      <c r="A25" s="148"/>
      <c r="B25" s="148"/>
      <c r="C25" s="148"/>
      <c r="D25" s="148"/>
      <c r="E25" s="148"/>
      <c r="F25" s="148"/>
      <c r="G25" s="148"/>
      <c r="H25" s="148"/>
      <c r="I25" s="335">
        <f>I26-I24</f>
        <v>0</v>
      </c>
      <c r="J25" s="336" t="b">
        <f>J24+I24=H24</f>
        <v>1</v>
      </c>
      <c r="K25" s="148"/>
    </row>
    <row r="26" spans="1:11" s="149" customFormat="1" x14ac:dyDescent="0.2">
      <c r="A26" s="150"/>
      <c r="B26" s="150"/>
      <c r="C26" s="150"/>
      <c r="D26" s="150"/>
      <c r="E26" s="150"/>
      <c r="F26" s="150"/>
      <c r="G26" s="150"/>
      <c r="H26" s="337" t="s">
        <v>319</v>
      </c>
      <c r="I26" s="338">
        <v>0</v>
      </c>
    </row>
    <row r="27" spans="1:11" s="153" customFormat="1" x14ac:dyDescent="0.2">
      <c r="A27" s="151"/>
      <c r="B27" s="151"/>
      <c r="C27" s="151"/>
      <c r="D27" s="339"/>
      <c r="E27" s="339"/>
      <c r="F27" s="339"/>
      <c r="G27" s="339"/>
      <c r="H27" s="339"/>
      <c r="I27" s="340">
        <f>I26/H24</f>
        <v>0</v>
      </c>
    </row>
    <row r="28" spans="1:11" x14ac:dyDescent="0.2">
      <c r="D28" s="341" t="s">
        <v>320</v>
      </c>
      <c r="E28" s="339"/>
      <c r="F28" s="339"/>
      <c r="G28" s="339"/>
      <c r="H28" s="339"/>
    </row>
    <row r="29" spans="1:11" x14ac:dyDescent="0.2">
      <c r="D29" s="155" t="s">
        <v>98</v>
      </c>
      <c r="E29" s="155"/>
      <c r="F29" s="155"/>
      <c r="G29" s="155"/>
      <c r="H29" s="157">
        <v>172</v>
      </c>
      <c r="I29" s="342"/>
    </row>
    <row r="30" spans="1:11" x14ac:dyDescent="0.2">
      <c r="D30" s="155" t="s">
        <v>279</v>
      </c>
      <c r="E30" s="156"/>
      <c r="F30" s="156"/>
      <c r="G30" s="156"/>
      <c r="H30" s="343">
        <v>80</v>
      </c>
    </row>
    <row r="31" spans="1:11" s="147" customFormat="1" ht="22.15" customHeight="1" x14ac:dyDescent="0.2">
      <c r="A31" s="154"/>
      <c r="B31" s="158"/>
      <c r="C31" s="152"/>
      <c r="I31" s="344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54" customWidth="1"/>
    <col min="2" max="2" width="16.7109375" style="145" customWidth="1"/>
    <col min="3" max="3" width="13.140625" style="145" customWidth="1"/>
    <col min="4" max="4" width="11.28515625" style="145" customWidth="1"/>
    <col min="5" max="5" width="11.7109375" style="145" customWidth="1"/>
    <col min="6" max="6" width="12.140625" style="145" customWidth="1"/>
    <col min="7" max="7" width="9.7109375" style="145" customWidth="1"/>
    <col min="8" max="8" width="16.7109375" style="145" customWidth="1"/>
    <col min="9" max="9" width="16.140625" style="154" bestFit="1" customWidth="1"/>
    <col min="10" max="10" width="18.28515625" style="145" bestFit="1" customWidth="1"/>
    <col min="11" max="11" width="14.85546875" style="145" bestFit="1" customWidth="1"/>
    <col min="12" max="16384" width="9.140625" style="145"/>
  </cols>
  <sheetData>
    <row r="1" spans="1:11" ht="36" customHeight="1" x14ac:dyDescent="0.2">
      <c r="A1" s="553" t="s">
        <v>314</v>
      </c>
      <c r="B1" s="553"/>
      <c r="C1" s="553"/>
      <c r="D1" s="553"/>
      <c r="E1" s="553"/>
      <c r="F1" s="553"/>
      <c r="G1" s="553"/>
      <c r="H1" s="553"/>
      <c r="I1" s="553"/>
    </row>
    <row r="3" spans="1:11" s="146" customFormat="1" ht="13.15" customHeight="1" x14ac:dyDescent="0.2">
      <c r="A3" s="554" t="s">
        <v>24</v>
      </c>
      <c r="B3" s="555" t="s">
        <v>70</v>
      </c>
      <c r="C3" s="556" t="s">
        <v>71</v>
      </c>
      <c r="D3" s="557" t="s">
        <v>315</v>
      </c>
      <c r="E3" s="558"/>
      <c r="F3" s="558"/>
      <c r="G3" s="559" t="s">
        <v>72</v>
      </c>
      <c r="H3" s="562" t="s">
        <v>316</v>
      </c>
      <c r="I3" s="562" t="s">
        <v>317</v>
      </c>
      <c r="J3" s="551" t="s">
        <v>318</v>
      </c>
    </row>
    <row r="4" spans="1:11" s="146" customFormat="1" ht="13.15" customHeight="1" x14ac:dyDescent="0.2">
      <c r="A4" s="554"/>
      <c r="B4" s="555"/>
      <c r="C4" s="556"/>
      <c r="D4" s="558"/>
      <c r="E4" s="558"/>
      <c r="F4" s="558"/>
      <c r="G4" s="560"/>
      <c r="H4" s="558"/>
      <c r="I4" s="558"/>
      <c r="J4" s="552"/>
    </row>
    <row r="5" spans="1:11" s="146" customFormat="1" ht="33.75" x14ac:dyDescent="0.2">
      <c r="A5" s="554"/>
      <c r="B5" s="555"/>
      <c r="C5" s="556"/>
      <c r="D5" s="353" t="s">
        <v>274</v>
      </c>
      <c r="E5" s="353" t="s">
        <v>277</v>
      </c>
      <c r="F5" s="353" t="s">
        <v>278</v>
      </c>
      <c r="G5" s="561"/>
      <c r="H5" s="558"/>
      <c r="I5" s="558"/>
      <c r="J5" s="552"/>
      <c r="K5" s="146" t="s">
        <v>325</v>
      </c>
    </row>
    <row r="6" spans="1:11" ht="12" customHeight="1" x14ac:dyDescent="0.2">
      <c r="A6" s="320">
        <v>1</v>
      </c>
      <c r="B6" s="321" t="s">
        <v>32</v>
      </c>
      <c r="C6" s="322">
        <f>Питание!C6</f>
        <v>4457</v>
      </c>
      <c r="D6" s="323">
        <f>Питание!P6</f>
        <v>1825</v>
      </c>
      <c r="E6" s="323">
        <f>Питание!Q6</f>
        <v>384</v>
      </c>
      <c r="F6" s="323">
        <f>D6-E6</f>
        <v>1441</v>
      </c>
      <c r="G6" s="324">
        <f>Питание!AA6</f>
        <v>14.5</v>
      </c>
      <c r="H6" s="325">
        <f t="shared" ref="H6:H23" si="0">ROUND(F6*$H$29*$H$30*(100-G6)/100,-2)</f>
        <v>22886700</v>
      </c>
      <c r="I6" s="326">
        <f>ROUND(H6*$I$27,-2)</f>
        <v>0</v>
      </c>
      <c r="J6" s="327">
        <f>H6-I6</f>
        <v>22886700</v>
      </c>
      <c r="K6" s="354">
        <f>H6-'горячее питание_80'!H6</f>
        <v>5933600</v>
      </c>
    </row>
    <row r="7" spans="1:11" x14ac:dyDescent="0.2">
      <c r="A7" s="320">
        <v>2</v>
      </c>
      <c r="B7" s="321" t="s">
        <v>64</v>
      </c>
      <c r="C7" s="322">
        <f>Питание!C7</f>
        <v>4136</v>
      </c>
      <c r="D7" s="323">
        <f>Питание!P7</f>
        <v>1757</v>
      </c>
      <c r="E7" s="323">
        <f>Питание!Q7</f>
        <v>764</v>
      </c>
      <c r="F7" s="328">
        <f t="shared" ref="F7:F23" si="1">D7-E7</f>
        <v>993</v>
      </c>
      <c r="G7" s="324">
        <f>Питание!AA7</f>
        <v>9</v>
      </c>
      <c r="H7" s="325">
        <f t="shared" si="0"/>
        <v>16785800</v>
      </c>
      <c r="I7" s="326">
        <f t="shared" ref="I7:I23" si="2">ROUND(H7*$I$27,-2)</f>
        <v>0</v>
      </c>
      <c r="J7" s="327">
        <f t="shared" ref="J7:J23" si="3">H7-I7</f>
        <v>16785800</v>
      </c>
      <c r="K7" s="354">
        <f>H7-'горячее питание_80'!H7</f>
        <v>4351900</v>
      </c>
    </row>
    <row r="8" spans="1:11" x14ac:dyDescent="0.2">
      <c r="A8" s="320">
        <v>3</v>
      </c>
      <c r="B8" s="321" t="s">
        <v>65</v>
      </c>
      <c r="C8" s="322">
        <f>Питание!C8</f>
        <v>7483</v>
      </c>
      <c r="D8" s="323">
        <f>Питание!P8</f>
        <v>3127</v>
      </c>
      <c r="E8" s="323">
        <f>Питание!Q8</f>
        <v>1118</v>
      </c>
      <c r="F8" s="328">
        <f t="shared" si="1"/>
        <v>2009</v>
      </c>
      <c r="G8" s="324">
        <f>Питание!AA8</f>
        <v>14.4</v>
      </c>
      <c r="H8" s="325">
        <f t="shared" si="0"/>
        <v>31945200</v>
      </c>
      <c r="I8" s="326">
        <f t="shared" si="2"/>
        <v>0</v>
      </c>
      <c r="J8" s="327">
        <f t="shared" si="3"/>
        <v>31945200</v>
      </c>
      <c r="K8" s="354">
        <f>H8-'горячее питание_80'!H8</f>
        <v>8282100</v>
      </c>
    </row>
    <row r="9" spans="1:11" x14ac:dyDescent="0.2">
      <c r="A9" s="320">
        <v>4</v>
      </c>
      <c r="B9" s="321" t="s">
        <v>8</v>
      </c>
      <c r="C9" s="322">
        <f>Питание!C9</f>
        <v>45470</v>
      </c>
      <c r="D9" s="323">
        <f>Питание!P9</f>
        <v>22095</v>
      </c>
      <c r="E9" s="323">
        <f>Питание!Q9</f>
        <v>2771</v>
      </c>
      <c r="F9" s="328">
        <f t="shared" si="1"/>
        <v>19324</v>
      </c>
      <c r="G9" s="324">
        <f>Питание!AA9</f>
        <v>12.6</v>
      </c>
      <c r="H9" s="325">
        <f t="shared" si="0"/>
        <v>313733300</v>
      </c>
      <c r="I9" s="326">
        <f t="shared" si="2"/>
        <v>0</v>
      </c>
      <c r="J9" s="327">
        <f t="shared" si="3"/>
        <v>313733300</v>
      </c>
      <c r="K9" s="354">
        <f>H9-'горячее питание_80'!H9</f>
        <v>81338200</v>
      </c>
    </row>
    <row r="10" spans="1:11" x14ac:dyDescent="0.2">
      <c r="A10" s="320">
        <v>5</v>
      </c>
      <c r="B10" s="321" t="s">
        <v>9</v>
      </c>
      <c r="C10" s="322">
        <f>Питание!C10</f>
        <v>16506</v>
      </c>
      <c r="D10" s="323">
        <f>Питание!P10</f>
        <v>7241</v>
      </c>
      <c r="E10" s="323">
        <f>Питание!Q10</f>
        <v>2518</v>
      </c>
      <c r="F10" s="328">
        <f t="shared" si="1"/>
        <v>4723</v>
      </c>
      <c r="G10" s="324">
        <f>Питание!AA10</f>
        <v>7</v>
      </c>
      <c r="H10" s="325">
        <f t="shared" si="0"/>
        <v>81593000</v>
      </c>
      <c r="I10" s="326">
        <f t="shared" si="2"/>
        <v>0</v>
      </c>
      <c r="J10" s="327">
        <f t="shared" si="3"/>
        <v>81593000</v>
      </c>
      <c r="K10" s="354">
        <f>H10-'горячее питание_80'!H10</f>
        <v>21153700</v>
      </c>
    </row>
    <row r="11" spans="1:11" x14ac:dyDescent="0.2">
      <c r="A11" s="320">
        <v>6</v>
      </c>
      <c r="B11" s="321" t="s">
        <v>66</v>
      </c>
      <c r="C11" s="322">
        <f>Питание!C11</f>
        <v>20437</v>
      </c>
      <c r="D11" s="323">
        <f>Питание!P11</f>
        <v>9103</v>
      </c>
      <c r="E11" s="323">
        <f>Питание!Q11</f>
        <v>2592</v>
      </c>
      <c r="F11" s="328">
        <f t="shared" si="1"/>
        <v>6511</v>
      </c>
      <c r="G11" s="324">
        <f>Питание!AA11</f>
        <v>7.7</v>
      </c>
      <c r="H11" s="325">
        <f t="shared" si="0"/>
        <v>111635300</v>
      </c>
      <c r="I11" s="326">
        <f t="shared" si="2"/>
        <v>0</v>
      </c>
      <c r="J11" s="327">
        <f t="shared" si="3"/>
        <v>111635300</v>
      </c>
      <c r="K11" s="354">
        <f>H11-'горячее питание_80'!H11</f>
        <v>28942500</v>
      </c>
    </row>
    <row r="12" spans="1:11" x14ac:dyDescent="0.2">
      <c r="A12" s="320">
        <v>7</v>
      </c>
      <c r="B12" s="321" t="s">
        <v>11</v>
      </c>
      <c r="C12" s="322">
        <f>Питание!C12</f>
        <v>7443</v>
      </c>
      <c r="D12" s="323">
        <f>Питание!P12</f>
        <v>3300</v>
      </c>
      <c r="E12" s="323">
        <f>Питание!Q12</f>
        <v>0</v>
      </c>
      <c r="F12" s="328">
        <f t="shared" si="1"/>
        <v>3300</v>
      </c>
      <c r="G12" s="324">
        <f>Питание!AA12</f>
        <v>11.9</v>
      </c>
      <c r="H12" s="325">
        <f t="shared" si="0"/>
        <v>54006000</v>
      </c>
      <c r="I12" s="326">
        <f t="shared" si="2"/>
        <v>0</v>
      </c>
      <c r="J12" s="327">
        <f t="shared" si="3"/>
        <v>54006000</v>
      </c>
      <c r="K12" s="354">
        <f>H12-'горячее питание_80'!H12</f>
        <v>14001600</v>
      </c>
    </row>
    <row r="13" spans="1:11" x14ac:dyDescent="0.2">
      <c r="A13" s="320">
        <v>8</v>
      </c>
      <c r="B13" s="321" t="s">
        <v>12</v>
      </c>
      <c r="C13" s="322">
        <f>Питание!C13</f>
        <v>7073</v>
      </c>
      <c r="D13" s="323">
        <f>Питание!P13</f>
        <v>3108</v>
      </c>
      <c r="E13" s="323">
        <f>Питание!Q13</f>
        <v>595</v>
      </c>
      <c r="F13" s="328">
        <f t="shared" si="1"/>
        <v>2513</v>
      </c>
      <c r="G13" s="324">
        <f>Питание!AA13</f>
        <v>4.7</v>
      </c>
      <c r="H13" s="325">
        <f t="shared" si="0"/>
        <v>44487500</v>
      </c>
      <c r="I13" s="326">
        <f t="shared" si="2"/>
        <v>0</v>
      </c>
      <c r="J13" s="327">
        <f t="shared" si="3"/>
        <v>44487500</v>
      </c>
      <c r="K13" s="354">
        <f>H13-'горячее питание_80'!H13</f>
        <v>11533800</v>
      </c>
    </row>
    <row r="14" spans="1:11" x14ac:dyDescent="0.2">
      <c r="A14" s="320">
        <v>9</v>
      </c>
      <c r="B14" s="321" t="s">
        <v>13</v>
      </c>
      <c r="C14" s="322">
        <f>Питание!C14</f>
        <v>8910</v>
      </c>
      <c r="D14" s="323">
        <f>Питание!P14</f>
        <v>4014</v>
      </c>
      <c r="E14" s="323">
        <f>Питание!Q14</f>
        <v>984</v>
      </c>
      <c r="F14" s="328">
        <f t="shared" si="1"/>
        <v>3030</v>
      </c>
      <c r="G14" s="324">
        <f>Питание!AA14</f>
        <v>5.2</v>
      </c>
      <c r="H14" s="325">
        <f t="shared" si="0"/>
        <v>53358400</v>
      </c>
      <c r="I14" s="326">
        <f t="shared" si="2"/>
        <v>0</v>
      </c>
      <c r="J14" s="327">
        <f t="shared" si="3"/>
        <v>53358400</v>
      </c>
      <c r="K14" s="354">
        <f>H14-'горячее питание_80'!H14</f>
        <v>13833600</v>
      </c>
    </row>
    <row r="15" spans="1:11" x14ac:dyDescent="0.2">
      <c r="A15" s="320">
        <v>10</v>
      </c>
      <c r="B15" s="321" t="s">
        <v>33</v>
      </c>
      <c r="C15" s="322">
        <f>Питание!C15</f>
        <v>2683</v>
      </c>
      <c r="D15" s="323">
        <f>Питание!P15</f>
        <v>1120</v>
      </c>
      <c r="E15" s="323">
        <f>Питание!Q15</f>
        <v>478</v>
      </c>
      <c r="F15" s="328">
        <f t="shared" si="1"/>
        <v>642</v>
      </c>
      <c r="G15" s="324">
        <f>Питание!AA15</f>
        <v>14.5</v>
      </c>
      <c r="H15" s="325">
        <f t="shared" si="0"/>
        <v>10196600</v>
      </c>
      <c r="I15" s="326">
        <f t="shared" si="2"/>
        <v>0</v>
      </c>
      <c r="J15" s="327">
        <f t="shared" si="3"/>
        <v>10196600</v>
      </c>
      <c r="K15" s="354">
        <f>H15-'горячее питание_80'!H15</f>
        <v>2643600</v>
      </c>
    </row>
    <row r="16" spans="1:11" x14ac:dyDescent="0.2">
      <c r="A16" s="320">
        <v>11</v>
      </c>
      <c r="B16" s="321" t="s">
        <v>67</v>
      </c>
      <c r="C16" s="322">
        <f>Питание!C16</f>
        <v>6056</v>
      </c>
      <c r="D16" s="323">
        <f>Питание!P16</f>
        <v>2880</v>
      </c>
      <c r="E16" s="323">
        <f>Питание!Q16</f>
        <v>599</v>
      </c>
      <c r="F16" s="328">
        <f t="shared" si="1"/>
        <v>2281</v>
      </c>
      <c r="G16" s="324">
        <f>Питание!AA16</f>
        <v>4</v>
      </c>
      <c r="H16" s="325">
        <f t="shared" si="0"/>
        <v>40677000</v>
      </c>
      <c r="I16" s="326">
        <f t="shared" si="2"/>
        <v>0</v>
      </c>
      <c r="J16" s="327">
        <f t="shared" si="3"/>
        <v>40677000</v>
      </c>
      <c r="K16" s="354">
        <f>H16-'горячее питание_80'!H16</f>
        <v>10545900</v>
      </c>
    </row>
    <row r="17" spans="1:11" x14ac:dyDescent="0.2">
      <c r="A17" s="320">
        <v>12</v>
      </c>
      <c r="B17" s="321" t="s">
        <v>16</v>
      </c>
      <c r="C17" s="322">
        <f>Питание!C17</f>
        <v>5737</v>
      </c>
      <c r="D17" s="323">
        <f>Питание!P17</f>
        <v>2462</v>
      </c>
      <c r="E17" s="323">
        <f>Питание!Q17</f>
        <v>1093</v>
      </c>
      <c r="F17" s="328">
        <f t="shared" si="1"/>
        <v>1369</v>
      </c>
      <c r="G17" s="324">
        <f>Питание!AA17</f>
        <v>5</v>
      </c>
      <c r="H17" s="325">
        <f t="shared" si="0"/>
        <v>24159000</v>
      </c>
      <c r="I17" s="326">
        <f t="shared" si="2"/>
        <v>0</v>
      </c>
      <c r="J17" s="327">
        <f t="shared" si="3"/>
        <v>24159000</v>
      </c>
      <c r="K17" s="354">
        <f>H17-'горячее питание_80'!H17</f>
        <v>6263400</v>
      </c>
    </row>
    <row r="18" spans="1:11" x14ac:dyDescent="0.2">
      <c r="A18" s="320">
        <v>13</v>
      </c>
      <c r="B18" s="321" t="s">
        <v>17</v>
      </c>
      <c r="C18" s="322">
        <f>Питание!C18</f>
        <v>2757</v>
      </c>
      <c r="D18" s="323">
        <f>Питание!P18</f>
        <v>1118</v>
      </c>
      <c r="E18" s="323">
        <f>Питание!Q18</f>
        <v>150</v>
      </c>
      <c r="F18" s="328">
        <f t="shared" si="1"/>
        <v>968</v>
      </c>
      <c r="G18" s="324">
        <f>Питание!AA18</f>
        <v>2.4</v>
      </c>
      <c r="H18" s="325">
        <f t="shared" si="0"/>
        <v>17550000</v>
      </c>
      <c r="I18" s="326">
        <f>ROUND(H18*$I$27,-2)</f>
        <v>0</v>
      </c>
      <c r="J18" s="327">
        <f t="shared" si="3"/>
        <v>17550000</v>
      </c>
      <c r="K18" s="354">
        <f>H18-'горячее питание_80'!H18</f>
        <v>4550000</v>
      </c>
    </row>
    <row r="19" spans="1:11" x14ac:dyDescent="0.2">
      <c r="A19" s="320">
        <v>14</v>
      </c>
      <c r="B19" s="321" t="s">
        <v>18</v>
      </c>
      <c r="C19" s="322">
        <f>Питание!C19</f>
        <v>5268</v>
      </c>
      <c r="D19" s="323">
        <f>Питание!P19</f>
        <v>2334</v>
      </c>
      <c r="E19" s="323">
        <f>Питание!Q19</f>
        <v>763</v>
      </c>
      <c r="F19" s="328">
        <f t="shared" si="1"/>
        <v>1571</v>
      </c>
      <c r="G19" s="324">
        <f>Питание!AA19</f>
        <v>12</v>
      </c>
      <c r="H19" s="325">
        <f t="shared" si="0"/>
        <v>25680900</v>
      </c>
      <c r="I19" s="326">
        <f t="shared" si="2"/>
        <v>0</v>
      </c>
      <c r="J19" s="327">
        <f t="shared" si="3"/>
        <v>25680900</v>
      </c>
      <c r="K19" s="354">
        <f>H19-'горячее питание_80'!H19</f>
        <v>6658000</v>
      </c>
    </row>
    <row r="20" spans="1:11" x14ac:dyDescent="0.2">
      <c r="A20" s="320">
        <v>15</v>
      </c>
      <c r="B20" s="321" t="s">
        <v>19</v>
      </c>
      <c r="C20" s="322">
        <f>Питание!C20</f>
        <v>3455</v>
      </c>
      <c r="D20" s="323">
        <f>Питание!P20</f>
        <v>1465</v>
      </c>
      <c r="E20" s="323">
        <f>Питание!Q20</f>
        <v>392</v>
      </c>
      <c r="F20" s="328">
        <f t="shared" si="1"/>
        <v>1073</v>
      </c>
      <c r="G20" s="324">
        <f>Питание!AA20</f>
        <v>6.6</v>
      </c>
      <c r="H20" s="325">
        <f t="shared" si="0"/>
        <v>18616500</v>
      </c>
      <c r="I20" s="326">
        <f>ROUND(H20*$I$27,-2)</f>
        <v>0</v>
      </c>
      <c r="J20" s="327">
        <f t="shared" si="3"/>
        <v>18616500</v>
      </c>
      <c r="K20" s="354">
        <f>H20-'горячее питание_80'!H20</f>
        <v>4826500</v>
      </c>
    </row>
    <row r="21" spans="1:11" x14ac:dyDescent="0.2">
      <c r="A21" s="320">
        <v>16</v>
      </c>
      <c r="B21" s="321" t="s">
        <v>20</v>
      </c>
      <c r="C21" s="322">
        <f>Питание!C21</f>
        <v>7194</v>
      </c>
      <c r="D21" s="323">
        <f>Питание!P21</f>
        <v>3084</v>
      </c>
      <c r="E21" s="323">
        <f>Питание!Q21</f>
        <v>841</v>
      </c>
      <c r="F21" s="328">
        <f t="shared" si="1"/>
        <v>2243</v>
      </c>
      <c r="G21" s="324">
        <f>Питание!AA21</f>
        <v>12.1</v>
      </c>
      <c r="H21" s="325">
        <f t="shared" si="0"/>
        <v>36624400</v>
      </c>
      <c r="I21" s="326">
        <f t="shared" si="2"/>
        <v>0</v>
      </c>
      <c r="J21" s="327">
        <f t="shared" si="3"/>
        <v>36624400</v>
      </c>
      <c r="K21" s="354">
        <f>H21-'горячее питание_80'!H21</f>
        <v>9495200</v>
      </c>
    </row>
    <row r="22" spans="1:11" x14ac:dyDescent="0.2">
      <c r="A22" s="320">
        <v>17</v>
      </c>
      <c r="B22" s="321" t="s">
        <v>21</v>
      </c>
      <c r="C22" s="322">
        <f>Питание!C22</f>
        <v>10973</v>
      </c>
      <c r="D22" s="323">
        <f>Питание!P22</f>
        <v>5005</v>
      </c>
      <c r="E22" s="323">
        <f>Питание!Q22</f>
        <v>932</v>
      </c>
      <c r="F22" s="328">
        <f t="shared" si="1"/>
        <v>4073</v>
      </c>
      <c r="G22" s="324">
        <f>Питание!AA22</f>
        <v>11.8</v>
      </c>
      <c r="H22" s="325">
        <f t="shared" si="0"/>
        <v>66732200</v>
      </c>
      <c r="I22" s="326">
        <f t="shared" si="2"/>
        <v>0</v>
      </c>
      <c r="J22" s="327">
        <f t="shared" si="3"/>
        <v>66732200</v>
      </c>
      <c r="K22" s="354">
        <f>H22-'горячее питание_80'!H22</f>
        <v>17301000</v>
      </c>
    </row>
    <row r="23" spans="1:11" x14ac:dyDescent="0.2">
      <c r="A23" s="320">
        <v>18</v>
      </c>
      <c r="B23" s="321" t="s">
        <v>22</v>
      </c>
      <c r="C23" s="322">
        <f>Питание!C23</f>
        <v>6573</v>
      </c>
      <c r="D23" s="323">
        <f>Питание!P23</f>
        <v>2827</v>
      </c>
      <c r="E23" s="323">
        <f>Питание!Q23</f>
        <v>511</v>
      </c>
      <c r="F23" s="328">
        <f t="shared" si="1"/>
        <v>2316</v>
      </c>
      <c r="G23" s="324">
        <f>Питание!AA23</f>
        <v>9</v>
      </c>
      <c r="H23" s="325">
        <f t="shared" si="0"/>
        <v>39150000</v>
      </c>
      <c r="I23" s="326">
        <f t="shared" si="2"/>
        <v>0</v>
      </c>
      <c r="J23" s="327">
        <f t="shared" si="3"/>
        <v>39150000</v>
      </c>
      <c r="K23" s="354">
        <f>H23-'горячее питание_80'!H23</f>
        <v>10150000</v>
      </c>
    </row>
    <row r="24" spans="1:11" s="147" customFormat="1" x14ac:dyDescent="0.2">
      <c r="A24" s="329"/>
      <c r="B24" s="330" t="s">
        <v>49</v>
      </c>
      <c r="C24" s="331">
        <f t="shared" ref="C24" si="4">SUM(C6:C23)</f>
        <v>172611</v>
      </c>
      <c r="D24" s="331">
        <f>SUM(D6:D23)</f>
        <v>77865</v>
      </c>
      <c r="E24" s="331">
        <f t="shared" ref="E24:F24" si="5">SUM(E6:E23)</f>
        <v>17485</v>
      </c>
      <c r="F24" s="331">
        <f t="shared" si="5"/>
        <v>60380</v>
      </c>
      <c r="G24" s="332">
        <f>SUM(G6:G23)/18</f>
        <v>9.1333333333333346</v>
      </c>
      <c r="H24" s="345">
        <f>SUM(H6:H23)</f>
        <v>1009817800</v>
      </c>
      <c r="I24" s="333">
        <f>SUM(I6:I23)</f>
        <v>0</v>
      </c>
      <c r="J24" s="334">
        <f>SUM(J6:J23)</f>
        <v>1009817800</v>
      </c>
      <c r="K24" s="334">
        <f>SUM(K6:K23)</f>
        <v>261804600</v>
      </c>
    </row>
    <row r="25" spans="1:11" s="149" customFormat="1" x14ac:dyDescent="0.2">
      <c r="A25" s="148"/>
      <c r="B25" s="148"/>
      <c r="C25" s="148"/>
      <c r="D25" s="148"/>
      <c r="E25" s="148"/>
      <c r="F25" s="148"/>
      <c r="G25" s="148"/>
      <c r="H25" s="334">
        <v>690000000</v>
      </c>
      <c r="I25" s="335">
        <f>I26-I24</f>
        <v>0</v>
      </c>
      <c r="J25" s="336" t="b">
        <f>J24+I24=H24</f>
        <v>1</v>
      </c>
      <c r="K25" s="148"/>
    </row>
    <row r="26" spans="1:11" s="149" customFormat="1" x14ac:dyDescent="0.2">
      <c r="A26" s="150"/>
      <c r="B26" s="150"/>
      <c r="C26" s="150"/>
      <c r="D26" s="150"/>
      <c r="E26" s="150"/>
      <c r="F26" s="150"/>
      <c r="G26" s="150"/>
      <c r="H26" s="337" t="s">
        <v>319</v>
      </c>
      <c r="I26" s="338">
        <v>0</v>
      </c>
    </row>
    <row r="27" spans="1:11" s="153" customFormat="1" x14ac:dyDescent="0.2">
      <c r="A27" s="151"/>
      <c r="B27" s="151"/>
      <c r="C27" s="151"/>
      <c r="D27" s="339"/>
      <c r="E27" s="339"/>
      <c r="F27" s="339"/>
      <c r="G27" s="339"/>
      <c r="H27" s="339"/>
      <c r="I27" s="340">
        <f>I26/H24</f>
        <v>0</v>
      </c>
    </row>
    <row r="28" spans="1:11" x14ac:dyDescent="0.2">
      <c r="D28" s="341" t="s">
        <v>320</v>
      </c>
      <c r="E28" s="339"/>
      <c r="F28" s="339"/>
      <c r="G28" s="339"/>
      <c r="H28" s="339"/>
      <c r="J28" s="355">
        <f>H24-H25</f>
        <v>319817800</v>
      </c>
    </row>
    <row r="29" spans="1:11" x14ac:dyDescent="0.2">
      <c r="D29" s="155" t="s">
        <v>98</v>
      </c>
      <c r="E29" s="155"/>
      <c r="F29" s="155"/>
      <c r="G29" s="155"/>
      <c r="H29" s="157">
        <v>172</v>
      </c>
      <c r="I29" s="342"/>
    </row>
    <row r="30" spans="1:11" x14ac:dyDescent="0.2">
      <c r="D30" s="155" t="s">
        <v>279</v>
      </c>
      <c r="E30" s="156"/>
      <c r="F30" s="156"/>
      <c r="G30" s="156"/>
      <c r="H30" s="343">
        <v>108</v>
      </c>
    </row>
    <row r="31" spans="1:11" s="147" customFormat="1" ht="22.15" customHeight="1" x14ac:dyDescent="0.2">
      <c r="A31" s="154"/>
      <c r="B31" s="158"/>
      <c r="C31" s="152"/>
      <c r="I31" s="344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35" customWidth="1"/>
    <col min="2" max="2" width="17.28515625" style="35" customWidth="1"/>
    <col min="3" max="3" width="18" style="35" customWidth="1"/>
    <col min="4" max="4" width="12.5703125" style="35" customWidth="1"/>
    <col min="5" max="5" width="11.28515625" style="35" customWidth="1"/>
    <col min="6" max="6" width="7.28515625" style="35" customWidth="1"/>
    <col min="7" max="7" width="6.7109375" style="35" customWidth="1"/>
    <col min="8" max="8" width="8.28515625" style="35" customWidth="1"/>
    <col min="9" max="9" width="6.140625" style="35" customWidth="1"/>
    <col min="10" max="10" width="6.7109375" style="35" customWidth="1"/>
    <col min="11" max="11" width="9.42578125" style="35" customWidth="1"/>
    <col min="12" max="12" width="7.42578125" style="35" customWidth="1"/>
    <col min="13" max="13" width="8" style="35" customWidth="1"/>
    <col min="14" max="14" width="12.5703125" style="35" bestFit="1" customWidth="1"/>
    <col min="15" max="15" width="13.28515625" style="67" customWidth="1"/>
    <col min="16" max="16" width="6.140625" style="58" customWidth="1"/>
    <col min="17" max="17" width="5" style="35" customWidth="1"/>
    <col min="18" max="18" width="4.7109375" style="35" customWidth="1"/>
    <col min="19" max="19" width="4.140625" style="35" customWidth="1"/>
    <col min="20" max="20" width="3.5703125" style="35" customWidth="1"/>
    <col min="21" max="21" width="5.28515625" style="35" customWidth="1"/>
    <col min="22" max="22" width="5.7109375" style="35" customWidth="1"/>
    <col min="23" max="256" width="8.7109375" style="35"/>
    <col min="257" max="257" width="4.85546875" style="35" customWidth="1"/>
    <col min="258" max="258" width="17.28515625" style="35" customWidth="1"/>
    <col min="259" max="259" width="18" style="35" customWidth="1"/>
    <col min="260" max="260" width="12.5703125" style="35" customWidth="1"/>
    <col min="261" max="261" width="11.28515625" style="35" customWidth="1"/>
    <col min="262" max="262" width="7.28515625" style="35" customWidth="1"/>
    <col min="263" max="263" width="6.7109375" style="35" customWidth="1"/>
    <col min="264" max="264" width="8.28515625" style="35" customWidth="1"/>
    <col min="265" max="265" width="6.140625" style="35" customWidth="1"/>
    <col min="266" max="266" width="6.7109375" style="35" customWidth="1"/>
    <col min="267" max="267" width="6.5703125" style="35" customWidth="1"/>
    <col min="268" max="268" width="7.42578125" style="35" customWidth="1"/>
    <col min="269" max="269" width="8" style="35" customWidth="1"/>
    <col min="270" max="270" width="9.85546875" style="35" customWidth="1"/>
    <col min="271" max="271" width="13.28515625" style="35" customWidth="1"/>
    <col min="272" max="272" width="6.140625" style="35" customWidth="1"/>
    <col min="273" max="273" width="5" style="35" customWidth="1"/>
    <col min="274" max="274" width="4.7109375" style="35" customWidth="1"/>
    <col min="275" max="275" width="4.140625" style="35" customWidth="1"/>
    <col min="276" max="276" width="3.5703125" style="35" customWidth="1"/>
    <col min="277" max="277" width="5.28515625" style="35" customWidth="1"/>
    <col min="278" max="278" width="5.7109375" style="35" customWidth="1"/>
    <col min="279" max="512" width="8.7109375" style="35"/>
    <col min="513" max="513" width="4.85546875" style="35" customWidth="1"/>
    <col min="514" max="514" width="17.28515625" style="35" customWidth="1"/>
    <col min="515" max="515" width="18" style="35" customWidth="1"/>
    <col min="516" max="516" width="12.5703125" style="35" customWidth="1"/>
    <col min="517" max="517" width="11.28515625" style="35" customWidth="1"/>
    <col min="518" max="518" width="7.28515625" style="35" customWidth="1"/>
    <col min="519" max="519" width="6.7109375" style="35" customWidth="1"/>
    <col min="520" max="520" width="8.28515625" style="35" customWidth="1"/>
    <col min="521" max="521" width="6.140625" style="35" customWidth="1"/>
    <col min="522" max="522" width="6.7109375" style="35" customWidth="1"/>
    <col min="523" max="523" width="6.5703125" style="35" customWidth="1"/>
    <col min="524" max="524" width="7.42578125" style="35" customWidth="1"/>
    <col min="525" max="525" width="8" style="35" customWidth="1"/>
    <col min="526" max="526" width="9.85546875" style="35" customWidth="1"/>
    <col min="527" max="527" width="13.28515625" style="35" customWidth="1"/>
    <col min="528" max="528" width="6.140625" style="35" customWidth="1"/>
    <col min="529" max="529" width="5" style="35" customWidth="1"/>
    <col min="530" max="530" width="4.7109375" style="35" customWidth="1"/>
    <col min="531" max="531" width="4.140625" style="35" customWidth="1"/>
    <col min="532" max="532" width="3.5703125" style="35" customWidth="1"/>
    <col min="533" max="533" width="5.28515625" style="35" customWidth="1"/>
    <col min="534" max="534" width="5.7109375" style="35" customWidth="1"/>
    <col min="535" max="768" width="8.7109375" style="35"/>
    <col min="769" max="769" width="4.85546875" style="35" customWidth="1"/>
    <col min="770" max="770" width="17.28515625" style="35" customWidth="1"/>
    <col min="771" max="771" width="18" style="35" customWidth="1"/>
    <col min="772" max="772" width="12.5703125" style="35" customWidth="1"/>
    <col min="773" max="773" width="11.28515625" style="35" customWidth="1"/>
    <col min="774" max="774" width="7.28515625" style="35" customWidth="1"/>
    <col min="775" max="775" width="6.7109375" style="35" customWidth="1"/>
    <col min="776" max="776" width="8.28515625" style="35" customWidth="1"/>
    <col min="777" max="777" width="6.140625" style="35" customWidth="1"/>
    <col min="778" max="778" width="6.7109375" style="35" customWidth="1"/>
    <col min="779" max="779" width="6.5703125" style="35" customWidth="1"/>
    <col min="780" max="780" width="7.42578125" style="35" customWidth="1"/>
    <col min="781" max="781" width="8" style="35" customWidth="1"/>
    <col min="782" max="782" width="9.85546875" style="35" customWidth="1"/>
    <col min="783" max="783" width="13.28515625" style="35" customWidth="1"/>
    <col min="784" max="784" width="6.140625" style="35" customWidth="1"/>
    <col min="785" max="785" width="5" style="35" customWidth="1"/>
    <col min="786" max="786" width="4.7109375" style="35" customWidth="1"/>
    <col min="787" max="787" width="4.140625" style="35" customWidth="1"/>
    <col min="788" max="788" width="3.5703125" style="35" customWidth="1"/>
    <col min="789" max="789" width="5.28515625" style="35" customWidth="1"/>
    <col min="790" max="790" width="5.7109375" style="35" customWidth="1"/>
    <col min="791" max="1024" width="8.7109375" style="35"/>
    <col min="1025" max="1025" width="4.85546875" style="35" customWidth="1"/>
    <col min="1026" max="1026" width="17.28515625" style="35" customWidth="1"/>
    <col min="1027" max="1027" width="18" style="35" customWidth="1"/>
    <col min="1028" max="1028" width="12.5703125" style="35" customWidth="1"/>
    <col min="1029" max="1029" width="11.28515625" style="35" customWidth="1"/>
    <col min="1030" max="1030" width="7.28515625" style="35" customWidth="1"/>
    <col min="1031" max="1031" width="6.7109375" style="35" customWidth="1"/>
    <col min="1032" max="1032" width="8.28515625" style="35" customWidth="1"/>
    <col min="1033" max="1033" width="6.140625" style="35" customWidth="1"/>
    <col min="1034" max="1034" width="6.7109375" style="35" customWidth="1"/>
    <col min="1035" max="1035" width="6.5703125" style="35" customWidth="1"/>
    <col min="1036" max="1036" width="7.42578125" style="35" customWidth="1"/>
    <col min="1037" max="1037" width="8" style="35" customWidth="1"/>
    <col min="1038" max="1038" width="9.85546875" style="35" customWidth="1"/>
    <col min="1039" max="1039" width="13.28515625" style="35" customWidth="1"/>
    <col min="1040" max="1040" width="6.140625" style="35" customWidth="1"/>
    <col min="1041" max="1041" width="5" style="35" customWidth="1"/>
    <col min="1042" max="1042" width="4.7109375" style="35" customWidth="1"/>
    <col min="1043" max="1043" width="4.140625" style="35" customWidth="1"/>
    <col min="1044" max="1044" width="3.5703125" style="35" customWidth="1"/>
    <col min="1045" max="1045" width="5.28515625" style="35" customWidth="1"/>
    <col min="1046" max="1046" width="5.7109375" style="35" customWidth="1"/>
    <col min="1047" max="1280" width="8.7109375" style="35"/>
    <col min="1281" max="1281" width="4.85546875" style="35" customWidth="1"/>
    <col min="1282" max="1282" width="17.28515625" style="35" customWidth="1"/>
    <col min="1283" max="1283" width="18" style="35" customWidth="1"/>
    <col min="1284" max="1284" width="12.5703125" style="35" customWidth="1"/>
    <col min="1285" max="1285" width="11.28515625" style="35" customWidth="1"/>
    <col min="1286" max="1286" width="7.28515625" style="35" customWidth="1"/>
    <col min="1287" max="1287" width="6.7109375" style="35" customWidth="1"/>
    <col min="1288" max="1288" width="8.28515625" style="35" customWidth="1"/>
    <col min="1289" max="1289" width="6.140625" style="35" customWidth="1"/>
    <col min="1290" max="1290" width="6.7109375" style="35" customWidth="1"/>
    <col min="1291" max="1291" width="6.5703125" style="35" customWidth="1"/>
    <col min="1292" max="1292" width="7.42578125" style="35" customWidth="1"/>
    <col min="1293" max="1293" width="8" style="35" customWidth="1"/>
    <col min="1294" max="1294" width="9.85546875" style="35" customWidth="1"/>
    <col min="1295" max="1295" width="13.28515625" style="35" customWidth="1"/>
    <col min="1296" max="1296" width="6.140625" style="35" customWidth="1"/>
    <col min="1297" max="1297" width="5" style="35" customWidth="1"/>
    <col min="1298" max="1298" width="4.7109375" style="35" customWidth="1"/>
    <col min="1299" max="1299" width="4.140625" style="35" customWidth="1"/>
    <col min="1300" max="1300" width="3.5703125" style="35" customWidth="1"/>
    <col min="1301" max="1301" width="5.28515625" style="35" customWidth="1"/>
    <col min="1302" max="1302" width="5.7109375" style="35" customWidth="1"/>
    <col min="1303" max="1536" width="8.7109375" style="35"/>
    <col min="1537" max="1537" width="4.85546875" style="35" customWidth="1"/>
    <col min="1538" max="1538" width="17.28515625" style="35" customWidth="1"/>
    <col min="1539" max="1539" width="18" style="35" customWidth="1"/>
    <col min="1540" max="1540" width="12.5703125" style="35" customWidth="1"/>
    <col min="1541" max="1541" width="11.28515625" style="35" customWidth="1"/>
    <col min="1542" max="1542" width="7.28515625" style="35" customWidth="1"/>
    <col min="1543" max="1543" width="6.7109375" style="35" customWidth="1"/>
    <col min="1544" max="1544" width="8.28515625" style="35" customWidth="1"/>
    <col min="1545" max="1545" width="6.140625" style="35" customWidth="1"/>
    <col min="1546" max="1546" width="6.7109375" style="35" customWidth="1"/>
    <col min="1547" max="1547" width="6.5703125" style="35" customWidth="1"/>
    <col min="1548" max="1548" width="7.42578125" style="35" customWidth="1"/>
    <col min="1549" max="1549" width="8" style="35" customWidth="1"/>
    <col min="1550" max="1550" width="9.85546875" style="35" customWidth="1"/>
    <col min="1551" max="1551" width="13.28515625" style="35" customWidth="1"/>
    <col min="1552" max="1552" width="6.140625" style="35" customWidth="1"/>
    <col min="1553" max="1553" width="5" style="35" customWidth="1"/>
    <col min="1554" max="1554" width="4.7109375" style="35" customWidth="1"/>
    <col min="1555" max="1555" width="4.140625" style="35" customWidth="1"/>
    <col min="1556" max="1556" width="3.5703125" style="35" customWidth="1"/>
    <col min="1557" max="1557" width="5.28515625" style="35" customWidth="1"/>
    <col min="1558" max="1558" width="5.7109375" style="35" customWidth="1"/>
    <col min="1559" max="1792" width="8.7109375" style="35"/>
    <col min="1793" max="1793" width="4.85546875" style="35" customWidth="1"/>
    <col min="1794" max="1794" width="17.28515625" style="35" customWidth="1"/>
    <col min="1795" max="1795" width="18" style="35" customWidth="1"/>
    <col min="1796" max="1796" width="12.5703125" style="35" customWidth="1"/>
    <col min="1797" max="1797" width="11.28515625" style="35" customWidth="1"/>
    <col min="1798" max="1798" width="7.28515625" style="35" customWidth="1"/>
    <col min="1799" max="1799" width="6.7109375" style="35" customWidth="1"/>
    <col min="1800" max="1800" width="8.28515625" style="35" customWidth="1"/>
    <col min="1801" max="1801" width="6.140625" style="35" customWidth="1"/>
    <col min="1802" max="1802" width="6.7109375" style="35" customWidth="1"/>
    <col min="1803" max="1803" width="6.5703125" style="35" customWidth="1"/>
    <col min="1804" max="1804" width="7.42578125" style="35" customWidth="1"/>
    <col min="1805" max="1805" width="8" style="35" customWidth="1"/>
    <col min="1806" max="1806" width="9.85546875" style="35" customWidth="1"/>
    <col min="1807" max="1807" width="13.28515625" style="35" customWidth="1"/>
    <col min="1808" max="1808" width="6.140625" style="35" customWidth="1"/>
    <col min="1809" max="1809" width="5" style="35" customWidth="1"/>
    <col min="1810" max="1810" width="4.7109375" style="35" customWidth="1"/>
    <col min="1811" max="1811" width="4.140625" style="35" customWidth="1"/>
    <col min="1812" max="1812" width="3.5703125" style="35" customWidth="1"/>
    <col min="1813" max="1813" width="5.28515625" style="35" customWidth="1"/>
    <col min="1814" max="1814" width="5.7109375" style="35" customWidth="1"/>
    <col min="1815" max="2048" width="8.7109375" style="35"/>
    <col min="2049" max="2049" width="4.85546875" style="35" customWidth="1"/>
    <col min="2050" max="2050" width="17.28515625" style="35" customWidth="1"/>
    <col min="2051" max="2051" width="18" style="35" customWidth="1"/>
    <col min="2052" max="2052" width="12.5703125" style="35" customWidth="1"/>
    <col min="2053" max="2053" width="11.28515625" style="35" customWidth="1"/>
    <col min="2054" max="2054" width="7.28515625" style="35" customWidth="1"/>
    <col min="2055" max="2055" width="6.7109375" style="35" customWidth="1"/>
    <col min="2056" max="2056" width="8.28515625" style="35" customWidth="1"/>
    <col min="2057" max="2057" width="6.140625" style="35" customWidth="1"/>
    <col min="2058" max="2058" width="6.7109375" style="35" customWidth="1"/>
    <col min="2059" max="2059" width="6.5703125" style="35" customWidth="1"/>
    <col min="2060" max="2060" width="7.42578125" style="35" customWidth="1"/>
    <col min="2061" max="2061" width="8" style="35" customWidth="1"/>
    <col min="2062" max="2062" width="9.85546875" style="35" customWidth="1"/>
    <col min="2063" max="2063" width="13.28515625" style="35" customWidth="1"/>
    <col min="2064" max="2064" width="6.140625" style="35" customWidth="1"/>
    <col min="2065" max="2065" width="5" style="35" customWidth="1"/>
    <col min="2066" max="2066" width="4.7109375" style="35" customWidth="1"/>
    <col min="2067" max="2067" width="4.140625" style="35" customWidth="1"/>
    <col min="2068" max="2068" width="3.5703125" style="35" customWidth="1"/>
    <col min="2069" max="2069" width="5.28515625" style="35" customWidth="1"/>
    <col min="2070" max="2070" width="5.7109375" style="35" customWidth="1"/>
    <col min="2071" max="2304" width="8.7109375" style="35"/>
    <col min="2305" max="2305" width="4.85546875" style="35" customWidth="1"/>
    <col min="2306" max="2306" width="17.28515625" style="35" customWidth="1"/>
    <col min="2307" max="2307" width="18" style="35" customWidth="1"/>
    <col min="2308" max="2308" width="12.5703125" style="35" customWidth="1"/>
    <col min="2309" max="2309" width="11.28515625" style="35" customWidth="1"/>
    <col min="2310" max="2310" width="7.28515625" style="35" customWidth="1"/>
    <col min="2311" max="2311" width="6.7109375" style="35" customWidth="1"/>
    <col min="2312" max="2312" width="8.28515625" style="35" customWidth="1"/>
    <col min="2313" max="2313" width="6.140625" style="35" customWidth="1"/>
    <col min="2314" max="2314" width="6.7109375" style="35" customWidth="1"/>
    <col min="2315" max="2315" width="6.5703125" style="35" customWidth="1"/>
    <col min="2316" max="2316" width="7.42578125" style="35" customWidth="1"/>
    <col min="2317" max="2317" width="8" style="35" customWidth="1"/>
    <col min="2318" max="2318" width="9.85546875" style="35" customWidth="1"/>
    <col min="2319" max="2319" width="13.28515625" style="35" customWidth="1"/>
    <col min="2320" max="2320" width="6.140625" style="35" customWidth="1"/>
    <col min="2321" max="2321" width="5" style="35" customWidth="1"/>
    <col min="2322" max="2322" width="4.7109375" style="35" customWidth="1"/>
    <col min="2323" max="2323" width="4.140625" style="35" customWidth="1"/>
    <col min="2324" max="2324" width="3.5703125" style="35" customWidth="1"/>
    <col min="2325" max="2325" width="5.28515625" style="35" customWidth="1"/>
    <col min="2326" max="2326" width="5.7109375" style="35" customWidth="1"/>
    <col min="2327" max="2560" width="8.7109375" style="35"/>
    <col min="2561" max="2561" width="4.85546875" style="35" customWidth="1"/>
    <col min="2562" max="2562" width="17.28515625" style="35" customWidth="1"/>
    <col min="2563" max="2563" width="18" style="35" customWidth="1"/>
    <col min="2564" max="2564" width="12.5703125" style="35" customWidth="1"/>
    <col min="2565" max="2565" width="11.28515625" style="35" customWidth="1"/>
    <col min="2566" max="2566" width="7.28515625" style="35" customWidth="1"/>
    <col min="2567" max="2567" width="6.7109375" style="35" customWidth="1"/>
    <col min="2568" max="2568" width="8.28515625" style="35" customWidth="1"/>
    <col min="2569" max="2569" width="6.140625" style="35" customWidth="1"/>
    <col min="2570" max="2570" width="6.7109375" style="35" customWidth="1"/>
    <col min="2571" max="2571" width="6.5703125" style="35" customWidth="1"/>
    <col min="2572" max="2572" width="7.42578125" style="35" customWidth="1"/>
    <col min="2573" max="2573" width="8" style="35" customWidth="1"/>
    <col min="2574" max="2574" width="9.85546875" style="35" customWidth="1"/>
    <col min="2575" max="2575" width="13.28515625" style="35" customWidth="1"/>
    <col min="2576" max="2576" width="6.140625" style="35" customWidth="1"/>
    <col min="2577" max="2577" width="5" style="35" customWidth="1"/>
    <col min="2578" max="2578" width="4.7109375" style="35" customWidth="1"/>
    <col min="2579" max="2579" width="4.140625" style="35" customWidth="1"/>
    <col min="2580" max="2580" width="3.5703125" style="35" customWidth="1"/>
    <col min="2581" max="2581" width="5.28515625" style="35" customWidth="1"/>
    <col min="2582" max="2582" width="5.7109375" style="35" customWidth="1"/>
    <col min="2583" max="2816" width="8.7109375" style="35"/>
    <col min="2817" max="2817" width="4.85546875" style="35" customWidth="1"/>
    <col min="2818" max="2818" width="17.28515625" style="35" customWidth="1"/>
    <col min="2819" max="2819" width="18" style="35" customWidth="1"/>
    <col min="2820" max="2820" width="12.5703125" style="35" customWidth="1"/>
    <col min="2821" max="2821" width="11.28515625" style="35" customWidth="1"/>
    <col min="2822" max="2822" width="7.28515625" style="35" customWidth="1"/>
    <col min="2823" max="2823" width="6.7109375" style="35" customWidth="1"/>
    <col min="2824" max="2824" width="8.28515625" style="35" customWidth="1"/>
    <col min="2825" max="2825" width="6.140625" style="35" customWidth="1"/>
    <col min="2826" max="2826" width="6.7109375" style="35" customWidth="1"/>
    <col min="2827" max="2827" width="6.5703125" style="35" customWidth="1"/>
    <col min="2828" max="2828" width="7.42578125" style="35" customWidth="1"/>
    <col min="2829" max="2829" width="8" style="35" customWidth="1"/>
    <col min="2830" max="2830" width="9.85546875" style="35" customWidth="1"/>
    <col min="2831" max="2831" width="13.28515625" style="35" customWidth="1"/>
    <col min="2832" max="2832" width="6.140625" style="35" customWidth="1"/>
    <col min="2833" max="2833" width="5" style="35" customWidth="1"/>
    <col min="2834" max="2834" width="4.7109375" style="35" customWidth="1"/>
    <col min="2835" max="2835" width="4.140625" style="35" customWidth="1"/>
    <col min="2836" max="2836" width="3.5703125" style="35" customWidth="1"/>
    <col min="2837" max="2837" width="5.28515625" style="35" customWidth="1"/>
    <col min="2838" max="2838" width="5.7109375" style="35" customWidth="1"/>
    <col min="2839" max="3072" width="8.7109375" style="35"/>
    <col min="3073" max="3073" width="4.85546875" style="35" customWidth="1"/>
    <col min="3074" max="3074" width="17.28515625" style="35" customWidth="1"/>
    <col min="3075" max="3075" width="18" style="35" customWidth="1"/>
    <col min="3076" max="3076" width="12.5703125" style="35" customWidth="1"/>
    <col min="3077" max="3077" width="11.28515625" style="35" customWidth="1"/>
    <col min="3078" max="3078" width="7.28515625" style="35" customWidth="1"/>
    <col min="3079" max="3079" width="6.7109375" style="35" customWidth="1"/>
    <col min="3080" max="3080" width="8.28515625" style="35" customWidth="1"/>
    <col min="3081" max="3081" width="6.140625" style="35" customWidth="1"/>
    <col min="3082" max="3082" width="6.7109375" style="35" customWidth="1"/>
    <col min="3083" max="3083" width="6.5703125" style="35" customWidth="1"/>
    <col min="3084" max="3084" width="7.42578125" style="35" customWidth="1"/>
    <col min="3085" max="3085" width="8" style="35" customWidth="1"/>
    <col min="3086" max="3086" width="9.85546875" style="35" customWidth="1"/>
    <col min="3087" max="3087" width="13.28515625" style="35" customWidth="1"/>
    <col min="3088" max="3088" width="6.140625" style="35" customWidth="1"/>
    <col min="3089" max="3089" width="5" style="35" customWidth="1"/>
    <col min="3090" max="3090" width="4.7109375" style="35" customWidth="1"/>
    <col min="3091" max="3091" width="4.140625" style="35" customWidth="1"/>
    <col min="3092" max="3092" width="3.5703125" style="35" customWidth="1"/>
    <col min="3093" max="3093" width="5.28515625" style="35" customWidth="1"/>
    <col min="3094" max="3094" width="5.7109375" style="35" customWidth="1"/>
    <col min="3095" max="3328" width="8.7109375" style="35"/>
    <col min="3329" max="3329" width="4.85546875" style="35" customWidth="1"/>
    <col min="3330" max="3330" width="17.28515625" style="35" customWidth="1"/>
    <col min="3331" max="3331" width="18" style="35" customWidth="1"/>
    <col min="3332" max="3332" width="12.5703125" style="35" customWidth="1"/>
    <col min="3333" max="3333" width="11.28515625" style="35" customWidth="1"/>
    <col min="3334" max="3334" width="7.28515625" style="35" customWidth="1"/>
    <col min="3335" max="3335" width="6.7109375" style="35" customWidth="1"/>
    <col min="3336" max="3336" width="8.28515625" style="35" customWidth="1"/>
    <col min="3337" max="3337" width="6.140625" style="35" customWidth="1"/>
    <col min="3338" max="3338" width="6.7109375" style="35" customWidth="1"/>
    <col min="3339" max="3339" width="6.5703125" style="35" customWidth="1"/>
    <col min="3340" max="3340" width="7.42578125" style="35" customWidth="1"/>
    <col min="3341" max="3341" width="8" style="35" customWidth="1"/>
    <col min="3342" max="3342" width="9.85546875" style="35" customWidth="1"/>
    <col min="3343" max="3343" width="13.28515625" style="35" customWidth="1"/>
    <col min="3344" max="3344" width="6.140625" style="35" customWidth="1"/>
    <col min="3345" max="3345" width="5" style="35" customWidth="1"/>
    <col min="3346" max="3346" width="4.7109375" style="35" customWidth="1"/>
    <col min="3347" max="3347" width="4.140625" style="35" customWidth="1"/>
    <col min="3348" max="3348" width="3.5703125" style="35" customWidth="1"/>
    <col min="3349" max="3349" width="5.28515625" style="35" customWidth="1"/>
    <col min="3350" max="3350" width="5.7109375" style="35" customWidth="1"/>
    <col min="3351" max="3584" width="8.7109375" style="35"/>
    <col min="3585" max="3585" width="4.85546875" style="35" customWidth="1"/>
    <col min="3586" max="3586" width="17.28515625" style="35" customWidth="1"/>
    <col min="3587" max="3587" width="18" style="35" customWidth="1"/>
    <col min="3588" max="3588" width="12.5703125" style="35" customWidth="1"/>
    <col min="3589" max="3589" width="11.28515625" style="35" customWidth="1"/>
    <col min="3590" max="3590" width="7.28515625" style="35" customWidth="1"/>
    <col min="3591" max="3591" width="6.7109375" style="35" customWidth="1"/>
    <col min="3592" max="3592" width="8.28515625" style="35" customWidth="1"/>
    <col min="3593" max="3593" width="6.140625" style="35" customWidth="1"/>
    <col min="3594" max="3594" width="6.7109375" style="35" customWidth="1"/>
    <col min="3595" max="3595" width="6.5703125" style="35" customWidth="1"/>
    <col min="3596" max="3596" width="7.42578125" style="35" customWidth="1"/>
    <col min="3597" max="3597" width="8" style="35" customWidth="1"/>
    <col min="3598" max="3598" width="9.85546875" style="35" customWidth="1"/>
    <col min="3599" max="3599" width="13.28515625" style="35" customWidth="1"/>
    <col min="3600" max="3600" width="6.140625" style="35" customWidth="1"/>
    <col min="3601" max="3601" width="5" style="35" customWidth="1"/>
    <col min="3602" max="3602" width="4.7109375" style="35" customWidth="1"/>
    <col min="3603" max="3603" width="4.140625" style="35" customWidth="1"/>
    <col min="3604" max="3604" width="3.5703125" style="35" customWidth="1"/>
    <col min="3605" max="3605" width="5.28515625" style="35" customWidth="1"/>
    <col min="3606" max="3606" width="5.7109375" style="35" customWidth="1"/>
    <col min="3607" max="3840" width="8.7109375" style="35"/>
    <col min="3841" max="3841" width="4.85546875" style="35" customWidth="1"/>
    <col min="3842" max="3842" width="17.28515625" style="35" customWidth="1"/>
    <col min="3843" max="3843" width="18" style="35" customWidth="1"/>
    <col min="3844" max="3844" width="12.5703125" style="35" customWidth="1"/>
    <col min="3845" max="3845" width="11.28515625" style="35" customWidth="1"/>
    <col min="3846" max="3846" width="7.28515625" style="35" customWidth="1"/>
    <col min="3847" max="3847" width="6.7109375" style="35" customWidth="1"/>
    <col min="3848" max="3848" width="8.28515625" style="35" customWidth="1"/>
    <col min="3849" max="3849" width="6.140625" style="35" customWidth="1"/>
    <col min="3850" max="3850" width="6.7109375" style="35" customWidth="1"/>
    <col min="3851" max="3851" width="6.5703125" style="35" customWidth="1"/>
    <col min="3852" max="3852" width="7.42578125" style="35" customWidth="1"/>
    <col min="3853" max="3853" width="8" style="35" customWidth="1"/>
    <col min="3854" max="3854" width="9.85546875" style="35" customWidth="1"/>
    <col min="3855" max="3855" width="13.28515625" style="35" customWidth="1"/>
    <col min="3856" max="3856" width="6.140625" style="35" customWidth="1"/>
    <col min="3857" max="3857" width="5" style="35" customWidth="1"/>
    <col min="3858" max="3858" width="4.7109375" style="35" customWidth="1"/>
    <col min="3859" max="3859" width="4.140625" style="35" customWidth="1"/>
    <col min="3860" max="3860" width="3.5703125" style="35" customWidth="1"/>
    <col min="3861" max="3861" width="5.28515625" style="35" customWidth="1"/>
    <col min="3862" max="3862" width="5.7109375" style="35" customWidth="1"/>
    <col min="3863" max="4096" width="8.7109375" style="35"/>
    <col min="4097" max="4097" width="4.85546875" style="35" customWidth="1"/>
    <col min="4098" max="4098" width="17.28515625" style="35" customWidth="1"/>
    <col min="4099" max="4099" width="18" style="35" customWidth="1"/>
    <col min="4100" max="4100" width="12.5703125" style="35" customWidth="1"/>
    <col min="4101" max="4101" width="11.28515625" style="35" customWidth="1"/>
    <col min="4102" max="4102" width="7.28515625" style="35" customWidth="1"/>
    <col min="4103" max="4103" width="6.7109375" style="35" customWidth="1"/>
    <col min="4104" max="4104" width="8.28515625" style="35" customWidth="1"/>
    <col min="4105" max="4105" width="6.140625" style="35" customWidth="1"/>
    <col min="4106" max="4106" width="6.7109375" style="35" customWidth="1"/>
    <col min="4107" max="4107" width="6.5703125" style="35" customWidth="1"/>
    <col min="4108" max="4108" width="7.42578125" style="35" customWidth="1"/>
    <col min="4109" max="4109" width="8" style="35" customWidth="1"/>
    <col min="4110" max="4110" width="9.85546875" style="35" customWidth="1"/>
    <col min="4111" max="4111" width="13.28515625" style="35" customWidth="1"/>
    <col min="4112" max="4112" width="6.140625" style="35" customWidth="1"/>
    <col min="4113" max="4113" width="5" style="35" customWidth="1"/>
    <col min="4114" max="4114" width="4.7109375" style="35" customWidth="1"/>
    <col min="4115" max="4115" width="4.140625" style="35" customWidth="1"/>
    <col min="4116" max="4116" width="3.5703125" style="35" customWidth="1"/>
    <col min="4117" max="4117" width="5.28515625" style="35" customWidth="1"/>
    <col min="4118" max="4118" width="5.7109375" style="35" customWidth="1"/>
    <col min="4119" max="4352" width="8.7109375" style="35"/>
    <col min="4353" max="4353" width="4.85546875" style="35" customWidth="1"/>
    <col min="4354" max="4354" width="17.28515625" style="35" customWidth="1"/>
    <col min="4355" max="4355" width="18" style="35" customWidth="1"/>
    <col min="4356" max="4356" width="12.5703125" style="35" customWidth="1"/>
    <col min="4357" max="4357" width="11.28515625" style="35" customWidth="1"/>
    <col min="4358" max="4358" width="7.28515625" style="35" customWidth="1"/>
    <col min="4359" max="4359" width="6.7109375" style="35" customWidth="1"/>
    <col min="4360" max="4360" width="8.28515625" style="35" customWidth="1"/>
    <col min="4361" max="4361" width="6.140625" style="35" customWidth="1"/>
    <col min="4362" max="4362" width="6.7109375" style="35" customWidth="1"/>
    <col min="4363" max="4363" width="6.5703125" style="35" customWidth="1"/>
    <col min="4364" max="4364" width="7.42578125" style="35" customWidth="1"/>
    <col min="4365" max="4365" width="8" style="35" customWidth="1"/>
    <col min="4366" max="4366" width="9.85546875" style="35" customWidth="1"/>
    <col min="4367" max="4367" width="13.28515625" style="35" customWidth="1"/>
    <col min="4368" max="4368" width="6.140625" style="35" customWidth="1"/>
    <col min="4369" max="4369" width="5" style="35" customWidth="1"/>
    <col min="4370" max="4370" width="4.7109375" style="35" customWidth="1"/>
    <col min="4371" max="4371" width="4.140625" style="35" customWidth="1"/>
    <col min="4372" max="4372" width="3.5703125" style="35" customWidth="1"/>
    <col min="4373" max="4373" width="5.28515625" style="35" customWidth="1"/>
    <col min="4374" max="4374" width="5.7109375" style="35" customWidth="1"/>
    <col min="4375" max="4608" width="8.7109375" style="35"/>
    <col min="4609" max="4609" width="4.85546875" style="35" customWidth="1"/>
    <col min="4610" max="4610" width="17.28515625" style="35" customWidth="1"/>
    <col min="4611" max="4611" width="18" style="35" customWidth="1"/>
    <col min="4612" max="4612" width="12.5703125" style="35" customWidth="1"/>
    <col min="4613" max="4613" width="11.28515625" style="35" customWidth="1"/>
    <col min="4614" max="4614" width="7.28515625" style="35" customWidth="1"/>
    <col min="4615" max="4615" width="6.7109375" style="35" customWidth="1"/>
    <col min="4616" max="4616" width="8.28515625" style="35" customWidth="1"/>
    <col min="4617" max="4617" width="6.140625" style="35" customWidth="1"/>
    <col min="4618" max="4618" width="6.7109375" style="35" customWidth="1"/>
    <col min="4619" max="4619" width="6.5703125" style="35" customWidth="1"/>
    <col min="4620" max="4620" width="7.42578125" style="35" customWidth="1"/>
    <col min="4621" max="4621" width="8" style="35" customWidth="1"/>
    <col min="4622" max="4622" width="9.85546875" style="35" customWidth="1"/>
    <col min="4623" max="4623" width="13.28515625" style="35" customWidth="1"/>
    <col min="4624" max="4624" width="6.140625" style="35" customWidth="1"/>
    <col min="4625" max="4625" width="5" style="35" customWidth="1"/>
    <col min="4626" max="4626" width="4.7109375" style="35" customWidth="1"/>
    <col min="4627" max="4627" width="4.140625" style="35" customWidth="1"/>
    <col min="4628" max="4628" width="3.5703125" style="35" customWidth="1"/>
    <col min="4629" max="4629" width="5.28515625" style="35" customWidth="1"/>
    <col min="4630" max="4630" width="5.7109375" style="35" customWidth="1"/>
    <col min="4631" max="4864" width="8.7109375" style="35"/>
    <col min="4865" max="4865" width="4.85546875" style="35" customWidth="1"/>
    <col min="4866" max="4866" width="17.28515625" style="35" customWidth="1"/>
    <col min="4867" max="4867" width="18" style="35" customWidth="1"/>
    <col min="4868" max="4868" width="12.5703125" style="35" customWidth="1"/>
    <col min="4869" max="4869" width="11.28515625" style="35" customWidth="1"/>
    <col min="4870" max="4870" width="7.28515625" style="35" customWidth="1"/>
    <col min="4871" max="4871" width="6.7109375" style="35" customWidth="1"/>
    <col min="4872" max="4872" width="8.28515625" style="35" customWidth="1"/>
    <col min="4873" max="4873" width="6.140625" style="35" customWidth="1"/>
    <col min="4874" max="4874" width="6.7109375" style="35" customWidth="1"/>
    <col min="4875" max="4875" width="6.5703125" style="35" customWidth="1"/>
    <col min="4876" max="4876" width="7.42578125" style="35" customWidth="1"/>
    <col min="4877" max="4877" width="8" style="35" customWidth="1"/>
    <col min="4878" max="4878" width="9.85546875" style="35" customWidth="1"/>
    <col min="4879" max="4879" width="13.28515625" style="35" customWidth="1"/>
    <col min="4880" max="4880" width="6.140625" style="35" customWidth="1"/>
    <col min="4881" max="4881" width="5" style="35" customWidth="1"/>
    <col min="4882" max="4882" width="4.7109375" style="35" customWidth="1"/>
    <col min="4883" max="4883" width="4.140625" style="35" customWidth="1"/>
    <col min="4884" max="4884" width="3.5703125" style="35" customWidth="1"/>
    <col min="4885" max="4885" width="5.28515625" style="35" customWidth="1"/>
    <col min="4886" max="4886" width="5.7109375" style="35" customWidth="1"/>
    <col min="4887" max="5120" width="8.7109375" style="35"/>
    <col min="5121" max="5121" width="4.85546875" style="35" customWidth="1"/>
    <col min="5122" max="5122" width="17.28515625" style="35" customWidth="1"/>
    <col min="5123" max="5123" width="18" style="35" customWidth="1"/>
    <col min="5124" max="5124" width="12.5703125" style="35" customWidth="1"/>
    <col min="5125" max="5125" width="11.28515625" style="35" customWidth="1"/>
    <col min="5126" max="5126" width="7.28515625" style="35" customWidth="1"/>
    <col min="5127" max="5127" width="6.7109375" style="35" customWidth="1"/>
    <col min="5128" max="5128" width="8.28515625" style="35" customWidth="1"/>
    <col min="5129" max="5129" width="6.140625" style="35" customWidth="1"/>
    <col min="5130" max="5130" width="6.7109375" style="35" customWidth="1"/>
    <col min="5131" max="5131" width="6.5703125" style="35" customWidth="1"/>
    <col min="5132" max="5132" width="7.42578125" style="35" customWidth="1"/>
    <col min="5133" max="5133" width="8" style="35" customWidth="1"/>
    <col min="5134" max="5134" width="9.85546875" style="35" customWidth="1"/>
    <col min="5135" max="5135" width="13.28515625" style="35" customWidth="1"/>
    <col min="5136" max="5136" width="6.140625" style="35" customWidth="1"/>
    <col min="5137" max="5137" width="5" style="35" customWidth="1"/>
    <col min="5138" max="5138" width="4.7109375" style="35" customWidth="1"/>
    <col min="5139" max="5139" width="4.140625" style="35" customWidth="1"/>
    <col min="5140" max="5140" width="3.5703125" style="35" customWidth="1"/>
    <col min="5141" max="5141" width="5.28515625" style="35" customWidth="1"/>
    <col min="5142" max="5142" width="5.7109375" style="35" customWidth="1"/>
    <col min="5143" max="5376" width="8.7109375" style="35"/>
    <col min="5377" max="5377" width="4.85546875" style="35" customWidth="1"/>
    <col min="5378" max="5378" width="17.28515625" style="35" customWidth="1"/>
    <col min="5379" max="5379" width="18" style="35" customWidth="1"/>
    <col min="5380" max="5380" width="12.5703125" style="35" customWidth="1"/>
    <col min="5381" max="5381" width="11.28515625" style="35" customWidth="1"/>
    <col min="5382" max="5382" width="7.28515625" style="35" customWidth="1"/>
    <col min="5383" max="5383" width="6.7109375" style="35" customWidth="1"/>
    <col min="5384" max="5384" width="8.28515625" style="35" customWidth="1"/>
    <col min="5385" max="5385" width="6.140625" style="35" customWidth="1"/>
    <col min="5386" max="5386" width="6.7109375" style="35" customWidth="1"/>
    <col min="5387" max="5387" width="6.5703125" style="35" customWidth="1"/>
    <col min="5388" max="5388" width="7.42578125" style="35" customWidth="1"/>
    <col min="5389" max="5389" width="8" style="35" customWidth="1"/>
    <col min="5390" max="5390" width="9.85546875" style="35" customWidth="1"/>
    <col min="5391" max="5391" width="13.28515625" style="35" customWidth="1"/>
    <col min="5392" max="5392" width="6.140625" style="35" customWidth="1"/>
    <col min="5393" max="5393" width="5" style="35" customWidth="1"/>
    <col min="5394" max="5394" width="4.7109375" style="35" customWidth="1"/>
    <col min="5395" max="5395" width="4.140625" style="35" customWidth="1"/>
    <col min="5396" max="5396" width="3.5703125" style="35" customWidth="1"/>
    <col min="5397" max="5397" width="5.28515625" style="35" customWidth="1"/>
    <col min="5398" max="5398" width="5.7109375" style="35" customWidth="1"/>
    <col min="5399" max="5632" width="8.7109375" style="35"/>
    <col min="5633" max="5633" width="4.85546875" style="35" customWidth="1"/>
    <col min="5634" max="5634" width="17.28515625" style="35" customWidth="1"/>
    <col min="5635" max="5635" width="18" style="35" customWidth="1"/>
    <col min="5636" max="5636" width="12.5703125" style="35" customWidth="1"/>
    <col min="5637" max="5637" width="11.28515625" style="35" customWidth="1"/>
    <col min="5638" max="5638" width="7.28515625" style="35" customWidth="1"/>
    <col min="5639" max="5639" width="6.7109375" style="35" customWidth="1"/>
    <col min="5640" max="5640" width="8.28515625" style="35" customWidth="1"/>
    <col min="5641" max="5641" width="6.140625" style="35" customWidth="1"/>
    <col min="5642" max="5642" width="6.7109375" style="35" customWidth="1"/>
    <col min="5643" max="5643" width="6.5703125" style="35" customWidth="1"/>
    <col min="5644" max="5644" width="7.42578125" style="35" customWidth="1"/>
    <col min="5645" max="5645" width="8" style="35" customWidth="1"/>
    <col min="5646" max="5646" width="9.85546875" style="35" customWidth="1"/>
    <col min="5647" max="5647" width="13.28515625" style="35" customWidth="1"/>
    <col min="5648" max="5648" width="6.140625" style="35" customWidth="1"/>
    <col min="5649" max="5649" width="5" style="35" customWidth="1"/>
    <col min="5650" max="5650" width="4.7109375" style="35" customWidth="1"/>
    <col min="5651" max="5651" width="4.140625" style="35" customWidth="1"/>
    <col min="5652" max="5652" width="3.5703125" style="35" customWidth="1"/>
    <col min="5653" max="5653" width="5.28515625" style="35" customWidth="1"/>
    <col min="5654" max="5654" width="5.7109375" style="35" customWidth="1"/>
    <col min="5655" max="5888" width="8.7109375" style="35"/>
    <col min="5889" max="5889" width="4.85546875" style="35" customWidth="1"/>
    <col min="5890" max="5890" width="17.28515625" style="35" customWidth="1"/>
    <col min="5891" max="5891" width="18" style="35" customWidth="1"/>
    <col min="5892" max="5892" width="12.5703125" style="35" customWidth="1"/>
    <col min="5893" max="5893" width="11.28515625" style="35" customWidth="1"/>
    <col min="5894" max="5894" width="7.28515625" style="35" customWidth="1"/>
    <col min="5895" max="5895" width="6.7109375" style="35" customWidth="1"/>
    <col min="5896" max="5896" width="8.28515625" style="35" customWidth="1"/>
    <col min="5897" max="5897" width="6.140625" style="35" customWidth="1"/>
    <col min="5898" max="5898" width="6.7109375" style="35" customWidth="1"/>
    <col min="5899" max="5899" width="6.5703125" style="35" customWidth="1"/>
    <col min="5900" max="5900" width="7.42578125" style="35" customWidth="1"/>
    <col min="5901" max="5901" width="8" style="35" customWidth="1"/>
    <col min="5902" max="5902" width="9.85546875" style="35" customWidth="1"/>
    <col min="5903" max="5903" width="13.28515625" style="35" customWidth="1"/>
    <col min="5904" max="5904" width="6.140625" style="35" customWidth="1"/>
    <col min="5905" max="5905" width="5" style="35" customWidth="1"/>
    <col min="5906" max="5906" width="4.7109375" style="35" customWidth="1"/>
    <col min="5907" max="5907" width="4.140625" style="35" customWidth="1"/>
    <col min="5908" max="5908" width="3.5703125" style="35" customWidth="1"/>
    <col min="5909" max="5909" width="5.28515625" style="35" customWidth="1"/>
    <col min="5910" max="5910" width="5.7109375" style="35" customWidth="1"/>
    <col min="5911" max="6144" width="8.7109375" style="35"/>
    <col min="6145" max="6145" width="4.85546875" style="35" customWidth="1"/>
    <col min="6146" max="6146" width="17.28515625" style="35" customWidth="1"/>
    <col min="6147" max="6147" width="18" style="35" customWidth="1"/>
    <col min="6148" max="6148" width="12.5703125" style="35" customWidth="1"/>
    <col min="6149" max="6149" width="11.28515625" style="35" customWidth="1"/>
    <col min="6150" max="6150" width="7.28515625" style="35" customWidth="1"/>
    <col min="6151" max="6151" width="6.7109375" style="35" customWidth="1"/>
    <col min="6152" max="6152" width="8.28515625" style="35" customWidth="1"/>
    <col min="6153" max="6153" width="6.140625" style="35" customWidth="1"/>
    <col min="6154" max="6154" width="6.7109375" style="35" customWidth="1"/>
    <col min="6155" max="6155" width="6.5703125" style="35" customWidth="1"/>
    <col min="6156" max="6156" width="7.42578125" style="35" customWidth="1"/>
    <col min="6157" max="6157" width="8" style="35" customWidth="1"/>
    <col min="6158" max="6158" width="9.85546875" style="35" customWidth="1"/>
    <col min="6159" max="6159" width="13.28515625" style="35" customWidth="1"/>
    <col min="6160" max="6160" width="6.140625" style="35" customWidth="1"/>
    <col min="6161" max="6161" width="5" style="35" customWidth="1"/>
    <col min="6162" max="6162" width="4.7109375" style="35" customWidth="1"/>
    <col min="6163" max="6163" width="4.140625" style="35" customWidth="1"/>
    <col min="6164" max="6164" width="3.5703125" style="35" customWidth="1"/>
    <col min="6165" max="6165" width="5.28515625" style="35" customWidth="1"/>
    <col min="6166" max="6166" width="5.7109375" style="35" customWidth="1"/>
    <col min="6167" max="6400" width="8.7109375" style="35"/>
    <col min="6401" max="6401" width="4.85546875" style="35" customWidth="1"/>
    <col min="6402" max="6402" width="17.28515625" style="35" customWidth="1"/>
    <col min="6403" max="6403" width="18" style="35" customWidth="1"/>
    <col min="6404" max="6404" width="12.5703125" style="35" customWidth="1"/>
    <col min="6405" max="6405" width="11.28515625" style="35" customWidth="1"/>
    <col min="6406" max="6406" width="7.28515625" style="35" customWidth="1"/>
    <col min="6407" max="6407" width="6.7109375" style="35" customWidth="1"/>
    <col min="6408" max="6408" width="8.28515625" style="35" customWidth="1"/>
    <col min="6409" max="6409" width="6.140625" style="35" customWidth="1"/>
    <col min="6410" max="6410" width="6.7109375" style="35" customWidth="1"/>
    <col min="6411" max="6411" width="6.5703125" style="35" customWidth="1"/>
    <col min="6412" max="6412" width="7.42578125" style="35" customWidth="1"/>
    <col min="6413" max="6413" width="8" style="35" customWidth="1"/>
    <col min="6414" max="6414" width="9.85546875" style="35" customWidth="1"/>
    <col min="6415" max="6415" width="13.28515625" style="35" customWidth="1"/>
    <col min="6416" max="6416" width="6.140625" style="35" customWidth="1"/>
    <col min="6417" max="6417" width="5" style="35" customWidth="1"/>
    <col min="6418" max="6418" width="4.7109375" style="35" customWidth="1"/>
    <col min="6419" max="6419" width="4.140625" style="35" customWidth="1"/>
    <col min="6420" max="6420" width="3.5703125" style="35" customWidth="1"/>
    <col min="6421" max="6421" width="5.28515625" style="35" customWidth="1"/>
    <col min="6422" max="6422" width="5.7109375" style="35" customWidth="1"/>
    <col min="6423" max="6656" width="8.7109375" style="35"/>
    <col min="6657" max="6657" width="4.85546875" style="35" customWidth="1"/>
    <col min="6658" max="6658" width="17.28515625" style="35" customWidth="1"/>
    <col min="6659" max="6659" width="18" style="35" customWidth="1"/>
    <col min="6660" max="6660" width="12.5703125" style="35" customWidth="1"/>
    <col min="6661" max="6661" width="11.28515625" style="35" customWidth="1"/>
    <col min="6662" max="6662" width="7.28515625" style="35" customWidth="1"/>
    <col min="6663" max="6663" width="6.7109375" style="35" customWidth="1"/>
    <col min="6664" max="6664" width="8.28515625" style="35" customWidth="1"/>
    <col min="6665" max="6665" width="6.140625" style="35" customWidth="1"/>
    <col min="6666" max="6666" width="6.7109375" style="35" customWidth="1"/>
    <col min="6667" max="6667" width="6.5703125" style="35" customWidth="1"/>
    <col min="6668" max="6668" width="7.42578125" style="35" customWidth="1"/>
    <col min="6669" max="6669" width="8" style="35" customWidth="1"/>
    <col min="6670" max="6670" width="9.85546875" style="35" customWidth="1"/>
    <col min="6671" max="6671" width="13.28515625" style="35" customWidth="1"/>
    <col min="6672" max="6672" width="6.140625" style="35" customWidth="1"/>
    <col min="6673" max="6673" width="5" style="35" customWidth="1"/>
    <col min="6674" max="6674" width="4.7109375" style="35" customWidth="1"/>
    <col min="6675" max="6675" width="4.140625" style="35" customWidth="1"/>
    <col min="6676" max="6676" width="3.5703125" style="35" customWidth="1"/>
    <col min="6677" max="6677" width="5.28515625" style="35" customWidth="1"/>
    <col min="6678" max="6678" width="5.7109375" style="35" customWidth="1"/>
    <col min="6679" max="6912" width="8.7109375" style="35"/>
    <col min="6913" max="6913" width="4.85546875" style="35" customWidth="1"/>
    <col min="6914" max="6914" width="17.28515625" style="35" customWidth="1"/>
    <col min="6915" max="6915" width="18" style="35" customWidth="1"/>
    <col min="6916" max="6916" width="12.5703125" style="35" customWidth="1"/>
    <col min="6917" max="6917" width="11.28515625" style="35" customWidth="1"/>
    <col min="6918" max="6918" width="7.28515625" style="35" customWidth="1"/>
    <col min="6919" max="6919" width="6.7109375" style="35" customWidth="1"/>
    <col min="6920" max="6920" width="8.28515625" style="35" customWidth="1"/>
    <col min="6921" max="6921" width="6.140625" style="35" customWidth="1"/>
    <col min="6922" max="6922" width="6.7109375" style="35" customWidth="1"/>
    <col min="6923" max="6923" width="6.5703125" style="35" customWidth="1"/>
    <col min="6924" max="6924" width="7.42578125" style="35" customWidth="1"/>
    <col min="6925" max="6925" width="8" style="35" customWidth="1"/>
    <col min="6926" max="6926" width="9.85546875" style="35" customWidth="1"/>
    <col min="6927" max="6927" width="13.28515625" style="35" customWidth="1"/>
    <col min="6928" max="6928" width="6.140625" style="35" customWidth="1"/>
    <col min="6929" max="6929" width="5" style="35" customWidth="1"/>
    <col min="6930" max="6930" width="4.7109375" style="35" customWidth="1"/>
    <col min="6931" max="6931" width="4.140625" style="35" customWidth="1"/>
    <col min="6932" max="6932" width="3.5703125" style="35" customWidth="1"/>
    <col min="6933" max="6933" width="5.28515625" style="35" customWidth="1"/>
    <col min="6934" max="6934" width="5.7109375" style="35" customWidth="1"/>
    <col min="6935" max="7168" width="8.7109375" style="35"/>
    <col min="7169" max="7169" width="4.85546875" style="35" customWidth="1"/>
    <col min="7170" max="7170" width="17.28515625" style="35" customWidth="1"/>
    <col min="7171" max="7171" width="18" style="35" customWidth="1"/>
    <col min="7172" max="7172" width="12.5703125" style="35" customWidth="1"/>
    <col min="7173" max="7173" width="11.28515625" style="35" customWidth="1"/>
    <col min="7174" max="7174" width="7.28515625" style="35" customWidth="1"/>
    <col min="7175" max="7175" width="6.7109375" style="35" customWidth="1"/>
    <col min="7176" max="7176" width="8.28515625" style="35" customWidth="1"/>
    <col min="7177" max="7177" width="6.140625" style="35" customWidth="1"/>
    <col min="7178" max="7178" width="6.7109375" style="35" customWidth="1"/>
    <col min="7179" max="7179" width="6.5703125" style="35" customWidth="1"/>
    <col min="7180" max="7180" width="7.42578125" style="35" customWidth="1"/>
    <col min="7181" max="7181" width="8" style="35" customWidth="1"/>
    <col min="7182" max="7182" width="9.85546875" style="35" customWidth="1"/>
    <col min="7183" max="7183" width="13.28515625" style="35" customWidth="1"/>
    <col min="7184" max="7184" width="6.140625" style="35" customWidth="1"/>
    <col min="7185" max="7185" width="5" style="35" customWidth="1"/>
    <col min="7186" max="7186" width="4.7109375" style="35" customWidth="1"/>
    <col min="7187" max="7187" width="4.140625" style="35" customWidth="1"/>
    <col min="7188" max="7188" width="3.5703125" style="35" customWidth="1"/>
    <col min="7189" max="7189" width="5.28515625" style="35" customWidth="1"/>
    <col min="7190" max="7190" width="5.7109375" style="35" customWidth="1"/>
    <col min="7191" max="7424" width="8.7109375" style="35"/>
    <col min="7425" max="7425" width="4.85546875" style="35" customWidth="1"/>
    <col min="7426" max="7426" width="17.28515625" style="35" customWidth="1"/>
    <col min="7427" max="7427" width="18" style="35" customWidth="1"/>
    <col min="7428" max="7428" width="12.5703125" style="35" customWidth="1"/>
    <col min="7429" max="7429" width="11.28515625" style="35" customWidth="1"/>
    <col min="7430" max="7430" width="7.28515625" style="35" customWidth="1"/>
    <col min="7431" max="7431" width="6.7109375" style="35" customWidth="1"/>
    <col min="7432" max="7432" width="8.28515625" style="35" customWidth="1"/>
    <col min="7433" max="7433" width="6.140625" style="35" customWidth="1"/>
    <col min="7434" max="7434" width="6.7109375" style="35" customWidth="1"/>
    <col min="7435" max="7435" width="6.5703125" style="35" customWidth="1"/>
    <col min="7436" max="7436" width="7.42578125" style="35" customWidth="1"/>
    <col min="7437" max="7437" width="8" style="35" customWidth="1"/>
    <col min="7438" max="7438" width="9.85546875" style="35" customWidth="1"/>
    <col min="7439" max="7439" width="13.28515625" style="35" customWidth="1"/>
    <col min="7440" max="7440" width="6.140625" style="35" customWidth="1"/>
    <col min="7441" max="7441" width="5" style="35" customWidth="1"/>
    <col min="7442" max="7442" width="4.7109375" style="35" customWidth="1"/>
    <col min="7443" max="7443" width="4.140625" style="35" customWidth="1"/>
    <col min="7444" max="7444" width="3.5703125" style="35" customWidth="1"/>
    <col min="7445" max="7445" width="5.28515625" style="35" customWidth="1"/>
    <col min="7446" max="7446" width="5.7109375" style="35" customWidth="1"/>
    <col min="7447" max="7680" width="8.7109375" style="35"/>
    <col min="7681" max="7681" width="4.85546875" style="35" customWidth="1"/>
    <col min="7682" max="7682" width="17.28515625" style="35" customWidth="1"/>
    <col min="7683" max="7683" width="18" style="35" customWidth="1"/>
    <col min="7684" max="7684" width="12.5703125" style="35" customWidth="1"/>
    <col min="7685" max="7685" width="11.28515625" style="35" customWidth="1"/>
    <col min="7686" max="7686" width="7.28515625" style="35" customWidth="1"/>
    <col min="7687" max="7687" width="6.7109375" style="35" customWidth="1"/>
    <col min="7688" max="7688" width="8.28515625" style="35" customWidth="1"/>
    <col min="7689" max="7689" width="6.140625" style="35" customWidth="1"/>
    <col min="7690" max="7690" width="6.7109375" style="35" customWidth="1"/>
    <col min="7691" max="7691" width="6.5703125" style="35" customWidth="1"/>
    <col min="7692" max="7692" width="7.42578125" style="35" customWidth="1"/>
    <col min="7693" max="7693" width="8" style="35" customWidth="1"/>
    <col min="7694" max="7694" width="9.85546875" style="35" customWidth="1"/>
    <col min="7695" max="7695" width="13.28515625" style="35" customWidth="1"/>
    <col min="7696" max="7696" width="6.140625" style="35" customWidth="1"/>
    <col min="7697" max="7697" width="5" style="35" customWidth="1"/>
    <col min="7698" max="7698" width="4.7109375" style="35" customWidth="1"/>
    <col min="7699" max="7699" width="4.140625" style="35" customWidth="1"/>
    <col min="7700" max="7700" width="3.5703125" style="35" customWidth="1"/>
    <col min="7701" max="7701" width="5.28515625" style="35" customWidth="1"/>
    <col min="7702" max="7702" width="5.7109375" style="35" customWidth="1"/>
    <col min="7703" max="7936" width="8.7109375" style="35"/>
    <col min="7937" max="7937" width="4.85546875" style="35" customWidth="1"/>
    <col min="7938" max="7938" width="17.28515625" style="35" customWidth="1"/>
    <col min="7939" max="7939" width="18" style="35" customWidth="1"/>
    <col min="7940" max="7940" width="12.5703125" style="35" customWidth="1"/>
    <col min="7941" max="7941" width="11.28515625" style="35" customWidth="1"/>
    <col min="7942" max="7942" width="7.28515625" style="35" customWidth="1"/>
    <col min="7943" max="7943" width="6.7109375" style="35" customWidth="1"/>
    <col min="7944" max="7944" width="8.28515625" style="35" customWidth="1"/>
    <col min="7945" max="7945" width="6.140625" style="35" customWidth="1"/>
    <col min="7946" max="7946" width="6.7109375" style="35" customWidth="1"/>
    <col min="7947" max="7947" width="6.5703125" style="35" customWidth="1"/>
    <col min="7948" max="7948" width="7.42578125" style="35" customWidth="1"/>
    <col min="7949" max="7949" width="8" style="35" customWidth="1"/>
    <col min="7950" max="7950" width="9.85546875" style="35" customWidth="1"/>
    <col min="7951" max="7951" width="13.28515625" style="35" customWidth="1"/>
    <col min="7952" max="7952" width="6.140625" style="35" customWidth="1"/>
    <col min="7953" max="7953" width="5" style="35" customWidth="1"/>
    <col min="7954" max="7954" width="4.7109375" style="35" customWidth="1"/>
    <col min="7955" max="7955" width="4.140625" style="35" customWidth="1"/>
    <col min="7956" max="7956" width="3.5703125" style="35" customWidth="1"/>
    <col min="7957" max="7957" width="5.28515625" style="35" customWidth="1"/>
    <col min="7958" max="7958" width="5.7109375" style="35" customWidth="1"/>
    <col min="7959" max="8192" width="8.7109375" style="35"/>
    <col min="8193" max="8193" width="4.85546875" style="35" customWidth="1"/>
    <col min="8194" max="8194" width="17.28515625" style="35" customWidth="1"/>
    <col min="8195" max="8195" width="18" style="35" customWidth="1"/>
    <col min="8196" max="8196" width="12.5703125" style="35" customWidth="1"/>
    <col min="8197" max="8197" width="11.28515625" style="35" customWidth="1"/>
    <col min="8198" max="8198" width="7.28515625" style="35" customWidth="1"/>
    <col min="8199" max="8199" width="6.7109375" style="35" customWidth="1"/>
    <col min="8200" max="8200" width="8.28515625" style="35" customWidth="1"/>
    <col min="8201" max="8201" width="6.140625" style="35" customWidth="1"/>
    <col min="8202" max="8202" width="6.7109375" style="35" customWidth="1"/>
    <col min="8203" max="8203" width="6.5703125" style="35" customWidth="1"/>
    <col min="8204" max="8204" width="7.42578125" style="35" customWidth="1"/>
    <col min="8205" max="8205" width="8" style="35" customWidth="1"/>
    <col min="8206" max="8206" width="9.85546875" style="35" customWidth="1"/>
    <col min="8207" max="8207" width="13.28515625" style="35" customWidth="1"/>
    <col min="8208" max="8208" width="6.140625" style="35" customWidth="1"/>
    <col min="8209" max="8209" width="5" style="35" customWidth="1"/>
    <col min="8210" max="8210" width="4.7109375" style="35" customWidth="1"/>
    <col min="8211" max="8211" width="4.140625" style="35" customWidth="1"/>
    <col min="8212" max="8212" width="3.5703125" style="35" customWidth="1"/>
    <col min="8213" max="8213" width="5.28515625" style="35" customWidth="1"/>
    <col min="8214" max="8214" width="5.7109375" style="35" customWidth="1"/>
    <col min="8215" max="8448" width="8.7109375" style="35"/>
    <col min="8449" max="8449" width="4.85546875" style="35" customWidth="1"/>
    <col min="8450" max="8450" width="17.28515625" style="35" customWidth="1"/>
    <col min="8451" max="8451" width="18" style="35" customWidth="1"/>
    <col min="8452" max="8452" width="12.5703125" style="35" customWidth="1"/>
    <col min="8453" max="8453" width="11.28515625" style="35" customWidth="1"/>
    <col min="8454" max="8454" width="7.28515625" style="35" customWidth="1"/>
    <col min="8455" max="8455" width="6.7109375" style="35" customWidth="1"/>
    <col min="8456" max="8456" width="8.28515625" style="35" customWidth="1"/>
    <col min="8457" max="8457" width="6.140625" style="35" customWidth="1"/>
    <col min="8458" max="8458" width="6.7109375" style="35" customWidth="1"/>
    <col min="8459" max="8459" width="6.5703125" style="35" customWidth="1"/>
    <col min="8460" max="8460" width="7.42578125" style="35" customWidth="1"/>
    <col min="8461" max="8461" width="8" style="35" customWidth="1"/>
    <col min="8462" max="8462" width="9.85546875" style="35" customWidth="1"/>
    <col min="8463" max="8463" width="13.28515625" style="35" customWidth="1"/>
    <col min="8464" max="8464" width="6.140625" style="35" customWidth="1"/>
    <col min="8465" max="8465" width="5" style="35" customWidth="1"/>
    <col min="8466" max="8466" width="4.7109375" style="35" customWidth="1"/>
    <col min="8467" max="8467" width="4.140625" style="35" customWidth="1"/>
    <col min="8468" max="8468" width="3.5703125" style="35" customWidth="1"/>
    <col min="8469" max="8469" width="5.28515625" style="35" customWidth="1"/>
    <col min="8470" max="8470" width="5.7109375" style="35" customWidth="1"/>
    <col min="8471" max="8704" width="8.7109375" style="35"/>
    <col min="8705" max="8705" width="4.85546875" style="35" customWidth="1"/>
    <col min="8706" max="8706" width="17.28515625" style="35" customWidth="1"/>
    <col min="8707" max="8707" width="18" style="35" customWidth="1"/>
    <col min="8708" max="8708" width="12.5703125" style="35" customWidth="1"/>
    <col min="8709" max="8709" width="11.28515625" style="35" customWidth="1"/>
    <col min="8710" max="8710" width="7.28515625" style="35" customWidth="1"/>
    <col min="8711" max="8711" width="6.7109375" style="35" customWidth="1"/>
    <col min="8712" max="8712" width="8.28515625" style="35" customWidth="1"/>
    <col min="8713" max="8713" width="6.140625" style="35" customWidth="1"/>
    <col min="8714" max="8714" width="6.7109375" style="35" customWidth="1"/>
    <col min="8715" max="8715" width="6.5703125" style="35" customWidth="1"/>
    <col min="8716" max="8716" width="7.42578125" style="35" customWidth="1"/>
    <col min="8717" max="8717" width="8" style="35" customWidth="1"/>
    <col min="8718" max="8718" width="9.85546875" style="35" customWidth="1"/>
    <col min="8719" max="8719" width="13.28515625" style="35" customWidth="1"/>
    <col min="8720" max="8720" width="6.140625" style="35" customWidth="1"/>
    <col min="8721" max="8721" width="5" style="35" customWidth="1"/>
    <col min="8722" max="8722" width="4.7109375" style="35" customWidth="1"/>
    <col min="8723" max="8723" width="4.140625" style="35" customWidth="1"/>
    <col min="8724" max="8724" width="3.5703125" style="35" customWidth="1"/>
    <col min="8725" max="8725" width="5.28515625" style="35" customWidth="1"/>
    <col min="8726" max="8726" width="5.7109375" style="35" customWidth="1"/>
    <col min="8727" max="8960" width="8.7109375" style="35"/>
    <col min="8961" max="8961" width="4.85546875" style="35" customWidth="1"/>
    <col min="8962" max="8962" width="17.28515625" style="35" customWidth="1"/>
    <col min="8963" max="8963" width="18" style="35" customWidth="1"/>
    <col min="8964" max="8964" width="12.5703125" style="35" customWidth="1"/>
    <col min="8965" max="8965" width="11.28515625" style="35" customWidth="1"/>
    <col min="8966" max="8966" width="7.28515625" style="35" customWidth="1"/>
    <col min="8967" max="8967" width="6.7109375" style="35" customWidth="1"/>
    <col min="8968" max="8968" width="8.28515625" style="35" customWidth="1"/>
    <col min="8969" max="8969" width="6.140625" style="35" customWidth="1"/>
    <col min="8970" max="8970" width="6.7109375" style="35" customWidth="1"/>
    <col min="8971" max="8971" width="6.5703125" style="35" customWidth="1"/>
    <col min="8972" max="8972" width="7.42578125" style="35" customWidth="1"/>
    <col min="8973" max="8973" width="8" style="35" customWidth="1"/>
    <col min="8974" max="8974" width="9.85546875" style="35" customWidth="1"/>
    <col min="8975" max="8975" width="13.28515625" style="35" customWidth="1"/>
    <col min="8976" max="8976" width="6.140625" style="35" customWidth="1"/>
    <col min="8977" max="8977" width="5" style="35" customWidth="1"/>
    <col min="8978" max="8978" width="4.7109375" style="35" customWidth="1"/>
    <col min="8979" max="8979" width="4.140625" style="35" customWidth="1"/>
    <col min="8980" max="8980" width="3.5703125" style="35" customWidth="1"/>
    <col min="8981" max="8981" width="5.28515625" style="35" customWidth="1"/>
    <col min="8982" max="8982" width="5.7109375" style="35" customWidth="1"/>
    <col min="8983" max="9216" width="8.7109375" style="35"/>
    <col min="9217" max="9217" width="4.85546875" style="35" customWidth="1"/>
    <col min="9218" max="9218" width="17.28515625" style="35" customWidth="1"/>
    <col min="9219" max="9219" width="18" style="35" customWidth="1"/>
    <col min="9220" max="9220" width="12.5703125" style="35" customWidth="1"/>
    <col min="9221" max="9221" width="11.28515625" style="35" customWidth="1"/>
    <col min="9222" max="9222" width="7.28515625" style="35" customWidth="1"/>
    <col min="9223" max="9223" width="6.7109375" style="35" customWidth="1"/>
    <col min="9224" max="9224" width="8.28515625" style="35" customWidth="1"/>
    <col min="9225" max="9225" width="6.140625" style="35" customWidth="1"/>
    <col min="9226" max="9226" width="6.7109375" style="35" customWidth="1"/>
    <col min="9227" max="9227" width="6.5703125" style="35" customWidth="1"/>
    <col min="9228" max="9228" width="7.42578125" style="35" customWidth="1"/>
    <col min="9229" max="9229" width="8" style="35" customWidth="1"/>
    <col min="9230" max="9230" width="9.85546875" style="35" customWidth="1"/>
    <col min="9231" max="9231" width="13.28515625" style="35" customWidth="1"/>
    <col min="9232" max="9232" width="6.140625" style="35" customWidth="1"/>
    <col min="9233" max="9233" width="5" style="35" customWidth="1"/>
    <col min="9234" max="9234" width="4.7109375" style="35" customWidth="1"/>
    <col min="9235" max="9235" width="4.140625" style="35" customWidth="1"/>
    <col min="9236" max="9236" width="3.5703125" style="35" customWidth="1"/>
    <col min="9237" max="9237" width="5.28515625" style="35" customWidth="1"/>
    <col min="9238" max="9238" width="5.7109375" style="35" customWidth="1"/>
    <col min="9239" max="9472" width="8.7109375" style="35"/>
    <col min="9473" max="9473" width="4.85546875" style="35" customWidth="1"/>
    <col min="9474" max="9474" width="17.28515625" style="35" customWidth="1"/>
    <col min="9475" max="9475" width="18" style="35" customWidth="1"/>
    <col min="9476" max="9476" width="12.5703125" style="35" customWidth="1"/>
    <col min="9477" max="9477" width="11.28515625" style="35" customWidth="1"/>
    <col min="9478" max="9478" width="7.28515625" style="35" customWidth="1"/>
    <col min="9479" max="9479" width="6.7109375" style="35" customWidth="1"/>
    <col min="9480" max="9480" width="8.28515625" style="35" customWidth="1"/>
    <col min="9481" max="9481" width="6.140625" style="35" customWidth="1"/>
    <col min="9482" max="9482" width="6.7109375" style="35" customWidth="1"/>
    <col min="9483" max="9483" width="6.5703125" style="35" customWidth="1"/>
    <col min="9484" max="9484" width="7.42578125" style="35" customWidth="1"/>
    <col min="9485" max="9485" width="8" style="35" customWidth="1"/>
    <col min="9486" max="9486" width="9.85546875" style="35" customWidth="1"/>
    <col min="9487" max="9487" width="13.28515625" style="35" customWidth="1"/>
    <col min="9488" max="9488" width="6.140625" style="35" customWidth="1"/>
    <col min="9489" max="9489" width="5" style="35" customWidth="1"/>
    <col min="9490" max="9490" width="4.7109375" style="35" customWidth="1"/>
    <col min="9491" max="9491" width="4.140625" style="35" customWidth="1"/>
    <col min="9492" max="9492" width="3.5703125" style="35" customWidth="1"/>
    <col min="9493" max="9493" width="5.28515625" style="35" customWidth="1"/>
    <col min="9494" max="9494" width="5.7109375" style="35" customWidth="1"/>
    <col min="9495" max="9728" width="8.7109375" style="35"/>
    <col min="9729" max="9729" width="4.85546875" style="35" customWidth="1"/>
    <col min="9730" max="9730" width="17.28515625" style="35" customWidth="1"/>
    <col min="9731" max="9731" width="18" style="35" customWidth="1"/>
    <col min="9732" max="9732" width="12.5703125" style="35" customWidth="1"/>
    <col min="9733" max="9733" width="11.28515625" style="35" customWidth="1"/>
    <col min="9734" max="9734" width="7.28515625" style="35" customWidth="1"/>
    <col min="9735" max="9735" width="6.7109375" style="35" customWidth="1"/>
    <col min="9736" max="9736" width="8.28515625" style="35" customWidth="1"/>
    <col min="9737" max="9737" width="6.140625" style="35" customWidth="1"/>
    <col min="9738" max="9738" width="6.7109375" style="35" customWidth="1"/>
    <col min="9739" max="9739" width="6.5703125" style="35" customWidth="1"/>
    <col min="9740" max="9740" width="7.42578125" style="35" customWidth="1"/>
    <col min="9741" max="9741" width="8" style="35" customWidth="1"/>
    <col min="9742" max="9742" width="9.85546875" style="35" customWidth="1"/>
    <col min="9743" max="9743" width="13.28515625" style="35" customWidth="1"/>
    <col min="9744" max="9744" width="6.140625" style="35" customWidth="1"/>
    <col min="9745" max="9745" width="5" style="35" customWidth="1"/>
    <col min="9746" max="9746" width="4.7109375" style="35" customWidth="1"/>
    <col min="9747" max="9747" width="4.140625" style="35" customWidth="1"/>
    <col min="9748" max="9748" width="3.5703125" style="35" customWidth="1"/>
    <col min="9749" max="9749" width="5.28515625" style="35" customWidth="1"/>
    <col min="9750" max="9750" width="5.7109375" style="35" customWidth="1"/>
    <col min="9751" max="9984" width="8.7109375" style="35"/>
    <col min="9985" max="9985" width="4.85546875" style="35" customWidth="1"/>
    <col min="9986" max="9986" width="17.28515625" style="35" customWidth="1"/>
    <col min="9987" max="9987" width="18" style="35" customWidth="1"/>
    <col min="9988" max="9988" width="12.5703125" style="35" customWidth="1"/>
    <col min="9989" max="9989" width="11.28515625" style="35" customWidth="1"/>
    <col min="9990" max="9990" width="7.28515625" style="35" customWidth="1"/>
    <col min="9991" max="9991" width="6.7109375" style="35" customWidth="1"/>
    <col min="9992" max="9992" width="8.28515625" style="35" customWidth="1"/>
    <col min="9993" max="9993" width="6.140625" style="35" customWidth="1"/>
    <col min="9994" max="9994" width="6.7109375" style="35" customWidth="1"/>
    <col min="9995" max="9995" width="6.5703125" style="35" customWidth="1"/>
    <col min="9996" max="9996" width="7.42578125" style="35" customWidth="1"/>
    <col min="9997" max="9997" width="8" style="35" customWidth="1"/>
    <col min="9998" max="9998" width="9.85546875" style="35" customWidth="1"/>
    <col min="9999" max="9999" width="13.28515625" style="35" customWidth="1"/>
    <col min="10000" max="10000" width="6.140625" style="35" customWidth="1"/>
    <col min="10001" max="10001" width="5" style="35" customWidth="1"/>
    <col min="10002" max="10002" width="4.7109375" style="35" customWidth="1"/>
    <col min="10003" max="10003" width="4.140625" style="35" customWidth="1"/>
    <col min="10004" max="10004" width="3.5703125" style="35" customWidth="1"/>
    <col min="10005" max="10005" width="5.28515625" style="35" customWidth="1"/>
    <col min="10006" max="10006" width="5.7109375" style="35" customWidth="1"/>
    <col min="10007" max="10240" width="8.7109375" style="35"/>
    <col min="10241" max="10241" width="4.85546875" style="35" customWidth="1"/>
    <col min="10242" max="10242" width="17.28515625" style="35" customWidth="1"/>
    <col min="10243" max="10243" width="18" style="35" customWidth="1"/>
    <col min="10244" max="10244" width="12.5703125" style="35" customWidth="1"/>
    <col min="10245" max="10245" width="11.28515625" style="35" customWidth="1"/>
    <col min="10246" max="10246" width="7.28515625" style="35" customWidth="1"/>
    <col min="10247" max="10247" width="6.7109375" style="35" customWidth="1"/>
    <col min="10248" max="10248" width="8.28515625" style="35" customWidth="1"/>
    <col min="10249" max="10249" width="6.140625" style="35" customWidth="1"/>
    <col min="10250" max="10250" width="6.7109375" style="35" customWidth="1"/>
    <col min="10251" max="10251" width="6.5703125" style="35" customWidth="1"/>
    <col min="10252" max="10252" width="7.42578125" style="35" customWidth="1"/>
    <col min="10253" max="10253" width="8" style="35" customWidth="1"/>
    <col min="10254" max="10254" width="9.85546875" style="35" customWidth="1"/>
    <col min="10255" max="10255" width="13.28515625" style="35" customWidth="1"/>
    <col min="10256" max="10256" width="6.140625" style="35" customWidth="1"/>
    <col min="10257" max="10257" width="5" style="35" customWidth="1"/>
    <col min="10258" max="10258" width="4.7109375" style="35" customWidth="1"/>
    <col min="10259" max="10259" width="4.140625" style="35" customWidth="1"/>
    <col min="10260" max="10260" width="3.5703125" style="35" customWidth="1"/>
    <col min="10261" max="10261" width="5.28515625" style="35" customWidth="1"/>
    <col min="10262" max="10262" width="5.7109375" style="35" customWidth="1"/>
    <col min="10263" max="10496" width="8.7109375" style="35"/>
    <col min="10497" max="10497" width="4.85546875" style="35" customWidth="1"/>
    <col min="10498" max="10498" width="17.28515625" style="35" customWidth="1"/>
    <col min="10499" max="10499" width="18" style="35" customWidth="1"/>
    <col min="10500" max="10500" width="12.5703125" style="35" customWidth="1"/>
    <col min="10501" max="10501" width="11.28515625" style="35" customWidth="1"/>
    <col min="10502" max="10502" width="7.28515625" style="35" customWidth="1"/>
    <col min="10503" max="10503" width="6.7109375" style="35" customWidth="1"/>
    <col min="10504" max="10504" width="8.28515625" style="35" customWidth="1"/>
    <col min="10505" max="10505" width="6.140625" style="35" customWidth="1"/>
    <col min="10506" max="10506" width="6.7109375" style="35" customWidth="1"/>
    <col min="10507" max="10507" width="6.5703125" style="35" customWidth="1"/>
    <col min="10508" max="10508" width="7.42578125" style="35" customWidth="1"/>
    <col min="10509" max="10509" width="8" style="35" customWidth="1"/>
    <col min="10510" max="10510" width="9.85546875" style="35" customWidth="1"/>
    <col min="10511" max="10511" width="13.28515625" style="35" customWidth="1"/>
    <col min="10512" max="10512" width="6.140625" style="35" customWidth="1"/>
    <col min="10513" max="10513" width="5" style="35" customWidth="1"/>
    <col min="10514" max="10514" width="4.7109375" style="35" customWidth="1"/>
    <col min="10515" max="10515" width="4.140625" style="35" customWidth="1"/>
    <col min="10516" max="10516" width="3.5703125" style="35" customWidth="1"/>
    <col min="10517" max="10517" width="5.28515625" style="35" customWidth="1"/>
    <col min="10518" max="10518" width="5.7109375" style="35" customWidth="1"/>
    <col min="10519" max="10752" width="8.7109375" style="35"/>
    <col min="10753" max="10753" width="4.85546875" style="35" customWidth="1"/>
    <col min="10754" max="10754" width="17.28515625" style="35" customWidth="1"/>
    <col min="10755" max="10755" width="18" style="35" customWidth="1"/>
    <col min="10756" max="10756" width="12.5703125" style="35" customWidth="1"/>
    <col min="10757" max="10757" width="11.28515625" style="35" customWidth="1"/>
    <col min="10758" max="10758" width="7.28515625" style="35" customWidth="1"/>
    <col min="10759" max="10759" width="6.7109375" style="35" customWidth="1"/>
    <col min="10760" max="10760" width="8.28515625" style="35" customWidth="1"/>
    <col min="10761" max="10761" width="6.140625" style="35" customWidth="1"/>
    <col min="10762" max="10762" width="6.7109375" style="35" customWidth="1"/>
    <col min="10763" max="10763" width="6.5703125" style="35" customWidth="1"/>
    <col min="10764" max="10764" width="7.42578125" style="35" customWidth="1"/>
    <col min="10765" max="10765" width="8" style="35" customWidth="1"/>
    <col min="10766" max="10766" width="9.85546875" style="35" customWidth="1"/>
    <col min="10767" max="10767" width="13.28515625" style="35" customWidth="1"/>
    <col min="10768" max="10768" width="6.140625" style="35" customWidth="1"/>
    <col min="10769" max="10769" width="5" style="35" customWidth="1"/>
    <col min="10770" max="10770" width="4.7109375" style="35" customWidth="1"/>
    <col min="10771" max="10771" width="4.140625" style="35" customWidth="1"/>
    <col min="10772" max="10772" width="3.5703125" style="35" customWidth="1"/>
    <col min="10773" max="10773" width="5.28515625" style="35" customWidth="1"/>
    <col min="10774" max="10774" width="5.7109375" style="35" customWidth="1"/>
    <col min="10775" max="11008" width="8.7109375" style="35"/>
    <col min="11009" max="11009" width="4.85546875" style="35" customWidth="1"/>
    <col min="11010" max="11010" width="17.28515625" style="35" customWidth="1"/>
    <col min="11011" max="11011" width="18" style="35" customWidth="1"/>
    <col min="11012" max="11012" width="12.5703125" style="35" customWidth="1"/>
    <col min="11013" max="11013" width="11.28515625" style="35" customWidth="1"/>
    <col min="11014" max="11014" width="7.28515625" style="35" customWidth="1"/>
    <col min="11015" max="11015" width="6.7109375" style="35" customWidth="1"/>
    <col min="11016" max="11016" width="8.28515625" style="35" customWidth="1"/>
    <col min="11017" max="11017" width="6.140625" style="35" customWidth="1"/>
    <col min="11018" max="11018" width="6.7109375" style="35" customWidth="1"/>
    <col min="11019" max="11019" width="6.5703125" style="35" customWidth="1"/>
    <col min="11020" max="11020" width="7.42578125" style="35" customWidth="1"/>
    <col min="11021" max="11021" width="8" style="35" customWidth="1"/>
    <col min="11022" max="11022" width="9.85546875" style="35" customWidth="1"/>
    <col min="11023" max="11023" width="13.28515625" style="35" customWidth="1"/>
    <col min="11024" max="11024" width="6.140625" style="35" customWidth="1"/>
    <col min="11025" max="11025" width="5" style="35" customWidth="1"/>
    <col min="11026" max="11026" width="4.7109375" style="35" customWidth="1"/>
    <col min="11027" max="11027" width="4.140625" style="35" customWidth="1"/>
    <col min="11028" max="11028" width="3.5703125" style="35" customWidth="1"/>
    <col min="11029" max="11029" width="5.28515625" style="35" customWidth="1"/>
    <col min="11030" max="11030" width="5.7109375" style="35" customWidth="1"/>
    <col min="11031" max="11264" width="8.7109375" style="35"/>
    <col min="11265" max="11265" width="4.85546875" style="35" customWidth="1"/>
    <col min="11266" max="11266" width="17.28515625" style="35" customWidth="1"/>
    <col min="11267" max="11267" width="18" style="35" customWidth="1"/>
    <col min="11268" max="11268" width="12.5703125" style="35" customWidth="1"/>
    <col min="11269" max="11269" width="11.28515625" style="35" customWidth="1"/>
    <col min="11270" max="11270" width="7.28515625" style="35" customWidth="1"/>
    <col min="11271" max="11271" width="6.7109375" style="35" customWidth="1"/>
    <col min="11272" max="11272" width="8.28515625" style="35" customWidth="1"/>
    <col min="11273" max="11273" width="6.140625" style="35" customWidth="1"/>
    <col min="11274" max="11274" width="6.7109375" style="35" customWidth="1"/>
    <col min="11275" max="11275" width="6.5703125" style="35" customWidth="1"/>
    <col min="11276" max="11276" width="7.42578125" style="35" customWidth="1"/>
    <col min="11277" max="11277" width="8" style="35" customWidth="1"/>
    <col min="11278" max="11278" width="9.85546875" style="35" customWidth="1"/>
    <col min="11279" max="11279" width="13.28515625" style="35" customWidth="1"/>
    <col min="11280" max="11280" width="6.140625" style="35" customWidth="1"/>
    <col min="11281" max="11281" width="5" style="35" customWidth="1"/>
    <col min="11282" max="11282" width="4.7109375" style="35" customWidth="1"/>
    <col min="11283" max="11283" width="4.140625" style="35" customWidth="1"/>
    <col min="11284" max="11284" width="3.5703125" style="35" customWidth="1"/>
    <col min="11285" max="11285" width="5.28515625" style="35" customWidth="1"/>
    <col min="11286" max="11286" width="5.7109375" style="35" customWidth="1"/>
    <col min="11287" max="11520" width="8.7109375" style="35"/>
    <col min="11521" max="11521" width="4.85546875" style="35" customWidth="1"/>
    <col min="11522" max="11522" width="17.28515625" style="35" customWidth="1"/>
    <col min="11523" max="11523" width="18" style="35" customWidth="1"/>
    <col min="11524" max="11524" width="12.5703125" style="35" customWidth="1"/>
    <col min="11525" max="11525" width="11.28515625" style="35" customWidth="1"/>
    <col min="11526" max="11526" width="7.28515625" style="35" customWidth="1"/>
    <col min="11527" max="11527" width="6.7109375" style="35" customWidth="1"/>
    <col min="11528" max="11528" width="8.28515625" style="35" customWidth="1"/>
    <col min="11529" max="11529" width="6.140625" style="35" customWidth="1"/>
    <col min="11530" max="11530" width="6.7109375" style="35" customWidth="1"/>
    <col min="11531" max="11531" width="6.5703125" style="35" customWidth="1"/>
    <col min="11532" max="11532" width="7.42578125" style="35" customWidth="1"/>
    <col min="11533" max="11533" width="8" style="35" customWidth="1"/>
    <col min="11534" max="11534" width="9.85546875" style="35" customWidth="1"/>
    <col min="11535" max="11535" width="13.28515625" style="35" customWidth="1"/>
    <col min="11536" max="11536" width="6.140625" style="35" customWidth="1"/>
    <col min="11537" max="11537" width="5" style="35" customWidth="1"/>
    <col min="11538" max="11538" width="4.7109375" style="35" customWidth="1"/>
    <col min="11539" max="11539" width="4.140625" style="35" customWidth="1"/>
    <col min="11540" max="11540" width="3.5703125" style="35" customWidth="1"/>
    <col min="11541" max="11541" width="5.28515625" style="35" customWidth="1"/>
    <col min="11542" max="11542" width="5.7109375" style="35" customWidth="1"/>
    <col min="11543" max="11776" width="8.7109375" style="35"/>
    <col min="11777" max="11777" width="4.85546875" style="35" customWidth="1"/>
    <col min="11778" max="11778" width="17.28515625" style="35" customWidth="1"/>
    <col min="11779" max="11779" width="18" style="35" customWidth="1"/>
    <col min="11780" max="11780" width="12.5703125" style="35" customWidth="1"/>
    <col min="11781" max="11781" width="11.28515625" style="35" customWidth="1"/>
    <col min="11782" max="11782" width="7.28515625" style="35" customWidth="1"/>
    <col min="11783" max="11783" width="6.7109375" style="35" customWidth="1"/>
    <col min="11784" max="11784" width="8.28515625" style="35" customWidth="1"/>
    <col min="11785" max="11785" width="6.140625" style="35" customWidth="1"/>
    <col min="11786" max="11786" width="6.7109375" style="35" customWidth="1"/>
    <col min="11787" max="11787" width="6.5703125" style="35" customWidth="1"/>
    <col min="11788" max="11788" width="7.42578125" style="35" customWidth="1"/>
    <col min="11789" max="11789" width="8" style="35" customWidth="1"/>
    <col min="11790" max="11790" width="9.85546875" style="35" customWidth="1"/>
    <col min="11791" max="11791" width="13.28515625" style="35" customWidth="1"/>
    <col min="11792" max="11792" width="6.140625" style="35" customWidth="1"/>
    <col min="11793" max="11793" width="5" style="35" customWidth="1"/>
    <col min="11794" max="11794" width="4.7109375" style="35" customWidth="1"/>
    <col min="11795" max="11795" width="4.140625" style="35" customWidth="1"/>
    <col min="11796" max="11796" width="3.5703125" style="35" customWidth="1"/>
    <col min="11797" max="11797" width="5.28515625" style="35" customWidth="1"/>
    <col min="11798" max="11798" width="5.7109375" style="35" customWidth="1"/>
    <col min="11799" max="12032" width="8.7109375" style="35"/>
    <col min="12033" max="12033" width="4.85546875" style="35" customWidth="1"/>
    <col min="12034" max="12034" width="17.28515625" style="35" customWidth="1"/>
    <col min="12035" max="12035" width="18" style="35" customWidth="1"/>
    <col min="12036" max="12036" width="12.5703125" style="35" customWidth="1"/>
    <col min="12037" max="12037" width="11.28515625" style="35" customWidth="1"/>
    <col min="12038" max="12038" width="7.28515625" style="35" customWidth="1"/>
    <col min="12039" max="12039" width="6.7109375" style="35" customWidth="1"/>
    <col min="12040" max="12040" width="8.28515625" style="35" customWidth="1"/>
    <col min="12041" max="12041" width="6.140625" style="35" customWidth="1"/>
    <col min="12042" max="12042" width="6.7109375" style="35" customWidth="1"/>
    <col min="12043" max="12043" width="6.5703125" style="35" customWidth="1"/>
    <col min="12044" max="12044" width="7.42578125" style="35" customWidth="1"/>
    <col min="12045" max="12045" width="8" style="35" customWidth="1"/>
    <col min="12046" max="12046" width="9.85546875" style="35" customWidth="1"/>
    <col min="12047" max="12047" width="13.28515625" style="35" customWidth="1"/>
    <col min="12048" max="12048" width="6.140625" style="35" customWidth="1"/>
    <col min="12049" max="12049" width="5" style="35" customWidth="1"/>
    <col min="12050" max="12050" width="4.7109375" style="35" customWidth="1"/>
    <col min="12051" max="12051" width="4.140625" style="35" customWidth="1"/>
    <col min="12052" max="12052" width="3.5703125" style="35" customWidth="1"/>
    <col min="12053" max="12053" width="5.28515625" style="35" customWidth="1"/>
    <col min="12054" max="12054" width="5.7109375" style="35" customWidth="1"/>
    <col min="12055" max="12288" width="8.7109375" style="35"/>
    <col min="12289" max="12289" width="4.85546875" style="35" customWidth="1"/>
    <col min="12290" max="12290" width="17.28515625" style="35" customWidth="1"/>
    <col min="12291" max="12291" width="18" style="35" customWidth="1"/>
    <col min="12292" max="12292" width="12.5703125" style="35" customWidth="1"/>
    <col min="12293" max="12293" width="11.28515625" style="35" customWidth="1"/>
    <col min="12294" max="12294" width="7.28515625" style="35" customWidth="1"/>
    <col min="12295" max="12295" width="6.7109375" style="35" customWidth="1"/>
    <col min="12296" max="12296" width="8.28515625" style="35" customWidth="1"/>
    <col min="12297" max="12297" width="6.140625" style="35" customWidth="1"/>
    <col min="12298" max="12298" width="6.7109375" style="35" customWidth="1"/>
    <col min="12299" max="12299" width="6.5703125" style="35" customWidth="1"/>
    <col min="12300" max="12300" width="7.42578125" style="35" customWidth="1"/>
    <col min="12301" max="12301" width="8" style="35" customWidth="1"/>
    <col min="12302" max="12302" width="9.85546875" style="35" customWidth="1"/>
    <col min="12303" max="12303" width="13.28515625" style="35" customWidth="1"/>
    <col min="12304" max="12304" width="6.140625" style="35" customWidth="1"/>
    <col min="12305" max="12305" width="5" style="35" customWidth="1"/>
    <col min="12306" max="12306" width="4.7109375" style="35" customWidth="1"/>
    <col min="12307" max="12307" width="4.140625" style="35" customWidth="1"/>
    <col min="12308" max="12308" width="3.5703125" style="35" customWidth="1"/>
    <col min="12309" max="12309" width="5.28515625" style="35" customWidth="1"/>
    <col min="12310" max="12310" width="5.7109375" style="35" customWidth="1"/>
    <col min="12311" max="12544" width="8.7109375" style="35"/>
    <col min="12545" max="12545" width="4.85546875" style="35" customWidth="1"/>
    <col min="12546" max="12546" width="17.28515625" style="35" customWidth="1"/>
    <col min="12547" max="12547" width="18" style="35" customWidth="1"/>
    <col min="12548" max="12548" width="12.5703125" style="35" customWidth="1"/>
    <col min="12549" max="12549" width="11.28515625" style="35" customWidth="1"/>
    <col min="12550" max="12550" width="7.28515625" style="35" customWidth="1"/>
    <col min="12551" max="12551" width="6.7109375" style="35" customWidth="1"/>
    <col min="12552" max="12552" width="8.28515625" style="35" customWidth="1"/>
    <col min="12553" max="12553" width="6.140625" style="35" customWidth="1"/>
    <col min="12554" max="12554" width="6.7109375" style="35" customWidth="1"/>
    <col min="12555" max="12555" width="6.5703125" style="35" customWidth="1"/>
    <col min="12556" max="12556" width="7.42578125" style="35" customWidth="1"/>
    <col min="12557" max="12557" width="8" style="35" customWidth="1"/>
    <col min="12558" max="12558" width="9.85546875" style="35" customWidth="1"/>
    <col min="12559" max="12559" width="13.28515625" style="35" customWidth="1"/>
    <col min="12560" max="12560" width="6.140625" style="35" customWidth="1"/>
    <col min="12561" max="12561" width="5" style="35" customWidth="1"/>
    <col min="12562" max="12562" width="4.7109375" style="35" customWidth="1"/>
    <col min="12563" max="12563" width="4.140625" style="35" customWidth="1"/>
    <col min="12564" max="12564" width="3.5703125" style="35" customWidth="1"/>
    <col min="12565" max="12565" width="5.28515625" style="35" customWidth="1"/>
    <col min="12566" max="12566" width="5.7109375" style="35" customWidth="1"/>
    <col min="12567" max="12800" width="8.7109375" style="35"/>
    <col min="12801" max="12801" width="4.85546875" style="35" customWidth="1"/>
    <col min="12802" max="12802" width="17.28515625" style="35" customWidth="1"/>
    <col min="12803" max="12803" width="18" style="35" customWidth="1"/>
    <col min="12804" max="12804" width="12.5703125" style="35" customWidth="1"/>
    <col min="12805" max="12805" width="11.28515625" style="35" customWidth="1"/>
    <col min="12806" max="12806" width="7.28515625" style="35" customWidth="1"/>
    <col min="12807" max="12807" width="6.7109375" style="35" customWidth="1"/>
    <col min="12808" max="12808" width="8.28515625" style="35" customWidth="1"/>
    <col min="12809" max="12809" width="6.140625" style="35" customWidth="1"/>
    <col min="12810" max="12810" width="6.7109375" style="35" customWidth="1"/>
    <col min="12811" max="12811" width="6.5703125" style="35" customWidth="1"/>
    <col min="12812" max="12812" width="7.42578125" style="35" customWidth="1"/>
    <col min="12813" max="12813" width="8" style="35" customWidth="1"/>
    <col min="12814" max="12814" width="9.85546875" style="35" customWidth="1"/>
    <col min="12815" max="12815" width="13.28515625" style="35" customWidth="1"/>
    <col min="12816" max="12816" width="6.140625" style="35" customWidth="1"/>
    <col min="12817" max="12817" width="5" style="35" customWidth="1"/>
    <col min="12818" max="12818" width="4.7109375" style="35" customWidth="1"/>
    <col min="12819" max="12819" width="4.140625" style="35" customWidth="1"/>
    <col min="12820" max="12820" width="3.5703125" style="35" customWidth="1"/>
    <col min="12821" max="12821" width="5.28515625" style="35" customWidth="1"/>
    <col min="12822" max="12822" width="5.7109375" style="35" customWidth="1"/>
    <col min="12823" max="13056" width="8.7109375" style="35"/>
    <col min="13057" max="13057" width="4.85546875" style="35" customWidth="1"/>
    <col min="13058" max="13058" width="17.28515625" style="35" customWidth="1"/>
    <col min="13059" max="13059" width="18" style="35" customWidth="1"/>
    <col min="13060" max="13060" width="12.5703125" style="35" customWidth="1"/>
    <col min="13061" max="13061" width="11.28515625" style="35" customWidth="1"/>
    <col min="13062" max="13062" width="7.28515625" style="35" customWidth="1"/>
    <col min="13063" max="13063" width="6.7109375" style="35" customWidth="1"/>
    <col min="13064" max="13064" width="8.28515625" style="35" customWidth="1"/>
    <col min="13065" max="13065" width="6.140625" style="35" customWidth="1"/>
    <col min="13066" max="13066" width="6.7109375" style="35" customWidth="1"/>
    <col min="13067" max="13067" width="6.5703125" style="35" customWidth="1"/>
    <col min="13068" max="13068" width="7.42578125" style="35" customWidth="1"/>
    <col min="13069" max="13069" width="8" style="35" customWidth="1"/>
    <col min="13070" max="13070" width="9.85546875" style="35" customWidth="1"/>
    <col min="13071" max="13071" width="13.28515625" style="35" customWidth="1"/>
    <col min="13072" max="13072" width="6.140625" style="35" customWidth="1"/>
    <col min="13073" max="13073" width="5" style="35" customWidth="1"/>
    <col min="13074" max="13074" width="4.7109375" style="35" customWidth="1"/>
    <col min="13075" max="13075" width="4.140625" style="35" customWidth="1"/>
    <col min="13076" max="13076" width="3.5703125" style="35" customWidth="1"/>
    <col min="13077" max="13077" width="5.28515625" style="35" customWidth="1"/>
    <col min="13078" max="13078" width="5.7109375" style="35" customWidth="1"/>
    <col min="13079" max="13312" width="8.7109375" style="35"/>
    <col min="13313" max="13313" width="4.85546875" style="35" customWidth="1"/>
    <col min="13314" max="13314" width="17.28515625" style="35" customWidth="1"/>
    <col min="13315" max="13315" width="18" style="35" customWidth="1"/>
    <col min="13316" max="13316" width="12.5703125" style="35" customWidth="1"/>
    <col min="13317" max="13317" width="11.28515625" style="35" customWidth="1"/>
    <col min="13318" max="13318" width="7.28515625" style="35" customWidth="1"/>
    <col min="13319" max="13319" width="6.7109375" style="35" customWidth="1"/>
    <col min="13320" max="13320" width="8.28515625" style="35" customWidth="1"/>
    <col min="13321" max="13321" width="6.140625" style="35" customWidth="1"/>
    <col min="13322" max="13322" width="6.7109375" style="35" customWidth="1"/>
    <col min="13323" max="13323" width="6.5703125" style="35" customWidth="1"/>
    <col min="13324" max="13324" width="7.42578125" style="35" customWidth="1"/>
    <col min="13325" max="13325" width="8" style="35" customWidth="1"/>
    <col min="13326" max="13326" width="9.85546875" style="35" customWidth="1"/>
    <col min="13327" max="13327" width="13.28515625" style="35" customWidth="1"/>
    <col min="13328" max="13328" width="6.140625" style="35" customWidth="1"/>
    <col min="13329" max="13329" width="5" style="35" customWidth="1"/>
    <col min="13330" max="13330" width="4.7109375" style="35" customWidth="1"/>
    <col min="13331" max="13331" width="4.140625" style="35" customWidth="1"/>
    <col min="13332" max="13332" width="3.5703125" style="35" customWidth="1"/>
    <col min="13333" max="13333" width="5.28515625" style="35" customWidth="1"/>
    <col min="13334" max="13334" width="5.7109375" style="35" customWidth="1"/>
    <col min="13335" max="13568" width="8.7109375" style="35"/>
    <col min="13569" max="13569" width="4.85546875" style="35" customWidth="1"/>
    <col min="13570" max="13570" width="17.28515625" style="35" customWidth="1"/>
    <col min="13571" max="13571" width="18" style="35" customWidth="1"/>
    <col min="13572" max="13572" width="12.5703125" style="35" customWidth="1"/>
    <col min="13573" max="13573" width="11.28515625" style="35" customWidth="1"/>
    <col min="13574" max="13574" width="7.28515625" style="35" customWidth="1"/>
    <col min="13575" max="13575" width="6.7109375" style="35" customWidth="1"/>
    <col min="13576" max="13576" width="8.28515625" style="35" customWidth="1"/>
    <col min="13577" max="13577" width="6.140625" style="35" customWidth="1"/>
    <col min="13578" max="13578" width="6.7109375" style="35" customWidth="1"/>
    <col min="13579" max="13579" width="6.5703125" style="35" customWidth="1"/>
    <col min="13580" max="13580" width="7.42578125" style="35" customWidth="1"/>
    <col min="13581" max="13581" width="8" style="35" customWidth="1"/>
    <col min="13582" max="13582" width="9.85546875" style="35" customWidth="1"/>
    <col min="13583" max="13583" width="13.28515625" style="35" customWidth="1"/>
    <col min="13584" max="13584" width="6.140625" style="35" customWidth="1"/>
    <col min="13585" max="13585" width="5" style="35" customWidth="1"/>
    <col min="13586" max="13586" width="4.7109375" style="35" customWidth="1"/>
    <col min="13587" max="13587" width="4.140625" style="35" customWidth="1"/>
    <col min="13588" max="13588" width="3.5703125" style="35" customWidth="1"/>
    <col min="13589" max="13589" width="5.28515625" style="35" customWidth="1"/>
    <col min="13590" max="13590" width="5.7109375" style="35" customWidth="1"/>
    <col min="13591" max="13824" width="8.7109375" style="35"/>
    <col min="13825" max="13825" width="4.85546875" style="35" customWidth="1"/>
    <col min="13826" max="13826" width="17.28515625" style="35" customWidth="1"/>
    <col min="13827" max="13827" width="18" style="35" customWidth="1"/>
    <col min="13828" max="13828" width="12.5703125" style="35" customWidth="1"/>
    <col min="13829" max="13829" width="11.28515625" style="35" customWidth="1"/>
    <col min="13830" max="13830" width="7.28515625" style="35" customWidth="1"/>
    <col min="13831" max="13831" width="6.7109375" style="35" customWidth="1"/>
    <col min="13832" max="13832" width="8.28515625" style="35" customWidth="1"/>
    <col min="13833" max="13833" width="6.140625" style="35" customWidth="1"/>
    <col min="13834" max="13834" width="6.7109375" style="35" customWidth="1"/>
    <col min="13835" max="13835" width="6.5703125" style="35" customWidth="1"/>
    <col min="13836" max="13836" width="7.42578125" style="35" customWidth="1"/>
    <col min="13837" max="13837" width="8" style="35" customWidth="1"/>
    <col min="13838" max="13838" width="9.85546875" style="35" customWidth="1"/>
    <col min="13839" max="13839" width="13.28515625" style="35" customWidth="1"/>
    <col min="13840" max="13840" width="6.140625" style="35" customWidth="1"/>
    <col min="13841" max="13841" width="5" style="35" customWidth="1"/>
    <col min="13842" max="13842" width="4.7109375" style="35" customWidth="1"/>
    <col min="13843" max="13843" width="4.140625" style="35" customWidth="1"/>
    <col min="13844" max="13844" width="3.5703125" style="35" customWidth="1"/>
    <col min="13845" max="13845" width="5.28515625" style="35" customWidth="1"/>
    <col min="13846" max="13846" width="5.7109375" style="35" customWidth="1"/>
    <col min="13847" max="14080" width="8.7109375" style="35"/>
    <col min="14081" max="14081" width="4.85546875" style="35" customWidth="1"/>
    <col min="14082" max="14082" width="17.28515625" style="35" customWidth="1"/>
    <col min="14083" max="14083" width="18" style="35" customWidth="1"/>
    <col min="14084" max="14084" width="12.5703125" style="35" customWidth="1"/>
    <col min="14085" max="14085" width="11.28515625" style="35" customWidth="1"/>
    <col min="14086" max="14086" width="7.28515625" style="35" customWidth="1"/>
    <col min="14087" max="14087" width="6.7109375" style="35" customWidth="1"/>
    <col min="14088" max="14088" width="8.28515625" style="35" customWidth="1"/>
    <col min="14089" max="14089" width="6.140625" style="35" customWidth="1"/>
    <col min="14090" max="14090" width="6.7109375" style="35" customWidth="1"/>
    <col min="14091" max="14091" width="6.5703125" style="35" customWidth="1"/>
    <col min="14092" max="14092" width="7.42578125" style="35" customWidth="1"/>
    <col min="14093" max="14093" width="8" style="35" customWidth="1"/>
    <col min="14094" max="14094" width="9.85546875" style="35" customWidth="1"/>
    <col min="14095" max="14095" width="13.28515625" style="35" customWidth="1"/>
    <col min="14096" max="14096" width="6.140625" style="35" customWidth="1"/>
    <col min="14097" max="14097" width="5" style="35" customWidth="1"/>
    <col min="14098" max="14098" width="4.7109375" style="35" customWidth="1"/>
    <col min="14099" max="14099" width="4.140625" style="35" customWidth="1"/>
    <col min="14100" max="14100" width="3.5703125" style="35" customWidth="1"/>
    <col min="14101" max="14101" width="5.28515625" style="35" customWidth="1"/>
    <col min="14102" max="14102" width="5.7109375" style="35" customWidth="1"/>
    <col min="14103" max="14336" width="8.7109375" style="35"/>
    <col min="14337" max="14337" width="4.85546875" style="35" customWidth="1"/>
    <col min="14338" max="14338" width="17.28515625" style="35" customWidth="1"/>
    <col min="14339" max="14339" width="18" style="35" customWidth="1"/>
    <col min="14340" max="14340" width="12.5703125" style="35" customWidth="1"/>
    <col min="14341" max="14341" width="11.28515625" style="35" customWidth="1"/>
    <col min="14342" max="14342" width="7.28515625" style="35" customWidth="1"/>
    <col min="14343" max="14343" width="6.7109375" style="35" customWidth="1"/>
    <col min="14344" max="14344" width="8.28515625" style="35" customWidth="1"/>
    <col min="14345" max="14345" width="6.140625" style="35" customWidth="1"/>
    <col min="14346" max="14346" width="6.7109375" style="35" customWidth="1"/>
    <col min="14347" max="14347" width="6.5703125" style="35" customWidth="1"/>
    <col min="14348" max="14348" width="7.42578125" style="35" customWidth="1"/>
    <col min="14349" max="14349" width="8" style="35" customWidth="1"/>
    <col min="14350" max="14350" width="9.85546875" style="35" customWidth="1"/>
    <col min="14351" max="14351" width="13.28515625" style="35" customWidth="1"/>
    <col min="14352" max="14352" width="6.140625" style="35" customWidth="1"/>
    <col min="14353" max="14353" width="5" style="35" customWidth="1"/>
    <col min="14354" max="14354" width="4.7109375" style="35" customWidth="1"/>
    <col min="14355" max="14355" width="4.140625" style="35" customWidth="1"/>
    <col min="14356" max="14356" width="3.5703125" style="35" customWidth="1"/>
    <col min="14357" max="14357" width="5.28515625" style="35" customWidth="1"/>
    <col min="14358" max="14358" width="5.7109375" style="35" customWidth="1"/>
    <col min="14359" max="14592" width="8.7109375" style="35"/>
    <col min="14593" max="14593" width="4.85546875" style="35" customWidth="1"/>
    <col min="14594" max="14594" width="17.28515625" style="35" customWidth="1"/>
    <col min="14595" max="14595" width="18" style="35" customWidth="1"/>
    <col min="14596" max="14596" width="12.5703125" style="35" customWidth="1"/>
    <col min="14597" max="14597" width="11.28515625" style="35" customWidth="1"/>
    <col min="14598" max="14598" width="7.28515625" style="35" customWidth="1"/>
    <col min="14599" max="14599" width="6.7109375" style="35" customWidth="1"/>
    <col min="14600" max="14600" width="8.28515625" style="35" customWidth="1"/>
    <col min="14601" max="14601" width="6.140625" style="35" customWidth="1"/>
    <col min="14602" max="14602" width="6.7109375" style="35" customWidth="1"/>
    <col min="14603" max="14603" width="6.5703125" style="35" customWidth="1"/>
    <col min="14604" max="14604" width="7.42578125" style="35" customWidth="1"/>
    <col min="14605" max="14605" width="8" style="35" customWidth="1"/>
    <col min="14606" max="14606" width="9.85546875" style="35" customWidth="1"/>
    <col min="14607" max="14607" width="13.28515625" style="35" customWidth="1"/>
    <col min="14608" max="14608" width="6.140625" style="35" customWidth="1"/>
    <col min="14609" max="14609" width="5" style="35" customWidth="1"/>
    <col min="14610" max="14610" width="4.7109375" style="35" customWidth="1"/>
    <col min="14611" max="14611" width="4.140625" style="35" customWidth="1"/>
    <col min="14612" max="14612" width="3.5703125" style="35" customWidth="1"/>
    <col min="14613" max="14613" width="5.28515625" style="35" customWidth="1"/>
    <col min="14614" max="14614" width="5.7109375" style="35" customWidth="1"/>
    <col min="14615" max="14848" width="8.7109375" style="35"/>
    <col min="14849" max="14849" width="4.85546875" style="35" customWidth="1"/>
    <col min="14850" max="14850" width="17.28515625" style="35" customWidth="1"/>
    <col min="14851" max="14851" width="18" style="35" customWidth="1"/>
    <col min="14852" max="14852" width="12.5703125" style="35" customWidth="1"/>
    <col min="14853" max="14853" width="11.28515625" style="35" customWidth="1"/>
    <col min="14854" max="14854" width="7.28515625" style="35" customWidth="1"/>
    <col min="14855" max="14855" width="6.7109375" style="35" customWidth="1"/>
    <col min="14856" max="14856" width="8.28515625" style="35" customWidth="1"/>
    <col min="14857" max="14857" width="6.140625" style="35" customWidth="1"/>
    <col min="14858" max="14858" width="6.7109375" style="35" customWidth="1"/>
    <col min="14859" max="14859" width="6.5703125" style="35" customWidth="1"/>
    <col min="14860" max="14860" width="7.42578125" style="35" customWidth="1"/>
    <col min="14861" max="14861" width="8" style="35" customWidth="1"/>
    <col min="14862" max="14862" width="9.85546875" style="35" customWidth="1"/>
    <col min="14863" max="14863" width="13.28515625" style="35" customWidth="1"/>
    <col min="14864" max="14864" width="6.140625" style="35" customWidth="1"/>
    <col min="14865" max="14865" width="5" style="35" customWidth="1"/>
    <col min="14866" max="14866" width="4.7109375" style="35" customWidth="1"/>
    <col min="14867" max="14867" width="4.140625" style="35" customWidth="1"/>
    <col min="14868" max="14868" width="3.5703125" style="35" customWidth="1"/>
    <col min="14869" max="14869" width="5.28515625" style="35" customWidth="1"/>
    <col min="14870" max="14870" width="5.7109375" style="35" customWidth="1"/>
    <col min="14871" max="15104" width="8.7109375" style="35"/>
    <col min="15105" max="15105" width="4.85546875" style="35" customWidth="1"/>
    <col min="15106" max="15106" width="17.28515625" style="35" customWidth="1"/>
    <col min="15107" max="15107" width="18" style="35" customWidth="1"/>
    <col min="15108" max="15108" width="12.5703125" style="35" customWidth="1"/>
    <col min="15109" max="15109" width="11.28515625" style="35" customWidth="1"/>
    <col min="15110" max="15110" width="7.28515625" style="35" customWidth="1"/>
    <col min="15111" max="15111" width="6.7109375" style="35" customWidth="1"/>
    <col min="15112" max="15112" width="8.28515625" style="35" customWidth="1"/>
    <col min="15113" max="15113" width="6.140625" style="35" customWidth="1"/>
    <col min="15114" max="15114" width="6.7109375" style="35" customWidth="1"/>
    <col min="15115" max="15115" width="6.5703125" style="35" customWidth="1"/>
    <col min="15116" max="15116" width="7.42578125" style="35" customWidth="1"/>
    <col min="15117" max="15117" width="8" style="35" customWidth="1"/>
    <col min="15118" max="15118" width="9.85546875" style="35" customWidth="1"/>
    <col min="15119" max="15119" width="13.28515625" style="35" customWidth="1"/>
    <col min="15120" max="15120" width="6.140625" style="35" customWidth="1"/>
    <col min="15121" max="15121" width="5" style="35" customWidth="1"/>
    <col min="15122" max="15122" width="4.7109375" style="35" customWidth="1"/>
    <col min="15123" max="15123" width="4.140625" style="35" customWidth="1"/>
    <col min="15124" max="15124" width="3.5703125" style="35" customWidth="1"/>
    <col min="15125" max="15125" width="5.28515625" style="35" customWidth="1"/>
    <col min="15126" max="15126" width="5.7109375" style="35" customWidth="1"/>
    <col min="15127" max="15360" width="8.7109375" style="35"/>
    <col min="15361" max="15361" width="4.85546875" style="35" customWidth="1"/>
    <col min="15362" max="15362" width="17.28515625" style="35" customWidth="1"/>
    <col min="15363" max="15363" width="18" style="35" customWidth="1"/>
    <col min="15364" max="15364" width="12.5703125" style="35" customWidth="1"/>
    <col min="15365" max="15365" width="11.28515625" style="35" customWidth="1"/>
    <col min="15366" max="15366" width="7.28515625" style="35" customWidth="1"/>
    <col min="15367" max="15367" width="6.7109375" style="35" customWidth="1"/>
    <col min="15368" max="15368" width="8.28515625" style="35" customWidth="1"/>
    <col min="15369" max="15369" width="6.140625" style="35" customWidth="1"/>
    <col min="15370" max="15370" width="6.7109375" style="35" customWidth="1"/>
    <col min="15371" max="15371" width="6.5703125" style="35" customWidth="1"/>
    <col min="15372" max="15372" width="7.42578125" style="35" customWidth="1"/>
    <col min="15373" max="15373" width="8" style="35" customWidth="1"/>
    <col min="15374" max="15374" width="9.85546875" style="35" customWidth="1"/>
    <col min="15375" max="15375" width="13.28515625" style="35" customWidth="1"/>
    <col min="15376" max="15376" width="6.140625" style="35" customWidth="1"/>
    <col min="15377" max="15377" width="5" style="35" customWidth="1"/>
    <col min="15378" max="15378" width="4.7109375" style="35" customWidth="1"/>
    <col min="15379" max="15379" width="4.140625" style="35" customWidth="1"/>
    <col min="15380" max="15380" width="3.5703125" style="35" customWidth="1"/>
    <col min="15381" max="15381" width="5.28515625" style="35" customWidth="1"/>
    <col min="15382" max="15382" width="5.7109375" style="35" customWidth="1"/>
    <col min="15383" max="15616" width="8.7109375" style="35"/>
    <col min="15617" max="15617" width="4.85546875" style="35" customWidth="1"/>
    <col min="15618" max="15618" width="17.28515625" style="35" customWidth="1"/>
    <col min="15619" max="15619" width="18" style="35" customWidth="1"/>
    <col min="15620" max="15620" width="12.5703125" style="35" customWidth="1"/>
    <col min="15621" max="15621" width="11.28515625" style="35" customWidth="1"/>
    <col min="15622" max="15622" width="7.28515625" style="35" customWidth="1"/>
    <col min="15623" max="15623" width="6.7109375" style="35" customWidth="1"/>
    <col min="15624" max="15624" width="8.28515625" style="35" customWidth="1"/>
    <col min="15625" max="15625" width="6.140625" style="35" customWidth="1"/>
    <col min="15626" max="15626" width="6.7109375" style="35" customWidth="1"/>
    <col min="15627" max="15627" width="6.5703125" style="35" customWidth="1"/>
    <col min="15628" max="15628" width="7.42578125" style="35" customWidth="1"/>
    <col min="15629" max="15629" width="8" style="35" customWidth="1"/>
    <col min="15630" max="15630" width="9.85546875" style="35" customWidth="1"/>
    <col min="15631" max="15631" width="13.28515625" style="35" customWidth="1"/>
    <col min="15632" max="15632" width="6.140625" style="35" customWidth="1"/>
    <col min="15633" max="15633" width="5" style="35" customWidth="1"/>
    <col min="15634" max="15634" width="4.7109375" style="35" customWidth="1"/>
    <col min="15635" max="15635" width="4.140625" style="35" customWidth="1"/>
    <col min="15636" max="15636" width="3.5703125" style="35" customWidth="1"/>
    <col min="15637" max="15637" width="5.28515625" style="35" customWidth="1"/>
    <col min="15638" max="15638" width="5.7109375" style="35" customWidth="1"/>
    <col min="15639" max="15872" width="8.7109375" style="35"/>
    <col min="15873" max="15873" width="4.85546875" style="35" customWidth="1"/>
    <col min="15874" max="15874" width="17.28515625" style="35" customWidth="1"/>
    <col min="15875" max="15875" width="18" style="35" customWidth="1"/>
    <col min="15876" max="15876" width="12.5703125" style="35" customWidth="1"/>
    <col min="15877" max="15877" width="11.28515625" style="35" customWidth="1"/>
    <col min="15878" max="15878" width="7.28515625" style="35" customWidth="1"/>
    <col min="15879" max="15879" width="6.7109375" style="35" customWidth="1"/>
    <col min="15880" max="15880" width="8.28515625" style="35" customWidth="1"/>
    <col min="15881" max="15881" width="6.140625" style="35" customWidth="1"/>
    <col min="15882" max="15882" width="6.7109375" style="35" customWidth="1"/>
    <col min="15883" max="15883" width="6.5703125" style="35" customWidth="1"/>
    <col min="15884" max="15884" width="7.42578125" style="35" customWidth="1"/>
    <col min="15885" max="15885" width="8" style="35" customWidth="1"/>
    <col min="15886" max="15886" width="9.85546875" style="35" customWidth="1"/>
    <col min="15887" max="15887" width="13.28515625" style="35" customWidth="1"/>
    <col min="15888" max="15888" width="6.140625" style="35" customWidth="1"/>
    <col min="15889" max="15889" width="5" style="35" customWidth="1"/>
    <col min="15890" max="15890" width="4.7109375" style="35" customWidth="1"/>
    <col min="15891" max="15891" width="4.140625" style="35" customWidth="1"/>
    <col min="15892" max="15892" width="3.5703125" style="35" customWidth="1"/>
    <col min="15893" max="15893" width="5.28515625" style="35" customWidth="1"/>
    <col min="15894" max="15894" width="5.7109375" style="35" customWidth="1"/>
    <col min="15895" max="16128" width="8.7109375" style="35"/>
    <col min="16129" max="16129" width="4.85546875" style="35" customWidth="1"/>
    <col min="16130" max="16130" width="17.28515625" style="35" customWidth="1"/>
    <col min="16131" max="16131" width="18" style="35" customWidth="1"/>
    <col min="16132" max="16132" width="12.5703125" style="35" customWidth="1"/>
    <col min="16133" max="16133" width="11.28515625" style="35" customWidth="1"/>
    <col min="16134" max="16134" width="7.28515625" style="35" customWidth="1"/>
    <col min="16135" max="16135" width="6.7109375" style="35" customWidth="1"/>
    <col min="16136" max="16136" width="8.28515625" style="35" customWidth="1"/>
    <col min="16137" max="16137" width="6.140625" style="35" customWidth="1"/>
    <col min="16138" max="16138" width="6.7109375" style="35" customWidth="1"/>
    <col min="16139" max="16139" width="6.5703125" style="35" customWidth="1"/>
    <col min="16140" max="16140" width="7.42578125" style="35" customWidth="1"/>
    <col min="16141" max="16141" width="8" style="35" customWidth="1"/>
    <col min="16142" max="16142" width="9.85546875" style="35" customWidth="1"/>
    <col min="16143" max="16143" width="13.28515625" style="35" customWidth="1"/>
    <col min="16144" max="16144" width="6.140625" style="35" customWidth="1"/>
    <col min="16145" max="16145" width="5" style="35" customWidth="1"/>
    <col min="16146" max="16146" width="4.7109375" style="35" customWidth="1"/>
    <col min="16147" max="16147" width="4.140625" style="35" customWidth="1"/>
    <col min="16148" max="16148" width="3.5703125" style="35" customWidth="1"/>
    <col min="16149" max="16149" width="5.28515625" style="35" customWidth="1"/>
    <col min="16150" max="16150" width="5.7109375" style="35" customWidth="1"/>
    <col min="16151" max="16384" width="8.7109375" style="35"/>
  </cols>
  <sheetData>
    <row r="1" spans="1:27" s="47" customFormat="1" ht="18" customHeight="1" x14ac:dyDescent="0.2">
      <c r="B1" s="606" t="s">
        <v>281</v>
      </c>
      <c r="C1" s="606"/>
      <c r="D1" s="606"/>
      <c r="E1" s="606"/>
      <c r="F1" s="606"/>
      <c r="G1" s="606"/>
      <c r="H1" s="606"/>
      <c r="I1" s="606"/>
      <c r="J1" s="606"/>
      <c r="K1" s="606"/>
      <c r="L1" s="606"/>
      <c r="M1" s="606"/>
      <c r="N1" s="606"/>
      <c r="O1" s="606"/>
      <c r="P1" s="46"/>
    </row>
    <row r="2" spans="1:27" ht="12" customHeight="1" x14ac:dyDescent="0.2">
      <c r="B2" s="43">
        <v>1</v>
      </c>
      <c r="C2" s="576" t="e">
        <f>VLOOKUP(B2,#REF!,2)</f>
        <v>#REF!</v>
      </c>
      <c r="D2" s="576"/>
      <c r="E2" s="576"/>
      <c r="F2" s="576"/>
      <c r="G2" s="576"/>
      <c r="H2" s="576"/>
      <c r="I2" s="576"/>
      <c r="J2" s="576"/>
      <c r="K2" s="576"/>
      <c r="L2" s="576"/>
      <c r="M2" s="576"/>
      <c r="N2" s="576"/>
      <c r="O2" s="576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s="36" customFormat="1" ht="25.15" customHeight="1" x14ac:dyDescent="0.2">
      <c r="A3" s="80"/>
      <c r="B3" s="49" t="s">
        <v>100</v>
      </c>
      <c r="C3" s="49" t="s">
        <v>101</v>
      </c>
      <c r="D3" s="593" t="s">
        <v>102</v>
      </c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7" ht="12" customHeight="1" x14ac:dyDescent="0.2">
      <c r="B4" s="602" t="s">
        <v>103</v>
      </c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51" t="e">
        <f>VLOOKUP($B$2,#REF!,8)</f>
        <v>#REF!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ht="12" customHeight="1" x14ac:dyDescent="0.2">
      <c r="B5" s="567" t="s">
        <v>227</v>
      </c>
      <c r="C5" s="567"/>
      <c r="D5" s="567"/>
      <c r="E5" s="567"/>
      <c r="F5" s="567"/>
      <c r="G5" s="567"/>
      <c r="H5" s="567"/>
      <c r="I5" s="567"/>
      <c r="J5" s="567"/>
      <c r="K5" s="567"/>
      <c r="L5" s="567"/>
      <c r="M5" s="567"/>
      <c r="N5" s="567"/>
      <c r="O5" s="52" t="e">
        <f>VLOOKUP($B$2,#REF!,11)</f>
        <v>#REF!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s="36" customFormat="1" ht="25.15" customHeight="1" x14ac:dyDescent="0.2">
      <c r="A6" s="80"/>
      <c r="B6" s="49" t="s">
        <v>104</v>
      </c>
      <c r="C6" s="49" t="s">
        <v>189</v>
      </c>
      <c r="D6" s="593" t="s">
        <v>105</v>
      </c>
      <c r="E6" s="593"/>
      <c r="F6" s="593"/>
      <c r="G6" s="593"/>
      <c r="H6" s="593"/>
      <c r="I6" s="593"/>
      <c r="J6" s="593"/>
      <c r="K6" s="593"/>
      <c r="L6" s="593"/>
      <c r="M6" s="593"/>
      <c r="N6" s="593"/>
      <c r="O6" s="593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 spans="1:27" ht="12" customHeight="1" x14ac:dyDescent="0.2">
      <c r="B7" s="602" t="s">
        <v>106</v>
      </c>
      <c r="C7" s="602"/>
      <c r="D7" s="602"/>
      <c r="E7" s="602"/>
      <c r="F7" s="602"/>
      <c r="G7" s="602"/>
      <c r="H7" s="602"/>
      <c r="I7" s="602"/>
      <c r="J7" s="602"/>
      <c r="K7" s="602"/>
      <c r="L7" s="602"/>
      <c r="M7" s="602"/>
      <c r="N7" s="602"/>
      <c r="O7" s="53" t="e">
        <f>VLOOKUP($B$2,#REF!,3)</f>
        <v>#REF!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7" ht="12" customHeight="1" x14ac:dyDescent="0.2">
      <c r="B8" s="567" t="s">
        <v>227</v>
      </c>
      <c r="C8" s="567"/>
      <c r="D8" s="567"/>
      <c r="E8" s="567"/>
      <c r="F8" s="567"/>
      <c r="G8" s="567"/>
      <c r="H8" s="567"/>
      <c r="I8" s="567"/>
      <c r="J8" s="567"/>
      <c r="K8" s="567"/>
      <c r="L8" s="567"/>
      <c r="M8" s="567"/>
      <c r="N8" s="567"/>
      <c r="O8" s="52" t="e">
        <f>VLOOKUP($B$2,#REF!,5)/1000</f>
        <v>#REF!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s="36" customFormat="1" ht="25.15" customHeight="1" x14ac:dyDescent="0.2">
      <c r="A9" s="80"/>
      <c r="B9" s="49" t="s">
        <v>104</v>
      </c>
      <c r="C9" s="49" t="s">
        <v>190</v>
      </c>
      <c r="D9" s="593" t="s">
        <v>108</v>
      </c>
      <c r="E9" s="593"/>
      <c r="F9" s="593"/>
      <c r="G9" s="593"/>
      <c r="H9" s="593"/>
      <c r="I9" s="593"/>
      <c r="J9" s="593"/>
      <c r="K9" s="593"/>
      <c r="L9" s="593"/>
      <c r="M9" s="593"/>
      <c r="N9" s="593"/>
      <c r="O9" s="593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pans="1:27" ht="12" customHeight="1" x14ac:dyDescent="0.2">
      <c r="B10" s="602" t="s">
        <v>109</v>
      </c>
      <c r="C10" s="602"/>
      <c r="D10" s="602"/>
      <c r="E10" s="602"/>
      <c r="F10" s="602"/>
      <c r="G10" s="602"/>
      <c r="H10" s="602"/>
      <c r="I10" s="602"/>
      <c r="J10" s="602"/>
      <c r="K10" s="602"/>
      <c r="L10" s="602"/>
      <c r="M10" s="602"/>
      <c r="N10" s="602"/>
      <c r="O10" s="53" t="e">
        <f>VLOOKUP($B$2,#REF!,3)</f>
        <v>#REF!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</row>
    <row r="11" spans="1:27" ht="12" customHeight="1" x14ac:dyDescent="0.2">
      <c r="B11" s="567" t="s">
        <v>227</v>
      </c>
      <c r="C11" s="567"/>
      <c r="D11" s="567"/>
      <c r="E11" s="567"/>
      <c r="F11" s="567"/>
      <c r="G11" s="567"/>
      <c r="H11" s="567"/>
      <c r="I11" s="567"/>
      <c r="J11" s="567"/>
      <c r="K11" s="567"/>
      <c r="L11" s="567"/>
      <c r="M11" s="567"/>
      <c r="N11" s="567"/>
      <c r="O11" s="52" t="e">
        <f>VLOOKUP($B$2,#REF!,6)</f>
        <v>#REF!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</row>
    <row r="12" spans="1:27" s="36" customFormat="1" ht="25.15" customHeight="1" x14ac:dyDescent="0.2">
      <c r="A12" s="80"/>
      <c r="B12" s="49" t="s">
        <v>104</v>
      </c>
      <c r="C12" s="49" t="s">
        <v>191</v>
      </c>
      <c r="D12" s="593" t="s">
        <v>110</v>
      </c>
      <c r="E12" s="593"/>
      <c r="F12" s="593"/>
      <c r="G12" s="593"/>
      <c r="H12" s="593"/>
      <c r="I12" s="593"/>
      <c r="J12" s="593"/>
      <c r="K12" s="593"/>
      <c r="L12" s="593"/>
      <c r="M12" s="593"/>
      <c r="N12" s="593"/>
      <c r="O12" s="593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 spans="1:27" ht="12" customHeight="1" x14ac:dyDescent="0.2">
      <c r="B13" s="602" t="s">
        <v>111</v>
      </c>
      <c r="C13" s="602"/>
      <c r="D13" s="602"/>
      <c r="E13" s="602"/>
      <c r="F13" s="602"/>
      <c r="G13" s="602"/>
      <c r="H13" s="602"/>
      <c r="I13" s="602"/>
      <c r="J13" s="602"/>
      <c r="K13" s="602"/>
      <c r="L13" s="602"/>
      <c r="M13" s="602"/>
      <c r="N13" s="602"/>
      <c r="O13" s="53" t="e">
        <f>VLOOKUP($B$2,#REF!,3)</f>
        <v>#REF!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</row>
    <row r="14" spans="1:27" ht="12" customHeight="1" x14ac:dyDescent="0.2">
      <c r="B14" s="567" t="s">
        <v>227</v>
      </c>
      <c r="C14" s="567"/>
      <c r="D14" s="567"/>
      <c r="E14" s="567"/>
      <c r="F14" s="567"/>
      <c r="G14" s="567"/>
      <c r="H14" s="567"/>
      <c r="I14" s="567"/>
      <c r="J14" s="567"/>
      <c r="K14" s="567"/>
      <c r="L14" s="567"/>
      <c r="M14" s="567"/>
      <c r="N14" s="567"/>
      <c r="O14" s="52" t="e">
        <f>VLOOKUP($B$2,#REF!,5)</f>
        <v>#REF!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</row>
    <row r="15" spans="1:27" s="36" customFormat="1" ht="12" customHeight="1" x14ac:dyDescent="0.2">
      <c r="A15" s="80"/>
      <c r="B15" s="49" t="s">
        <v>104</v>
      </c>
      <c r="C15" s="49" t="s">
        <v>192</v>
      </c>
      <c r="D15" s="593" t="s">
        <v>112</v>
      </c>
      <c r="E15" s="593"/>
      <c r="F15" s="593"/>
      <c r="G15" s="593"/>
      <c r="H15" s="593"/>
      <c r="I15" s="593"/>
      <c r="J15" s="593"/>
      <c r="K15" s="593"/>
      <c r="L15" s="593"/>
      <c r="M15" s="593"/>
      <c r="N15" s="593"/>
      <c r="O15" s="593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6" spans="1:27" ht="21" customHeight="1" x14ac:dyDescent="0.2">
      <c r="B16" s="603" t="s">
        <v>113</v>
      </c>
      <c r="C16" s="604"/>
      <c r="D16" s="604"/>
      <c r="E16" s="604"/>
      <c r="F16" s="605"/>
      <c r="G16" s="576" t="e">
        <f>VLOOKUP($B$2,#REF!,3)</f>
        <v>#REF!</v>
      </c>
      <c r="H16" s="576"/>
      <c r="I16" s="576"/>
      <c r="J16" s="576"/>
      <c r="K16" s="576"/>
      <c r="L16" s="576"/>
      <c r="M16" s="587" t="s">
        <v>114</v>
      </c>
      <c r="N16" s="587"/>
      <c r="O16" s="54">
        <v>400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</row>
    <row r="17" spans="1:27" ht="12" customHeight="1" x14ac:dyDescent="0.2">
      <c r="B17" s="567" t="s">
        <v>227</v>
      </c>
      <c r="C17" s="567"/>
      <c r="D17" s="567"/>
      <c r="E17" s="567"/>
      <c r="F17" s="567"/>
      <c r="G17" s="567"/>
      <c r="H17" s="567"/>
      <c r="I17" s="567"/>
      <c r="J17" s="567"/>
      <c r="K17" s="567"/>
      <c r="L17" s="567"/>
      <c r="M17" s="567"/>
      <c r="N17" s="567"/>
      <c r="O17" s="82" t="e">
        <f>VLOOKUP($B$2,#REF!,12)</f>
        <v>#REF!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</row>
    <row r="18" spans="1:27" s="36" customFormat="1" ht="12" customHeight="1" x14ac:dyDescent="0.2">
      <c r="A18" s="80"/>
      <c r="B18" s="49" t="s">
        <v>104</v>
      </c>
      <c r="C18" s="49" t="s">
        <v>193</v>
      </c>
      <c r="D18" s="593" t="s">
        <v>115</v>
      </c>
      <c r="E18" s="593"/>
      <c r="F18" s="593"/>
      <c r="G18" s="593"/>
      <c r="H18" s="593"/>
      <c r="I18" s="593"/>
      <c r="J18" s="593"/>
      <c r="K18" s="593"/>
      <c r="L18" s="593"/>
      <c r="M18" s="593"/>
      <c r="N18" s="593"/>
      <c r="O18" s="593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spans="1:27" ht="12" customHeight="1" x14ac:dyDescent="0.2">
      <c r="B19" s="566" t="s">
        <v>116</v>
      </c>
      <c r="C19" s="566"/>
      <c r="D19" s="566"/>
      <c r="E19" s="566"/>
      <c r="F19" s="566"/>
      <c r="G19" s="566"/>
      <c r="H19" s="566"/>
      <c r="I19" s="566"/>
      <c r="J19" s="566"/>
      <c r="K19" s="566"/>
      <c r="L19" s="566"/>
      <c r="M19" s="566"/>
      <c r="N19" s="566"/>
      <c r="O19" s="43" t="e">
        <f>VLOOKUP($B$2,#REF!,5)</f>
        <v>#REF!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</row>
    <row r="20" spans="1:27" ht="12" customHeight="1" x14ac:dyDescent="0.2">
      <c r="B20" s="567" t="s">
        <v>227</v>
      </c>
      <c r="C20" s="567"/>
      <c r="D20" s="567"/>
      <c r="E20" s="567"/>
      <c r="F20" s="567"/>
      <c r="G20" s="567"/>
      <c r="H20" s="567"/>
      <c r="I20" s="567"/>
      <c r="J20" s="567"/>
      <c r="K20" s="567"/>
      <c r="L20" s="567"/>
      <c r="M20" s="567"/>
      <c r="N20" s="567"/>
      <c r="O20" s="57" t="e">
        <f>VLOOKUP($B$2,#REF!,12)</f>
        <v>#REF!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</row>
    <row r="21" spans="1:27" s="36" customFormat="1" ht="27" customHeight="1" x14ac:dyDescent="0.2">
      <c r="A21" s="80"/>
      <c r="B21" s="55">
        <v>1004</v>
      </c>
      <c r="C21" s="55" t="s">
        <v>232</v>
      </c>
      <c r="D21" s="593" t="s">
        <v>117</v>
      </c>
      <c r="E21" s="593"/>
      <c r="F21" s="593"/>
      <c r="G21" s="593"/>
      <c r="H21" s="593"/>
      <c r="I21" s="593"/>
      <c r="J21" s="593"/>
      <c r="K21" s="593"/>
      <c r="L21" s="593"/>
      <c r="M21" s="593"/>
      <c r="N21" s="593"/>
      <c r="O21" s="593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 spans="1:27" ht="18" customHeight="1" x14ac:dyDescent="0.2">
      <c r="B22" s="599" t="s">
        <v>228</v>
      </c>
      <c r="C22" s="600"/>
      <c r="D22" s="600"/>
      <c r="E22" s="600"/>
      <c r="F22" s="600"/>
      <c r="G22" s="600"/>
      <c r="H22" s="600"/>
      <c r="I22" s="600"/>
      <c r="J22" s="600"/>
      <c r="K22" s="600"/>
      <c r="L22" s="600"/>
      <c r="M22" s="600"/>
      <c r="N22" s="601"/>
      <c r="O22" s="56">
        <f>VLOOKUP($B$2,Жилье!$A$6:$S$24,3)</f>
        <v>4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  <row r="23" spans="1:27" ht="12" customHeight="1" x14ac:dyDescent="0.2">
      <c r="B23" s="576" t="s">
        <v>68</v>
      </c>
      <c r="C23" s="576"/>
      <c r="D23" s="576"/>
      <c r="E23" s="44">
        <v>33</v>
      </c>
      <c r="F23" s="576" t="s">
        <v>118</v>
      </c>
      <c r="G23" s="576"/>
      <c r="H23" s="576"/>
      <c r="I23" s="576"/>
      <c r="J23" s="576"/>
      <c r="K23" s="576"/>
      <c r="L23" s="576"/>
      <c r="M23" s="576"/>
      <c r="N23" s="576"/>
      <c r="O23" s="115">
        <f>VLOOKUP($B$2,Жилье!$A$6:$S$24,5)</f>
        <v>30.847000000000001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</row>
    <row r="24" spans="1:27" ht="12" customHeight="1" x14ac:dyDescent="0.2">
      <c r="B24" s="567" t="s">
        <v>227</v>
      </c>
      <c r="C24" s="567"/>
      <c r="D24" s="567"/>
      <c r="E24" s="567"/>
      <c r="F24" s="567"/>
      <c r="G24" s="567"/>
      <c r="H24" s="567"/>
      <c r="I24" s="567"/>
      <c r="J24" s="567"/>
      <c r="K24" s="567"/>
      <c r="L24" s="567"/>
      <c r="M24" s="567"/>
      <c r="N24" s="567"/>
      <c r="O24" s="57" t="e">
        <f>VLOOKUP($B$2,Жилье!$A$6:$S$24,21)/1000</f>
        <v>#REF!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  <row r="25" spans="1:27" ht="12" customHeight="1" x14ac:dyDescent="0.2">
      <c r="B25" s="567" t="s">
        <v>233</v>
      </c>
      <c r="C25" s="567"/>
      <c r="D25" s="567"/>
      <c r="E25" s="567"/>
      <c r="F25" s="567"/>
      <c r="G25" s="567"/>
      <c r="H25" s="567"/>
      <c r="I25" s="567"/>
      <c r="J25" s="567"/>
      <c r="K25" s="567"/>
      <c r="L25" s="567"/>
      <c r="M25" s="567"/>
      <c r="N25" s="567"/>
      <c r="O25" s="116">
        <f>VLOOKUP($B$2,Жилье!$A$6:$S$24,17)/1000</f>
        <v>3103.6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</row>
    <row r="26" spans="1:27" ht="12" customHeight="1" x14ac:dyDescent="0.2">
      <c r="B26" s="567" t="s">
        <v>234</v>
      </c>
      <c r="C26" s="567"/>
      <c r="D26" s="567"/>
      <c r="E26" s="567"/>
      <c r="F26" s="567"/>
      <c r="G26" s="567"/>
      <c r="H26" s="567"/>
      <c r="I26" s="567"/>
      <c r="J26" s="567"/>
      <c r="K26" s="567"/>
      <c r="L26" s="567"/>
      <c r="M26" s="567"/>
      <c r="N26" s="567"/>
      <c r="O26" s="116" t="e">
        <f>VLOOKUP($B$2,Жилье!$A$6:$S$24,20)/1000</f>
        <v>#REF!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7" spans="1:27" s="36" customFormat="1" ht="12" customHeight="1" x14ac:dyDescent="0.2">
      <c r="A27" s="80"/>
      <c r="B27" s="55">
        <v>1004</v>
      </c>
      <c r="C27" s="55" t="s">
        <v>194</v>
      </c>
      <c r="D27" s="593" t="s">
        <v>119</v>
      </c>
      <c r="E27" s="593"/>
      <c r="F27" s="593"/>
      <c r="G27" s="593"/>
      <c r="H27" s="593"/>
      <c r="I27" s="593"/>
      <c r="J27" s="593"/>
      <c r="K27" s="593"/>
      <c r="L27" s="593"/>
      <c r="M27" s="593"/>
      <c r="N27" s="593"/>
      <c r="O27" s="593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</row>
    <row r="28" spans="1:27" ht="18" customHeight="1" x14ac:dyDescent="0.2">
      <c r="B28" s="598" t="s">
        <v>120</v>
      </c>
      <c r="C28" s="598"/>
      <c r="D28" s="598"/>
      <c r="E28" s="598"/>
      <c r="F28" s="598"/>
      <c r="G28" s="598"/>
      <c r="H28" s="598"/>
      <c r="I28" s="598"/>
      <c r="J28" s="598"/>
      <c r="K28" s="598"/>
      <c r="L28" s="598"/>
      <c r="M28" s="598"/>
      <c r="N28" s="598"/>
      <c r="O28" s="43">
        <f>VLOOKUP($B$2,'Вознаграждение '!$A$4:$R$26,3)</f>
        <v>59</v>
      </c>
      <c r="P28" s="48"/>
    </row>
    <row r="29" spans="1:27" ht="12" customHeight="1" x14ac:dyDescent="0.2">
      <c r="B29" s="567" t="s">
        <v>227</v>
      </c>
      <c r="C29" s="567"/>
      <c r="D29" s="567"/>
      <c r="E29" s="567"/>
      <c r="F29" s="567"/>
      <c r="G29" s="567"/>
      <c r="H29" s="567"/>
      <c r="I29" s="567"/>
      <c r="J29" s="567"/>
      <c r="K29" s="567"/>
      <c r="L29" s="567"/>
      <c r="M29" s="567"/>
      <c r="N29" s="567"/>
      <c r="O29" s="57">
        <f>VLOOKUP($B$2,'Вознаграждение '!$A$4:$Y$26,25)/1000</f>
        <v>-2E-3</v>
      </c>
      <c r="P29" s="48"/>
    </row>
    <row r="30" spans="1:27" s="36" customFormat="1" ht="12" customHeight="1" x14ac:dyDescent="0.2">
      <c r="A30" s="80"/>
      <c r="B30" s="55">
        <v>1003</v>
      </c>
      <c r="C30" s="55" t="s">
        <v>195</v>
      </c>
      <c r="D30" s="593" t="s">
        <v>121</v>
      </c>
      <c r="E30" s="593"/>
      <c r="F30" s="593"/>
      <c r="G30" s="593"/>
      <c r="H30" s="593"/>
      <c r="I30" s="593"/>
      <c r="J30" s="593"/>
      <c r="K30" s="593"/>
      <c r="L30" s="593"/>
      <c r="M30" s="593"/>
      <c r="N30" s="593"/>
      <c r="O30" s="593"/>
      <c r="P30" s="50"/>
    </row>
    <row r="31" spans="1:27" ht="18" customHeight="1" x14ac:dyDescent="0.2">
      <c r="B31" s="598" t="s">
        <v>122</v>
      </c>
      <c r="C31" s="598"/>
      <c r="D31" s="598"/>
      <c r="E31" s="598"/>
      <c r="F31" s="598"/>
      <c r="G31" s="598"/>
      <c r="H31" s="598"/>
      <c r="I31" s="598"/>
      <c r="J31" s="598"/>
      <c r="K31" s="598"/>
      <c r="L31" s="598"/>
      <c r="M31" s="598"/>
      <c r="N31" s="598"/>
      <c r="O31" s="43" t="e">
        <f>VLOOKUP($B$2,#REF!,3)</f>
        <v>#REF!</v>
      </c>
      <c r="P31" s="48"/>
    </row>
    <row r="32" spans="1:27" ht="12" customHeight="1" x14ac:dyDescent="0.2">
      <c r="B32" s="567" t="s">
        <v>227</v>
      </c>
      <c r="C32" s="567"/>
      <c r="D32" s="567"/>
      <c r="E32" s="567"/>
      <c r="F32" s="567"/>
      <c r="G32" s="567"/>
      <c r="H32" s="567"/>
      <c r="I32" s="567"/>
      <c r="J32" s="567"/>
      <c r="K32" s="567"/>
      <c r="L32" s="567"/>
      <c r="M32" s="567"/>
      <c r="N32" s="567"/>
      <c r="O32" s="57" t="e">
        <f>VLOOKUP($B$2,#REF!,5)</f>
        <v>#REF!</v>
      </c>
      <c r="P32" s="48"/>
    </row>
    <row r="33" spans="1:23" s="36" customFormat="1" ht="12" customHeight="1" x14ac:dyDescent="0.2">
      <c r="A33" s="80"/>
      <c r="B33" s="55">
        <v>1004</v>
      </c>
      <c r="C33" s="55" t="s">
        <v>196</v>
      </c>
      <c r="D33" s="593" t="s">
        <v>123</v>
      </c>
      <c r="E33" s="593"/>
      <c r="F33" s="593"/>
      <c r="G33" s="593"/>
      <c r="H33" s="593"/>
      <c r="I33" s="593"/>
      <c r="J33" s="593"/>
      <c r="K33" s="593"/>
      <c r="L33" s="593"/>
      <c r="M33" s="593"/>
      <c r="N33" s="593"/>
      <c r="O33" s="593"/>
      <c r="P33" s="50"/>
    </row>
    <row r="34" spans="1:23" ht="12" customHeight="1" x14ac:dyDescent="0.2">
      <c r="B34" s="576" t="s">
        <v>124</v>
      </c>
      <c r="C34" s="576"/>
      <c r="D34" s="576"/>
      <c r="E34" s="576"/>
      <c r="F34" s="576"/>
      <c r="G34" s="576" t="s">
        <v>52</v>
      </c>
      <c r="H34" s="576"/>
      <c r="I34" s="576"/>
      <c r="J34" s="576"/>
      <c r="K34" s="576"/>
      <c r="L34" s="576"/>
      <c r="M34" s="576"/>
      <c r="N34" s="576"/>
      <c r="O34" s="43" t="e">
        <f>VLOOKUP($B$2,#REF!,4)</f>
        <v>#REF!</v>
      </c>
      <c r="P34" s="48"/>
    </row>
    <row r="35" spans="1:23" ht="12" customHeight="1" x14ac:dyDescent="0.2">
      <c r="B35" s="576"/>
      <c r="C35" s="576"/>
      <c r="D35" s="576"/>
      <c r="E35" s="576"/>
      <c r="F35" s="576"/>
      <c r="G35" s="576" t="s">
        <v>125</v>
      </c>
      <c r="H35" s="576"/>
      <c r="I35" s="576"/>
      <c r="J35" s="576"/>
      <c r="K35" s="576"/>
      <c r="L35" s="576"/>
      <c r="M35" s="576"/>
      <c r="N35" s="576"/>
      <c r="O35" s="76" t="e">
        <f>VLOOKUP($B$2,#REF!,5)</f>
        <v>#REF!</v>
      </c>
      <c r="P35" s="48"/>
    </row>
    <row r="36" spans="1:23" ht="12" customHeight="1" x14ac:dyDescent="0.2">
      <c r="B36" s="576" t="s">
        <v>126</v>
      </c>
      <c r="C36" s="576"/>
      <c r="D36" s="576"/>
      <c r="E36" s="576"/>
      <c r="F36" s="576"/>
      <c r="G36" s="576" t="s">
        <v>52</v>
      </c>
      <c r="H36" s="576"/>
      <c r="I36" s="576"/>
      <c r="J36" s="576"/>
      <c r="K36" s="576"/>
      <c r="L36" s="576"/>
      <c r="M36" s="576"/>
      <c r="N36" s="576"/>
      <c r="O36" s="76" t="e">
        <f>VLOOKUP($B$2,#REF!,7)</f>
        <v>#REF!</v>
      </c>
      <c r="P36" s="48"/>
    </row>
    <row r="37" spans="1:23" x14ac:dyDescent="0.2">
      <c r="B37" s="576"/>
      <c r="C37" s="576"/>
      <c r="D37" s="576"/>
      <c r="E37" s="576"/>
      <c r="F37" s="576"/>
      <c r="G37" s="576" t="s">
        <v>125</v>
      </c>
      <c r="H37" s="576"/>
      <c r="I37" s="576"/>
      <c r="J37" s="576"/>
      <c r="K37" s="576"/>
      <c r="L37" s="576"/>
      <c r="M37" s="576"/>
      <c r="N37" s="576"/>
      <c r="O37" s="76" t="e">
        <f>VLOOKUP($B$2,#REF!,8)</f>
        <v>#REF!</v>
      </c>
      <c r="P37" s="48"/>
    </row>
    <row r="38" spans="1:23" x14ac:dyDescent="0.2">
      <c r="B38" s="567" t="s">
        <v>227</v>
      </c>
      <c r="C38" s="567"/>
      <c r="D38" s="567"/>
      <c r="E38" s="567"/>
      <c r="F38" s="567"/>
      <c r="G38" s="567"/>
      <c r="H38" s="567"/>
      <c r="I38" s="567"/>
      <c r="J38" s="567"/>
      <c r="K38" s="567"/>
      <c r="L38" s="567"/>
      <c r="M38" s="567"/>
      <c r="N38" s="567"/>
      <c r="O38" s="57" t="e">
        <f>VLOOKUP($B$2,#REF!,14)</f>
        <v>#REF!</v>
      </c>
    </row>
    <row r="39" spans="1:23" s="36" customFormat="1" ht="30" customHeight="1" x14ac:dyDescent="0.2">
      <c r="A39" s="85"/>
      <c r="B39" s="55">
        <v>1004</v>
      </c>
      <c r="C39" s="49" t="s">
        <v>197</v>
      </c>
      <c r="D39" s="573" t="s">
        <v>127</v>
      </c>
      <c r="E39" s="574"/>
      <c r="F39" s="574"/>
      <c r="G39" s="574"/>
      <c r="H39" s="574"/>
      <c r="I39" s="574"/>
      <c r="J39" s="574"/>
      <c r="K39" s="574"/>
      <c r="L39" s="574"/>
      <c r="M39" s="574"/>
      <c r="N39" s="574"/>
      <c r="O39" s="575"/>
    </row>
    <row r="40" spans="1:23" ht="24" customHeight="1" x14ac:dyDescent="0.2">
      <c r="B40" s="568" t="s">
        <v>229</v>
      </c>
      <c r="C40" s="568"/>
      <c r="D40" s="568"/>
      <c r="E40" s="568"/>
      <c r="F40" s="568"/>
      <c r="G40" s="568"/>
      <c r="H40" s="568"/>
      <c r="I40" s="568"/>
      <c r="J40" s="568"/>
      <c r="K40" s="568"/>
      <c r="L40" s="568"/>
      <c r="M40" s="568"/>
      <c r="N40" s="568"/>
      <c r="O40" s="43" t="e">
        <f>VLOOKUP($B$2,#REF!,3)</f>
        <v>#REF!</v>
      </c>
      <c r="P40" s="36"/>
      <c r="Q40" s="36"/>
      <c r="R40" s="36"/>
      <c r="S40" s="36"/>
      <c r="T40" s="36"/>
      <c r="U40" s="36"/>
      <c r="V40" s="36"/>
      <c r="W40" s="36"/>
    </row>
    <row r="41" spans="1:23" ht="24" customHeight="1" x14ac:dyDescent="0.2">
      <c r="B41" s="568" t="s">
        <v>230</v>
      </c>
      <c r="C41" s="568"/>
      <c r="D41" s="568"/>
      <c r="E41" s="568"/>
      <c r="F41" s="568"/>
      <c r="G41" s="568"/>
      <c r="H41" s="568"/>
      <c r="I41" s="568"/>
      <c r="J41" s="568"/>
      <c r="K41" s="568"/>
      <c r="L41" s="568"/>
      <c r="M41" s="568"/>
      <c r="N41" s="568"/>
      <c r="O41" s="76" t="e">
        <f>VLOOKUP($B$2,#REF!,9)</f>
        <v>#REF!</v>
      </c>
      <c r="P41" s="36"/>
      <c r="Q41" s="36"/>
      <c r="R41" s="36"/>
      <c r="S41" s="36"/>
      <c r="T41" s="36"/>
      <c r="U41" s="36"/>
      <c r="V41" s="36"/>
      <c r="W41" s="36"/>
    </row>
    <row r="42" spans="1:23" ht="16.149999999999999" customHeight="1" x14ac:dyDescent="0.2">
      <c r="B42" s="567" t="s">
        <v>227</v>
      </c>
      <c r="C42" s="567"/>
      <c r="D42" s="567"/>
      <c r="E42" s="567"/>
      <c r="F42" s="567"/>
      <c r="G42" s="567"/>
      <c r="H42" s="567"/>
      <c r="I42" s="567"/>
      <c r="J42" s="567"/>
      <c r="K42" s="567"/>
      <c r="L42" s="567"/>
      <c r="M42" s="567"/>
      <c r="N42" s="567"/>
      <c r="O42" s="57" t="e">
        <f>VLOOKUP($B$2,#REF!,15)</f>
        <v>#REF!</v>
      </c>
      <c r="P42" s="36"/>
      <c r="Q42" s="36"/>
      <c r="R42" s="36"/>
      <c r="S42" s="36"/>
      <c r="T42" s="36"/>
      <c r="U42" s="36"/>
      <c r="V42" s="36"/>
      <c r="W42" s="36"/>
    </row>
    <row r="43" spans="1:23" s="36" customFormat="1" ht="24" hidden="1" customHeight="1" x14ac:dyDescent="0.2">
      <c r="A43" s="35"/>
      <c r="B43" s="60">
        <v>1004</v>
      </c>
      <c r="C43" s="61" t="s">
        <v>107</v>
      </c>
      <c r="D43" s="597" t="s">
        <v>128</v>
      </c>
      <c r="E43" s="597"/>
      <c r="F43" s="597"/>
      <c r="G43" s="597"/>
      <c r="H43" s="597"/>
      <c r="I43" s="597"/>
      <c r="J43" s="597"/>
      <c r="K43" s="597"/>
      <c r="L43" s="597"/>
      <c r="M43" s="597"/>
      <c r="N43" s="597"/>
      <c r="O43" s="597"/>
      <c r="P43" s="62"/>
    </row>
    <row r="44" spans="1:23" ht="24" hidden="1" customHeight="1" x14ac:dyDescent="0.2">
      <c r="B44" s="576" t="s">
        <v>55</v>
      </c>
      <c r="C44" s="576"/>
      <c r="D44" s="576"/>
      <c r="E44" s="576"/>
      <c r="F44" s="576"/>
      <c r="G44" s="576"/>
      <c r="H44" s="576"/>
      <c r="I44" s="576"/>
      <c r="J44" s="576"/>
      <c r="K44" s="576"/>
      <c r="L44" s="576"/>
      <c r="M44" s="576"/>
      <c r="N44" s="576"/>
      <c r="O44" s="43">
        <f>VLOOKUP($B$2,[2]Постинтернатное!$A$2:$T$24,3)</f>
        <v>1</v>
      </c>
    </row>
    <row r="45" spans="1:23" ht="12" hidden="1" customHeight="1" x14ac:dyDescent="0.2">
      <c r="B45" s="567" t="s">
        <v>129</v>
      </c>
      <c r="C45" s="567"/>
      <c r="D45" s="567"/>
      <c r="E45" s="567"/>
      <c r="F45" s="567"/>
      <c r="G45" s="567"/>
      <c r="H45" s="567"/>
      <c r="I45" s="567"/>
      <c r="J45" s="567"/>
      <c r="K45" s="567"/>
      <c r="L45" s="567"/>
      <c r="M45" s="567"/>
      <c r="N45" s="567"/>
      <c r="O45" s="59">
        <f>VLOOKUP($B$2,[2]Постинтернатное!$A$2:$T$24,6)</f>
        <v>12</v>
      </c>
    </row>
    <row r="46" spans="1:23" s="36" customFormat="1" ht="30" customHeight="1" x14ac:dyDescent="0.2">
      <c r="A46" s="80"/>
      <c r="B46" s="49" t="s">
        <v>130</v>
      </c>
      <c r="C46" s="49" t="s">
        <v>131</v>
      </c>
      <c r="D46" s="593" t="s">
        <v>132</v>
      </c>
      <c r="E46" s="593"/>
      <c r="F46" s="593"/>
      <c r="G46" s="593"/>
      <c r="H46" s="593"/>
      <c r="I46" s="593"/>
      <c r="J46" s="593"/>
      <c r="K46" s="593"/>
      <c r="L46" s="593"/>
      <c r="M46" s="593"/>
      <c r="N46" s="593"/>
      <c r="O46" s="593"/>
      <c r="P46" s="62"/>
    </row>
    <row r="47" spans="1:23" ht="31.15" customHeight="1" x14ac:dyDescent="0.2">
      <c r="B47" s="595" t="s">
        <v>133</v>
      </c>
      <c r="C47" s="595"/>
      <c r="D47" s="595"/>
      <c r="E47" s="595"/>
      <c r="F47" s="595"/>
      <c r="G47" s="595"/>
      <c r="H47" s="595"/>
      <c r="I47" s="595"/>
      <c r="J47" s="595"/>
      <c r="K47" s="595"/>
      <c r="L47" s="596" t="s">
        <v>134</v>
      </c>
      <c r="M47" s="596"/>
      <c r="N47" s="596"/>
      <c r="O47" s="596"/>
    </row>
    <row r="48" spans="1:23" ht="30" customHeight="1" x14ac:dyDescent="0.2">
      <c r="B48" s="595"/>
      <c r="C48" s="595"/>
      <c r="D48" s="595"/>
      <c r="E48" s="595"/>
      <c r="F48" s="595"/>
      <c r="G48" s="595"/>
      <c r="H48" s="595"/>
      <c r="I48" s="595"/>
      <c r="J48" s="595"/>
      <c r="K48" s="595"/>
      <c r="L48" s="587" t="s">
        <v>135</v>
      </c>
      <c r="M48" s="587"/>
      <c r="N48" s="45" t="s">
        <v>136</v>
      </c>
      <c r="O48" s="43" t="s">
        <v>69</v>
      </c>
    </row>
    <row r="49" spans="1:16" x14ac:dyDescent="0.2">
      <c r="B49" s="568" t="str">
        <f>ДОУ!C4</f>
        <v>группы общеразвивающей направленности</v>
      </c>
      <c r="C49" s="568"/>
      <c r="D49" s="568"/>
      <c r="E49" s="568"/>
      <c r="F49" s="568"/>
      <c r="G49" s="568"/>
      <c r="H49" s="568"/>
      <c r="I49" s="568"/>
      <c r="J49" s="568"/>
      <c r="K49" s="568"/>
      <c r="L49" s="591">
        <f>VLOOKUP($B$2,ДОУ!$A$13:$CP$30,3)</f>
        <v>544</v>
      </c>
      <c r="M49" s="591"/>
      <c r="N49" s="90">
        <f>VLOOKUP($B$2,ДОУ!$A$13:$CP$30,4)</f>
        <v>6175</v>
      </c>
      <c r="O49" s="88">
        <f>L49+N49</f>
        <v>6719</v>
      </c>
    </row>
    <row r="50" spans="1:16" x14ac:dyDescent="0.2">
      <c r="B50" s="568" t="str">
        <f>ДОУ!Y4</f>
        <v>группы компенсирующей направленности</v>
      </c>
      <c r="C50" s="568"/>
      <c r="D50" s="568"/>
      <c r="E50" s="568"/>
      <c r="F50" s="568"/>
      <c r="G50" s="568"/>
      <c r="H50" s="568"/>
      <c r="I50" s="568"/>
      <c r="J50" s="568"/>
      <c r="K50" s="568"/>
      <c r="L50" s="591">
        <f>VLOOKUP($B$2,ДОУ!$A$13:$CP$30,25)</f>
        <v>0</v>
      </c>
      <c r="M50" s="591"/>
      <c r="N50" s="90">
        <f>VLOOKUP($B$2,ДОУ!$A$13:$CP$30,26)</f>
        <v>211</v>
      </c>
      <c r="O50" s="88">
        <f>L50+N50</f>
        <v>211</v>
      </c>
    </row>
    <row r="51" spans="1:16" x14ac:dyDescent="0.2">
      <c r="B51" s="568" t="str">
        <f>ДОУ!AU4</f>
        <v>группы комбинированной направленности</v>
      </c>
      <c r="C51" s="568"/>
      <c r="D51" s="568"/>
      <c r="E51" s="568"/>
      <c r="F51" s="568"/>
      <c r="G51" s="568"/>
      <c r="H51" s="568"/>
      <c r="I51" s="568"/>
      <c r="J51" s="568"/>
      <c r="K51" s="568"/>
      <c r="L51" s="591">
        <f>VLOOKUP($B$2,ДОУ!$A$13:$CO$30,47)</f>
        <v>0</v>
      </c>
      <c r="M51" s="591"/>
      <c r="N51" s="90">
        <f>VLOOKUP($B$2,ДОУ!$A$13:$CP$30,48)</f>
        <v>42</v>
      </c>
      <c r="O51" s="88">
        <f>L51+N51</f>
        <v>42</v>
      </c>
    </row>
    <row r="52" spans="1:16" s="36" customFormat="1" ht="21" customHeight="1" x14ac:dyDescent="0.2">
      <c r="B52" s="568" t="s">
        <v>137</v>
      </c>
      <c r="C52" s="568"/>
      <c r="D52" s="568"/>
      <c r="E52" s="568"/>
      <c r="F52" s="568"/>
      <c r="G52" s="568"/>
      <c r="H52" s="568"/>
      <c r="I52" s="568"/>
      <c r="J52" s="568"/>
      <c r="K52" s="568"/>
      <c r="L52" s="592">
        <f>SUM(L49:M51)</f>
        <v>544</v>
      </c>
      <c r="M52" s="592"/>
      <c r="N52" s="89">
        <f>SUM(N49:N51)</f>
        <v>6428</v>
      </c>
      <c r="O52" s="88">
        <f>SUM(O49:O51)</f>
        <v>6972</v>
      </c>
      <c r="P52" s="62"/>
    </row>
    <row r="53" spans="1:16" ht="12" customHeight="1" x14ac:dyDescent="0.2">
      <c r="B53" s="567" t="s">
        <v>227</v>
      </c>
      <c r="C53" s="567"/>
      <c r="D53" s="567"/>
      <c r="E53" s="567"/>
      <c r="F53" s="567"/>
      <c r="G53" s="567"/>
      <c r="H53" s="567"/>
      <c r="I53" s="567"/>
      <c r="J53" s="567"/>
      <c r="K53" s="567"/>
      <c r="L53" s="567"/>
      <c r="M53" s="567"/>
      <c r="N53" s="567"/>
      <c r="O53" s="66" t="e">
        <f>VLOOKUP($B$2,ДОУ!$A$13:$CP$30,95)/1000</f>
        <v>#REF!</v>
      </c>
    </row>
    <row r="54" spans="1:16" s="36" customFormat="1" ht="39" customHeight="1" x14ac:dyDescent="0.2">
      <c r="A54" s="80"/>
      <c r="B54" s="49" t="s">
        <v>100</v>
      </c>
      <c r="C54" s="49" t="s">
        <v>138</v>
      </c>
      <c r="D54" s="593" t="s">
        <v>139</v>
      </c>
      <c r="E54" s="593"/>
      <c r="F54" s="593"/>
      <c r="G54" s="593"/>
      <c r="H54" s="593"/>
      <c r="I54" s="593"/>
      <c r="J54" s="593"/>
      <c r="K54" s="593"/>
      <c r="L54" s="593"/>
      <c r="M54" s="593"/>
      <c r="N54" s="593"/>
      <c r="O54" s="593"/>
      <c r="P54" s="62"/>
    </row>
    <row r="55" spans="1:16" s="36" customFormat="1" ht="30" customHeight="1" x14ac:dyDescent="0.2">
      <c r="B55" s="594" t="s">
        <v>140</v>
      </c>
      <c r="C55" s="594"/>
      <c r="D55" s="594"/>
      <c r="E55" s="594"/>
      <c r="F55" s="594"/>
      <c r="G55" s="594"/>
      <c r="H55" s="594"/>
      <c r="I55" s="594"/>
      <c r="J55" s="594"/>
      <c r="K55" s="594"/>
      <c r="L55" s="594"/>
      <c r="M55" s="594"/>
      <c r="N55" s="594"/>
      <c r="O55" s="43" t="e">
        <f>VLOOKUP($B$2,#REF!,4)</f>
        <v>#REF!</v>
      </c>
    </row>
    <row r="56" spans="1:16" ht="15" customHeight="1" x14ac:dyDescent="0.2">
      <c r="B56" s="567" t="s">
        <v>227</v>
      </c>
      <c r="C56" s="567"/>
      <c r="D56" s="567"/>
      <c r="E56" s="567"/>
      <c r="F56" s="567"/>
      <c r="G56" s="567"/>
      <c r="H56" s="567"/>
      <c r="I56" s="567"/>
      <c r="J56" s="567"/>
      <c r="K56" s="567"/>
      <c r="L56" s="567"/>
      <c r="M56" s="567"/>
      <c r="N56" s="567"/>
      <c r="O56" s="66" t="e">
        <f>VLOOKUP($B$2,#REF!,39)</f>
        <v>#REF!</v>
      </c>
    </row>
    <row r="57" spans="1:16" s="36" customFormat="1" ht="25.15" customHeight="1" x14ac:dyDescent="0.2">
      <c r="A57" s="80"/>
      <c r="B57" s="49" t="s">
        <v>141</v>
      </c>
      <c r="C57" s="49" t="s">
        <v>142</v>
      </c>
      <c r="D57" s="593" t="s">
        <v>143</v>
      </c>
      <c r="E57" s="593"/>
      <c r="F57" s="593"/>
      <c r="G57" s="593"/>
      <c r="H57" s="593"/>
      <c r="I57" s="593"/>
      <c r="J57" s="593"/>
      <c r="K57" s="593"/>
      <c r="L57" s="593"/>
      <c r="M57" s="593"/>
      <c r="N57" s="593"/>
      <c r="O57" s="593"/>
      <c r="P57" s="62"/>
    </row>
    <row r="58" spans="1:16" ht="18" customHeight="1" x14ac:dyDescent="0.2">
      <c r="B58" s="586" t="s">
        <v>133</v>
      </c>
      <c r="C58" s="586"/>
      <c r="D58" s="586"/>
      <c r="E58" s="586"/>
      <c r="F58" s="586"/>
      <c r="G58" s="587" t="s">
        <v>144</v>
      </c>
      <c r="H58" s="587"/>
      <c r="I58" s="587"/>
      <c r="J58" s="587"/>
      <c r="K58" s="587"/>
      <c r="L58" s="587"/>
      <c r="M58" s="587"/>
      <c r="N58" s="587"/>
      <c r="O58" s="587"/>
    </row>
    <row r="59" spans="1:16" ht="27" customHeight="1" x14ac:dyDescent="0.2">
      <c r="B59" s="586"/>
      <c r="C59" s="586"/>
      <c r="D59" s="586"/>
      <c r="E59" s="586"/>
      <c r="F59" s="586"/>
      <c r="G59" s="63" t="s">
        <v>145</v>
      </c>
      <c r="H59" s="64" t="s">
        <v>146</v>
      </c>
      <c r="I59" s="64" t="s">
        <v>147</v>
      </c>
      <c r="J59" s="64" t="s">
        <v>148</v>
      </c>
      <c r="K59" s="63" t="s">
        <v>145</v>
      </c>
      <c r="L59" s="64" t="s">
        <v>146</v>
      </c>
      <c r="M59" s="64" t="s">
        <v>147</v>
      </c>
      <c r="N59" s="64" t="s">
        <v>148</v>
      </c>
      <c r="O59" s="44" t="s">
        <v>149</v>
      </c>
    </row>
    <row r="60" spans="1:16" ht="24.6" customHeight="1" x14ac:dyDescent="0.2">
      <c r="B60" s="585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585"/>
      <c r="D60" s="585"/>
      <c r="E60" s="585"/>
      <c r="F60" s="585"/>
      <c r="G60" s="77">
        <f>VLOOKUP($B$2,ООУ!$A$6:$EK$23,3)</f>
        <v>0</v>
      </c>
      <c r="H60" s="77">
        <f>VLOOKUP($B$2,ООУ!$A$6:$EK$23,4)</f>
        <v>0</v>
      </c>
      <c r="I60" s="77">
        <f>VLOOKUP($B$2,ООУ!$A$6:$EK$23,5)</f>
        <v>0</v>
      </c>
      <c r="J60" s="77">
        <f>VLOOKUP($B$2,ООУ!$A$6:$EK$23,6)</f>
        <v>53</v>
      </c>
      <c r="K60" s="77">
        <f>VLOOKUP($B$2,ООУ!$A$6:$EK$23,7)</f>
        <v>1521</v>
      </c>
      <c r="L60" s="77">
        <f>VLOOKUP($B$2,ООУ!$A$6:$EK$23,8)</f>
        <v>1831</v>
      </c>
      <c r="M60" s="77">
        <f>VLOOKUP($B$2,ООУ!$A$6:$EK$23,9)</f>
        <v>0</v>
      </c>
      <c r="N60" s="77">
        <f>VLOOKUP($B$2,ООУ!$A$6:$EK$23,10)</f>
        <v>196</v>
      </c>
      <c r="O60" s="78">
        <f t="shared" ref="O60:O75" si="0">SUM(G60:N60)</f>
        <v>3601</v>
      </c>
    </row>
    <row r="61" spans="1:16" x14ac:dyDescent="0.2">
      <c r="B61" s="585" t="str">
        <f>ООУ!M2</f>
        <v>с углубленным изучением отдельных учебных предметов</v>
      </c>
      <c r="C61" s="585"/>
      <c r="D61" s="585"/>
      <c r="E61" s="585"/>
      <c r="F61" s="585"/>
      <c r="G61" s="77">
        <f>VLOOKUP($B$2,ООУ!$A$6:$EK$23,13)</f>
        <v>0</v>
      </c>
      <c r="H61" s="77">
        <f>VLOOKUP($B$2,ООУ!$A$6:$EK$23,14)</f>
        <v>0</v>
      </c>
      <c r="I61" s="77">
        <f>VLOOKUP($B$2,ООУ!$A$6:$EK$23,15)</f>
        <v>0</v>
      </c>
      <c r="J61" s="77">
        <f>VLOOKUP($B$2,ООУ!$A$6:$EK$23,16)</f>
        <v>0</v>
      </c>
      <c r="K61" s="77">
        <f>VLOOKUP($B$2,ООУ!$A$6:$EK$23,17)</f>
        <v>0</v>
      </c>
      <c r="L61" s="77">
        <f>VLOOKUP($B$2,ООУ!$A$6:$EK$23,18)</f>
        <v>0</v>
      </c>
      <c r="M61" s="77">
        <f>VLOOKUP($B$2,ООУ!$A$6:$EK$23,19)</f>
        <v>0</v>
      </c>
      <c r="N61" s="77">
        <f>VLOOKUP($B$2,ООУ!$A$6:$EK$23,20)</f>
        <v>0</v>
      </c>
      <c r="O61" s="78">
        <f t="shared" si="0"/>
        <v>0</v>
      </c>
    </row>
    <row r="62" spans="1:16" x14ac:dyDescent="0.2">
      <c r="B62" s="588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589"/>
      <c r="D62" s="589"/>
      <c r="E62" s="589"/>
      <c r="F62" s="590"/>
      <c r="G62" s="77">
        <f>VLOOKUP($B$2,ООУ!$A$6:$EK$23,23)</f>
        <v>0</v>
      </c>
      <c r="H62" s="77">
        <f>VLOOKUP($B$2,ООУ!$A$6:$EK$23,24)</f>
        <v>0</v>
      </c>
      <c r="I62" s="77">
        <f>VLOOKUP($B$2,ООУ!$A$6:$EK$23,25)</f>
        <v>0</v>
      </c>
      <c r="J62" s="77">
        <f>VLOOKUP($B$2,ООУ!$A$6:$EK$23,26)</f>
        <v>0</v>
      </c>
      <c r="K62" s="77">
        <f>VLOOKUP($B$2,ООУ!$A$6:$EK$23,27)</f>
        <v>112</v>
      </c>
      <c r="L62" s="77">
        <f>VLOOKUP($B$2,ООУ!$A$6:$EK$23,28)</f>
        <v>160</v>
      </c>
      <c r="M62" s="77">
        <f>VLOOKUP($B$2,ООУ!$A$6:$EK$23,29)</f>
        <v>0</v>
      </c>
      <c r="N62" s="77">
        <f>VLOOKUP($B$2,ООУ!$A$6:$EK$23,30)</f>
        <v>24</v>
      </c>
      <c r="O62" s="78">
        <f t="shared" si="0"/>
        <v>296</v>
      </c>
    </row>
    <row r="63" spans="1:16" ht="27" customHeight="1" x14ac:dyDescent="0.2">
      <c r="B63" s="588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589"/>
      <c r="D63" s="589"/>
      <c r="E63" s="589"/>
      <c r="F63" s="590"/>
      <c r="G63" s="77">
        <f>VLOOKUP($B$2,ООУ!$A$6:$EK$23,33)</f>
        <v>0</v>
      </c>
      <c r="H63" s="77">
        <f>VLOOKUP($B$2,ООУ!$A$6:$EK$23,34)</f>
        <v>0</v>
      </c>
      <c r="I63" s="77">
        <f>VLOOKUP($B$2,ООУ!$A$6:$EK$23,35)</f>
        <v>0</v>
      </c>
      <c r="J63" s="77">
        <f>VLOOKUP($B$2,ООУ!$A$6:$EK$23,36)</f>
        <v>0</v>
      </c>
      <c r="K63" s="77">
        <f>VLOOKUP($B$2,ООУ!$A$6:$EK$23,37)</f>
        <v>0</v>
      </c>
      <c r="L63" s="77">
        <f>VLOOKUP($B$2,ООУ!$A$6:$EK$23,38)</f>
        <v>0</v>
      </c>
      <c r="M63" s="77">
        <f>VLOOKUP($B$2,ООУ!$A$6:$EK$23,39)</f>
        <v>0</v>
      </c>
      <c r="N63" s="77">
        <f>VLOOKUP($B$2,ООУ!$A$6:$EK$23,40)</f>
        <v>0</v>
      </c>
      <c r="O63" s="78">
        <f t="shared" si="0"/>
        <v>0</v>
      </c>
    </row>
    <row r="64" spans="1:16" ht="33" customHeight="1" x14ac:dyDescent="0.2">
      <c r="B64" s="585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585"/>
      <c r="D64" s="585"/>
      <c r="E64" s="585"/>
      <c r="F64" s="585"/>
      <c r="G64" s="77">
        <f>VLOOKUP($B$2,ООУ!$A$6:$EK$23,43)</f>
        <v>0</v>
      </c>
      <c r="H64" s="77">
        <f>VLOOKUP($B$2,ООУ!$A$6:$EK$23,44)</f>
        <v>0</v>
      </c>
      <c r="I64" s="77">
        <f>VLOOKUP($B$2,ООУ!$A$6:$EK$23,45)</f>
        <v>0</v>
      </c>
      <c r="J64" s="77">
        <f>VLOOKUP($B$2,ООУ!$A$6:$EK$23,46)</f>
        <v>0</v>
      </c>
      <c r="K64" s="77">
        <f>VLOOKUP($B$2,ООУ!$A$6:$EK$23,47)</f>
        <v>0</v>
      </c>
      <c r="L64" s="77">
        <f>VLOOKUP($B$2,ООУ!$A$6:$EK$23,48)</f>
        <v>0</v>
      </c>
      <c r="M64" s="77">
        <f>VLOOKUP($B$2,ООУ!$A$6:$EK$23,49)</f>
        <v>0</v>
      </c>
      <c r="N64" s="77">
        <f>VLOOKUP($B$2,ООУ!$A$6:$EK$23,50)</f>
        <v>0</v>
      </c>
      <c r="O64" s="78">
        <f t="shared" si="0"/>
        <v>0</v>
      </c>
    </row>
    <row r="65" spans="2:16" ht="33" customHeight="1" x14ac:dyDescent="0.2">
      <c r="B65" s="585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585"/>
      <c r="D65" s="585"/>
      <c r="E65" s="585"/>
      <c r="F65" s="585"/>
      <c r="G65" s="77">
        <f>VLOOKUP($B$2,ООУ!$A$6:$EK$23,53)</f>
        <v>0</v>
      </c>
      <c r="H65" s="77">
        <f>VLOOKUP($B$2,ООУ!$A$6:$EK$23,54)</f>
        <v>0</v>
      </c>
      <c r="I65" s="77">
        <f>VLOOKUP($B$2,ООУ!$A$6:$EK$23,55)</f>
        <v>0</v>
      </c>
      <c r="J65" s="77">
        <f>VLOOKUP($B$2,ООУ!$A$6:$EK$23,56)</f>
        <v>0</v>
      </c>
      <c r="K65" s="77">
        <f>VLOOKUP($B$2,ООУ!$A$6:$EK$23,57)</f>
        <v>0</v>
      </c>
      <c r="L65" s="77">
        <f>VLOOKUP($B$2,ООУ!$A$6:$EK$23,58)</f>
        <v>0</v>
      </c>
      <c r="M65" s="77">
        <f>VLOOKUP($B$2,ООУ!$A$6:$EK$23,59)</f>
        <v>0</v>
      </c>
      <c r="N65" s="77">
        <f>VLOOKUP($B$2,ООУ!$A$6:$EK$23,60)</f>
        <v>0</v>
      </c>
      <c r="O65" s="78">
        <f t="shared" si="0"/>
        <v>0</v>
      </c>
    </row>
    <row r="66" spans="2:16" ht="27" customHeight="1" x14ac:dyDescent="0.2">
      <c r="B66" s="585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585"/>
      <c r="D66" s="585"/>
      <c r="E66" s="585"/>
      <c r="F66" s="585"/>
      <c r="G66" s="77">
        <f>VLOOKUP($B$2,ООУ!$A$6:$EK$23,63)</f>
        <v>0</v>
      </c>
      <c r="H66" s="77">
        <f>VLOOKUP($B$2,ООУ!$A$6:$EK$23,64)</f>
        <v>0</v>
      </c>
      <c r="I66" s="77">
        <f>VLOOKUP($B$2,ООУ!$A$6:$EK$23,65)</f>
        <v>0</v>
      </c>
      <c r="J66" s="77">
        <f>VLOOKUP($B$2,ООУ!$A$6:$EK$23,66)</f>
        <v>0</v>
      </c>
      <c r="K66" s="77">
        <f>VLOOKUP($B$2,ООУ!$A$6:$EK$23,67)</f>
        <v>0</v>
      </c>
      <c r="L66" s="77">
        <f>VLOOKUP($B$2,ООУ!$A$6:$EK$23,68)</f>
        <v>0</v>
      </c>
      <c r="M66" s="77">
        <f>VLOOKUP($B$2,ООУ!$A$6:$EK$23,69)</f>
        <v>0</v>
      </c>
      <c r="N66" s="77">
        <f>VLOOKUP($B$2,ООУ!$A$6:$EK$23,70)</f>
        <v>0</v>
      </c>
      <c r="O66" s="78">
        <f t="shared" si="0"/>
        <v>0</v>
      </c>
    </row>
    <row r="67" spans="2:16" ht="30" customHeight="1" x14ac:dyDescent="0.2">
      <c r="B67" s="585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585"/>
      <c r="D67" s="585"/>
      <c r="E67" s="585"/>
      <c r="F67" s="585"/>
      <c r="G67" s="77">
        <f>VLOOKUP($B$2,ООУ!$A$6:$EK$23,73)</f>
        <v>0</v>
      </c>
      <c r="H67" s="77">
        <f>VLOOKUP($B$2,ООУ!$A$6:$EK$23,74)</f>
        <v>0</v>
      </c>
      <c r="I67" s="77">
        <f>VLOOKUP($B$2,ООУ!$A$6:$EK$23,75)</f>
        <v>0</v>
      </c>
      <c r="J67" s="77">
        <f>VLOOKUP($B$2,ООУ!$A$6:$EK$23,76)</f>
        <v>0</v>
      </c>
      <c r="K67" s="77">
        <f>VLOOKUP($B$2,ООУ!$A$6:$EK$23,77)</f>
        <v>0</v>
      </c>
      <c r="L67" s="77">
        <f>VLOOKUP($B$2,ООУ!$A$6:$EK$23,78)</f>
        <v>0</v>
      </c>
      <c r="M67" s="77">
        <f>VLOOKUP($B$2,ООУ!$A$6:$EK$23,79)</f>
        <v>0</v>
      </c>
      <c r="N67" s="77">
        <f>VLOOKUP($B$2,ООУ!$A$6:$EK$23,80)</f>
        <v>0</v>
      </c>
      <c r="O67" s="78">
        <f t="shared" si="0"/>
        <v>0</v>
      </c>
    </row>
    <row r="68" spans="2:16" ht="30" customHeight="1" x14ac:dyDescent="0.2">
      <c r="B68" s="585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585"/>
      <c r="D68" s="585"/>
      <c r="E68" s="585"/>
      <c r="F68" s="585"/>
      <c r="G68" s="77">
        <f>VLOOKUP($B$2,ООУ!$A$6:$EK$23,83)</f>
        <v>0</v>
      </c>
      <c r="H68" s="77">
        <f>VLOOKUP($B$2,ООУ!$A$6:$EK$23,84)</f>
        <v>0</v>
      </c>
      <c r="I68" s="77">
        <f>VLOOKUP($B$2,ООУ!$A$6:$EK$23,85)</f>
        <v>0</v>
      </c>
      <c r="J68" s="77">
        <f>VLOOKUP($B$2,ООУ!$A$6:$EK$23,86)</f>
        <v>6</v>
      </c>
      <c r="K68" s="77">
        <f>VLOOKUP($B$2,ООУ!$A$6:$EK$23,87)</f>
        <v>64</v>
      </c>
      <c r="L68" s="77">
        <f>VLOOKUP($B$2,ООУ!$A$6:$EK$23,88)</f>
        <v>94</v>
      </c>
      <c r="M68" s="77">
        <f>VLOOKUP($B$2,ООУ!$A$6:$EK$23,89)</f>
        <v>0</v>
      </c>
      <c r="N68" s="77">
        <f>VLOOKUP($B$2,ООУ!$A$6:$EK$23,90)</f>
        <v>12</v>
      </c>
      <c r="O68" s="78">
        <f t="shared" si="0"/>
        <v>176</v>
      </c>
    </row>
    <row r="69" spans="2:16" ht="27" customHeight="1" x14ac:dyDescent="0.2">
      <c r="B69" s="585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585"/>
      <c r="D69" s="585"/>
      <c r="E69" s="585"/>
      <c r="F69" s="585"/>
      <c r="G69" s="77">
        <f>VLOOKUP($B$2,ООУ!$A$6:$EK$23,93)</f>
        <v>0</v>
      </c>
      <c r="H69" s="77">
        <f>VLOOKUP($B$2,ООУ!$A$6:$EK$23,94)</f>
        <v>0</v>
      </c>
      <c r="I69" s="77">
        <f>VLOOKUP($B$2,ООУ!$A$6:$EK$23,95)</f>
        <v>0</v>
      </c>
      <c r="J69" s="77">
        <f>VLOOKUP($B$2,ООУ!$A$6:$EK$23,96)</f>
        <v>0</v>
      </c>
      <c r="K69" s="77">
        <f>VLOOKUP($B$2,ООУ!$A$6:$EK$23,97)</f>
        <v>0</v>
      </c>
      <c r="L69" s="77">
        <f>VLOOKUP($B$2,ООУ!$A$6:$EK$23,98)</f>
        <v>0</v>
      </c>
      <c r="M69" s="77">
        <f>VLOOKUP($B$2,ООУ!$A$6:$EK$23,99)</f>
        <v>0</v>
      </c>
      <c r="N69" s="77">
        <f>VLOOKUP($B$2,ООУ!$A$6:$EK$23,100)</f>
        <v>0</v>
      </c>
      <c r="O69" s="78">
        <f t="shared" si="0"/>
        <v>0</v>
      </c>
    </row>
    <row r="70" spans="2:16" ht="28.15" customHeight="1" x14ac:dyDescent="0.2">
      <c r="B70" s="585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585"/>
      <c r="D70" s="585"/>
      <c r="E70" s="585"/>
      <c r="F70" s="585"/>
      <c r="G70" s="77">
        <f>VLOOKUP($B$2,ООУ!$A$6:$EK$23,103)</f>
        <v>0</v>
      </c>
      <c r="H70" s="77">
        <f>VLOOKUP($B$2,ООУ!$A$6:$EK$23,104)</f>
        <v>0</v>
      </c>
      <c r="I70" s="77">
        <f>VLOOKUP($B$2,ООУ!$A$6:$EK$23,105)</f>
        <v>0</v>
      </c>
      <c r="J70" s="77">
        <f>VLOOKUP($B$2,ООУ!$A$6:$EK$23,106)</f>
        <v>0</v>
      </c>
      <c r="K70" s="77">
        <f>VLOOKUP($B$2,ООУ!$A$6:$EK$23,107)</f>
        <v>66</v>
      </c>
      <c r="L70" s="77">
        <f>VLOOKUP($B$2,ООУ!$A$6:$EK$23,108)</f>
        <v>98</v>
      </c>
      <c r="M70" s="77">
        <f>VLOOKUP($B$2,ООУ!$A$6:$EK$23,109)</f>
        <v>0</v>
      </c>
      <c r="N70" s="77">
        <f>VLOOKUP($B$2,ООУ!$A$6:$EK$23,110)</f>
        <v>0</v>
      </c>
      <c r="O70" s="78">
        <f t="shared" si="0"/>
        <v>164</v>
      </c>
    </row>
    <row r="71" spans="2:16" ht="33" customHeight="1" x14ac:dyDescent="0.2">
      <c r="B71" s="585" t="str">
        <f>ООУ!DI2</f>
        <v>очно-заочное обучение в общеобразовательных учреждениях, расположенных в городской местности</v>
      </c>
      <c r="C71" s="585"/>
      <c r="D71" s="585"/>
      <c r="E71" s="585"/>
      <c r="F71" s="585"/>
      <c r="G71" s="77">
        <f>VLOOKUP($B$2,ООУ!$A$6:$EK$23,113)</f>
        <v>0</v>
      </c>
      <c r="H71" s="77">
        <f>VLOOKUP($B$2,ООУ!$A$6:$EK$23,114)</f>
        <v>0</v>
      </c>
      <c r="I71" s="77">
        <f>VLOOKUP($B$2,ООУ!$A$6:$EK$23,115)</f>
        <v>36</v>
      </c>
      <c r="J71" s="77">
        <f>VLOOKUP($B$2,ООУ!$A$6:$EK$23,116)</f>
        <v>0</v>
      </c>
      <c r="K71" s="77">
        <f>VLOOKUP($B$2,ООУ!$A$6:$EK$23,117)</f>
        <v>0</v>
      </c>
      <c r="L71" s="77">
        <f>VLOOKUP($B$2,ООУ!$A$6:$EK$23,118)</f>
        <v>0</v>
      </c>
      <c r="M71" s="77">
        <f>VLOOKUP($B$2,ООУ!$A$6:$EK$23,119)</f>
        <v>0</v>
      </c>
      <c r="N71" s="77">
        <f>VLOOKUP($B$2,ООУ!$A$6:$EK$23,120)</f>
        <v>0</v>
      </c>
      <c r="O71" s="78">
        <f t="shared" si="0"/>
        <v>36</v>
      </c>
    </row>
    <row r="72" spans="2:16" ht="27" customHeight="1" x14ac:dyDescent="0.2">
      <c r="B72" s="585" t="str">
        <f>ООУ!DS2</f>
        <v xml:space="preserve">очно-заочное обучение в общеобразовательных учреждениях, расположенных в сельской местности </v>
      </c>
      <c r="C72" s="585"/>
      <c r="D72" s="585"/>
      <c r="E72" s="585"/>
      <c r="F72" s="585"/>
      <c r="G72" s="77">
        <f>VLOOKUP($B$2,ООУ!$A$6:$EK$23,123)</f>
        <v>0</v>
      </c>
      <c r="H72" s="77">
        <f>VLOOKUP($B$2,ООУ!$A$6:$EK$23,124)</f>
        <v>0</v>
      </c>
      <c r="I72" s="77">
        <f>VLOOKUP($B$2,ООУ!$A$6:$EK$23,125)</f>
        <v>0</v>
      </c>
      <c r="J72" s="77">
        <f>VLOOKUP($B$2,ООУ!$A$6:$EK$23,126)</f>
        <v>0</v>
      </c>
      <c r="K72" s="77">
        <f>VLOOKUP($B$2,ООУ!$A$6:$EK$23,127)</f>
        <v>0</v>
      </c>
      <c r="L72" s="77">
        <f>VLOOKUP($B$2,ООУ!$A$6:$EK$23,128)</f>
        <v>0</v>
      </c>
      <c r="M72" s="77">
        <f>VLOOKUP($B$2,ООУ!$A$6:$EK$23,129)</f>
        <v>0</v>
      </c>
      <c r="N72" s="77">
        <f>VLOOKUP($B$2,ООУ!$A$6:$EK$23,130)</f>
        <v>0</v>
      </c>
      <c r="O72" s="78">
        <f t="shared" si="0"/>
        <v>0</v>
      </c>
    </row>
    <row r="73" spans="2:16" ht="27" customHeight="1" x14ac:dyDescent="0.2">
      <c r="B73" s="585" t="str">
        <f>ООУ!EC2</f>
        <v>Численность обучающихся - надомников</v>
      </c>
      <c r="C73" s="585"/>
      <c r="D73" s="585"/>
      <c r="E73" s="585"/>
      <c r="F73" s="585"/>
      <c r="G73" s="77">
        <f>VLOOKUP($B$2,ООУ!$A$6:$EK$23,133)</f>
        <v>0</v>
      </c>
      <c r="H73" s="77">
        <f>VLOOKUP($B$2,ООУ!$A$6:$EK$23,134)</f>
        <v>0</v>
      </c>
      <c r="I73" s="77">
        <f>VLOOKUP($B$2,ООУ!$A$6:$EK$23,135)</f>
        <v>0</v>
      </c>
      <c r="J73" s="77">
        <f>VLOOKUP($B$2,ООУ!$A$6:$EK$23,136)</f>
        <v>0</v>
      </c>
      <c r="K73" s="77">
        <f>VLOOKUP($B$2,ООУ!$A$6:$EK$23,137)</f>
        <v>9</v>
      </c>
      <c r="L73" s="77">
        <f>VLOOKUP($B$2,ООУ!$A$6:$EK$23,138)</f>
        <v>33</v>
      </c>
      <c r="M73" s="77">
        <f>VLOOKUP($B$2,ООУ!$A$6:$EK$23,139)</f>
        <v>0</v>
      </c>
      <c r="N73" s="77">
        <f>VLOOKUP($B$2,ООУ!$A$6:$EK$23,140)</f>
        <v>0</v>
      </c>
      <c r="O73" s="78">
        <f t="shared" si="0"/>
        <v>42</v>
      </c>
    </row>
    <row r="74" spans="2:16" ht="27" customHeight="1" x14ac:dyDescent="0.2">
      <c r="B74" s="585" t="str">
        <f>ООУ!EM2</f>
        <v>Семейное обучение</v>
      </c>
      <c r="C74" s="585" t="e">
        <f>VLOOKUP($B$2,#REF!,147)</f>
        <v>#REF!</v>
      </c>
      <c r="D74" s="585" t="e">
        <f>VLOOKUP($B$2,#REF!,148)</f>
        <v>#REF!</v>
      </c>
      <c r="E74" s="585" t="e">
        <f>VLOOKUP($B$2,#REF!,149)</f>
        <v>#REF!</v>
      </c>
      <c r="F74" s="585" t="e">
        <f>VLOOKUP($B$2,#REF!,150)</f>
        <v>#REF!</v>
      </c>
      <c r="G74" s="77">
        <f>VLOOKUP($B$2,ООУ!$A$6:$GC$23,143)</f>
        <v>0</v>
      </c>
      <c r="H74" s="77">
        <f>VLOOKUP($B$2,ООУ!$A$6:$GC$23,144)</f>
        <v>0</v>
      </c>
      <c r="I74" s="77">
        <f>VLOOKUP($B$2,ООУ!$A$6:$GC$23,145)</f>
        <v>0</v>
      </c>
      <c r="J74" s="77">
        <f>VLOOKUP($B$2,ООУ!$A$6:$GC$23,146)</f>
        <v>0</v>
      </c>
      <c r="K74" s="77">
        <f>VLOOKUP($B$2,ООУ!$A$6:$GC$23,147)</f>
        <v>0</v>
      </c>
      <c r="L74" s="77">
        <f>VLOOKUP($B$2,ООУ!$A$6:$GC$23,148)</f>
        <v>0</v>
      </c>
      <c r="M74" s="77">
        <f>VLOOKUP($B$2,ООУ!$A$6:$GC$23,149)</f>
        <v>0</v>
      </c>
      <c r="N74" s="77">
        <f>VLOOKUP($B$2,ООУ!$A$6:$GC$23,150)</f>
        <v>0</v>
      </c>
      <c r="O74" s="78">
        <f t="shared" si="0"/>
        <v>0</v>
      </c>
    </row>
    <row r="75" spans="2:16" ht="27" customHeight="1" x14ac:dyDescent="0.2">
      <c r="B75" s="585" t="str">
        <f>ООУ!FG2</f>
        <v>Кол-во обучающихся с ОВЗ</v>
      </c>
      <c r="C75" s="585" t="e">
        <f>VLOOKUP($B$2,#REF!,147)</f>
        <v>#REF!</v>
      </c>
      <c r="D75" s="585" t="e">
        <f>VLOOKUP($B$2,#REF!,148)</f>
        <v>#REF!</v>
      </c>
      <c r="E75" s="585" t="e">
        <f>VLOOKUP($B$2,#REF!,149)</f>
        <v>#REF!</v>
      </c>
      <c r="F75" s="585" t="e">
        <f>VLOOKUP($B$2,#REF!,150)</f>
        <v>#REF!</v>
      </c>
      <c r="G75" s="77">
        <f>VLOOKUP($B$2,ООУ!$A$6:$GC$23,163)</f>
        <v>0</v>
      </c>
      <c r="H75" s="77">
        <f>VLOOKUP($B$2,ООУ!$A$6:$GC$23,164)</f>
        <v>0</v>
      </c>
      <c r="I75" s="77">
        <f>VLOOKUP($B$2,ООУ!$A$6:$GC$23,165)</f>
        <v>0</v>
      </c>
      <c r="J75" s="77">
        <f>VLOOKUP($B$2,ООУ!$A$6:$GC$23,166)</f>
        <v>0</v>
      </c>
      <c r="K75" s="77">
        <f>VLOOKUP($B$2,ООУ!$A$6:$GC$23,167)</f>
        <v>53</v>
      </c>
      <c r="L75" s="77">
        <f>VLOOKUP($B$2,ООУ!$A$6:$GC$23,168)</f>
        <v>89</v>
      </c>
      <c r="M75" s="77">
        <f>VLOOKUP($B$2,ООУ!$A$6:$GC$23,169)</f>
        <v>0</v>
      </c>
      <c r="N75" s="77">
        <f>VLOOKUP($B$2,ООУ!$A$6:$GC$23,170)</f>
        <v>0</v>
      </c>
      <c r="O75" s="78">
        <f t="shared" si="0"/>
        <v>142</v>
      </c>
    </row>
    <row r="76" spans="2:16" s="36" customFormat="1" ht="16.149999999999999" customHeight="1" x14ac:dyDescent="0.2">
      <c r="B76" s="568" t="s">
        <v>150</v>
      </c>
      <c r="C76" s="568"/>
      <c r="D76" s="568"/>
      <c r="E76" s="568"/>
      <c r="F76" s="568"/>
      <c r="G76" s="65">
        <f t="shared" ref="G76:O76" si="1">SUM(G60:G75)</f>
        <v>0</v>
      </c>
      <c r="H76" s="65">
        <f t="shared" si="1"/>
        <v>0</v>
      </c>
      <c r="I76" s="65">
        <f t="shared" si="1"/>
        <v>36</v>
      </c>
      <c r="J76" s="65">
        <f t="shared" si="1"/>
        <v>59</v>
      </c>
      <c r="K76" s="65">
        <f t="shared" si="1"/>
        <v>1825</v>
      </c>
      <c r="L76" s="65">
        <f t="shared" si="1"/>
        <v>2305</v>
      </c>
      <c r="M76" s="65">
        <f t="shared" si="1"/>
        <v>0</v>
      </c>
      <c r="N76" s="65">
        <f t="shared" si="1"/>
        <v>232</v>
      </c>
      <c r="O76" s="65">
        <f t="shared" si="1"/>
        <v>4457</v>
      </c>
      <c r="P76" s="62"/>
    </row>
    <row r="77" spans="2:16" ht="12" customHeight="1" x14ac:dyDescent="0.2">
      <c r="B77" s="567" t="s">
        <v>227</v>
      </c>
      <c r="C77" s="567"/>
      <c r="D77" s="567"/>
      <c r="E77" s="567"/>
      <c r="F77" s="567"/>
      <c r="G77" s="567"/>
      <c r="H77" s="567"/>
      <c r="I77" s="567"/>
      <c r="J77" s="567"/>
      <c r="K77" s="567"/>
      <c r="L77" s="567"/>
      <c r="M77" s="567"/>
      <c r="N77" s="567"/>
      <c r="O77" s="91">
        <f>VLOOKUP($B$2,ООУ!$A$6:$GC$23,185)/1000</f>
        <v>0.29099999999999998</v>
      </c>
    </row>
    <row r="78" spans="2:16" x14ac:dyDescent="0.2">
      <c r="B78" s="569" t="s">
        <v>51</v>
      </c>
      <c r="C78" s="569"/>
      <c r="D78" s="570" t="s">
        <v>151</v>
      </c>
      <c r="E78" s="570"/>
      <c r="F78" s="570"/>
      <c r="G78" s="570"/>
      <c r="H78" s="570"/>
      <c r="I78" s="570"/>
      <c r="J78" s="570"/>
      <c r="K78" s="570"/>
      <c r="L78" s="570"/>
      <c r="M78" s="570"/>
      <c r="N78" s="570"/>
      <c r="O78" s="570"/>
    </row>
    <row r="79" spans="2:16" x14ac:dyDescent="0.2">
      <c r="B79" s="571" t="s">
        <v>152</v>
      </c>
      <c r="C79" s="571"/>
      <c r="D79" s="571"/>
      <c r="E79" s="571"/>
      <c r="F79" s="571"/>
      <c r="G79" s="571"/>
      <c r="H79" s="571"/>
      <c r="I79" s="571"/>
      <c r="J79" s="571"/>
      <c r="K79" s="571"/>
      <c r="L79" s="571"/>
      <c r="M79" s="571"/>
      <c r="N79" s="571"/>
      <c r="O79" s="53">
        <f>VLOOKUP($B$2,'Классное руководство'!$A$2:$D$24,3)</f>
        <v>194</v>
      </c>
    </row>
    <row r="80" spans="2:16" ht="30" customHeight="1" x14ac:dyDescent="0.2">
      <c r="B80" s="572" t="s">
        <v>231</v>
      </c>
      <c r="C80" s="572"/>
      <c r="D80" s="572"/>
      <c r="E80" s="572"/>
      <c r="F80" s="572"/>
      <c r="G80" s="572"/>
      <c r="H80" s="572"/>
      <c r="I80" s="572"/>
      <c r="J80" s="572"/>
      <c r="K80" s="572"/>
      <c r="L80" s="572"/>
      <c r="M80" s="572"/>
      <c r="N80" s="572"/>
      <c r="O80" s="52">
        <f>VLOOKUP($B$2,'Классное руководство'!$A$2:$D$24,4)</f>
        <v>5425</v>
      </c>
    </row>
    <row r="81" spans="1:16" s="36" customFormat="1" ht="30" customHeight="1" x14ac:dyDescent="0.2">
      <c r="A81" s="80"/>
      <c r="B81" s="49" t="s">
        <v>104</v>
      </c>
      <c r="C81" s="49" t="s">
        <v>219</v>
      </c>
      <c r="D81" s="573" t="s">
        <v>153</v>
      </c>
      <c r="E81" s="574"/>
      <c r="F81" s="574"/>
      <c r="G81" s="574"/>
      <c r="H81" s="574"/>
      <c r="I81" s="574"/>
      <c r="J81" s="574"/>
      <c r="K81" s="574"/>
      <c r="L81" s="574"/>
      <c r="M81" s="574"/>
      <c r="N81" s="574"/>
      <c r="O81" s="575"/>
      <c r="P81" s="62"/>
    </row>
    <row r="82" spans="1:16" ht="12" customHeight="1" x14ac:dyDescent="0.2">
      <c r="B82" s="576" t="s">
        <v>154</v>
      </c>
      <c r="C82" s="576"/>
      <c r="D82" s="576"/>
      <c r="E82" s="576"/>
      <c r="F82" s="576"/>
      <c r="G82" s="576"/>
      <c r="H82" s="576"/>
      <c r="I82" s="576"/>
      <c r="J82" s="576"/>
      <c r="K82" s="576"/>
      <c r="L82" s="576"/>
      <c r="M82" s="576"/>
      <c r="N82" s="576"/>
      <c r="O82" s="576"/>
    </row>
    <row r="83" spans="1:16" ht="60" customHeight="1" x14ac:dyDescent="0.2">
      <c r="B83" s="577" t="s">
        <v>74</v>
      </c>
      <c r="C83" s="577" t="s">
        <v>155</v>
      </c>
      <c r="D83" s="577" t="s">
        <v>156</v>
      </c>
      <c r="E83" s="577" t="s">
        <v>157</v>
      </c>
      <c r="F83" s="577" t="s">
        <v>79</v>
      </c>
      <c r="G83" s="579" t="s">
        <v>220</v>
      </c>
      <c r="H83" s="565"/>
      <c r="I83" s="580" t="s">
        <v>82</v>
      </c>
      <c r="J83" s="581"/>
      <c r="K83" s="582"/>
      <c r="L83" s="579" t="s">
        <v>84</v>
      </c>
      <c r="M83" s="583"/>
      <c r="N83" s="584"/>
      <c r="O83" s="94" t="s">
        <v>158</v>
      </c>
    </row>
    <row r="84" spans="1:16" ht="56.25" x14ac:dyDescent="0.2">
      <c r="B84" s="578"/>
      <c r="C84" s="578"/>
      <c r="D84" s="578"/>
      <c r="E84" s="578"/>
      <c r="F84" s="578"/>
      <c r="G84" s="74" t="s">
        <v>221</v>
      </c>
      <c r="H84" s="74" t="s">
        <v>222</v>
      </c>
      <c r="I84" s="524"/>
      <c r="J84" s="525"/>
      <c r="K84" s="526"/>
      <c r="L84" s="74" t="s">
        <v>93</v>
      </c>
      <c r="M84" s="95" t="s">
        <v>94</v>
      </c>
      <c r="N84" s="95" t="s">
        <v>95</v>
      </c>
      <c r="O84" s="94"/>
    </row>
    <row r="85" spans="1:16" ht="12" customHeight="1" x14ac:dyDescent="0.2">
      <c r="B85" s="76" t="e">
        <f>VLOOKUP($B$2,#REF!,4)</f>
        <v>#REF!</v>
      </c>
      <c r="C85" s="76" t="e">
        <f>VLOOKUP($B$2,#REF!,6)</f>
        <v>#REF!</v>
      </c>
      <c r="D85" s="76" t="e">
        <f>VLOOKUP($B$2,#REF!,8)</f>
        <v>#REF!</v>
      </c>
      <c r="E85" s="76" t="e">
        <f>VLOOKUP($B$2,#REF!,7)</f>
        <v>#REF!</v>
      </c>
      <c r="F85" s="76" t="e">
        <f>VLOOKUP($B$2,#REF!,9)</f>
        <v>#REF!</v>
      </c>
      <c r="G85" s="76" t="e">
        <f>VLOOKUP($B$2,#REF!,10)</f>
        <v>#REF!</v>
      </c>
      <c r="H85" s="76" t="e">
        <f>VLOOKUP($B$2,#REF!,11)</f>
        <v>#REF!</v>
      </c>
      <c r="I85" s="563" t="e">
        <f>VLOOKUP($B$2,#REF!,12)</f>
        <v>#REF!</v>
      </c>
      <c r="J85" s="564"/>
      <c r="K85" s="565"/>
      <c r="L85" s="76" t="e">
        <f>VLOOKUP($B$2,#REF!,14)</f>
        <v>#REF!</v>
      </c>
      <c r="M85" s="76" t="e">
        <f>VLOOKUP($B$2,#REF!,15)</f>
        <v>#REF!</v>
      </c>
      <c r="N85" s="76" t="e">
        <f>VLOOKUP($B$2,#REF!,16)</f>
        <v>#REF!</v>
      </c>
      <c r="O85" s="76" t="e">
        <f>B85+C85+D85+E85+F85+G85+H85+I85++L85+N85</f>
        <v>#REF!</v>
      </c>
    </row>
    <row r="86" spans="1:16" ht="12" customHeight="1" x14ac:dyDescent="0.2">
      <c r="B86" s="566" t="s">
        <v>97</v>
      </c>
      <c r="C86" s="566"/>
      <c r="D86" s="566"/>
      <c r="E86" s="566"/>
      <c r="F86" s="566"/>
      <c r="G86" s="566"/>
      <c r="H86" s="566"/>
      <c r="I86" s="566"/>
      <c r="J86" s="566"/>
      <c r="K86" s="566"/>
      <c r="L86" s="566"/>
      <c r="M86" s="566"/>
      <c r="N86" s="566"/>
      <c r="O86" s="96" t="e">
        <f>#REF!</f>
        <v>#REF!</v>
      </c>
    </row>
    <row r="87" spans="1:16" ht="12" customHeight="1" x14ac:dyDescent="0.2">
      <c r="B87" s="566" t="s">
        <v>251</v>
      </c>
      <c r="C87" s="566"/>
      <c r="D87" s="566"/>
      <c r="E87" s="566"/>
      <c r="F87" s="566"/>
      <c r="G87" s="566"/>
      <c r="H87" s="566"/>
      <c r="I87" s="566"/>
      <c r="J87" s="566"/>
      <c r="K87" s="566"/>
      <c r="L87" s="566"/>
      <c r="M87" s="566"/>
      <c r="N87" s="566"/>
      <c r="O87" s="96" t="e">
        <f>#REF!</f>
        <v>#REF!</v>
      </c>
    </row>
    <row r="88" spans="1:16" ht="12" customHeight="1" x14ac:dyDescent="0.2">
      <c r="B88" s="566" t="s">
        <v>159</v>
      </c>
      <c r="C88" s="566"/>
      <c r="D88" s="566"/>
      <c r="E88" s="566"/>
      <c r="F88" s="566"/>
      <c r="G88" s="566"/>
      <c r="H88" s="566"/>
      <c r="I88" s="566"/>
      <c r="J88" s="566"/>
      <c r="K88" s="566"/>
      <c r="L88" s="566"/>
      <c r="M88" s="566"/>
      <c r="N88" s="566"/>
      <c r="O88" s="96" t="e">
        <f>#REF!+#REF!</f>
        <v>#REF!</v>
      </c>
    </row>
    <row r="89" spans="1:16" ht="12" customHeight="1" x14ac:dyDescent="0.2">
      <c r="B89" s="566" t="s">
        <v>99</v>
      </c>
      <c r="C89" s="566"/>
      <c r="D89" s="566"/>
      <c r="E89" s="566"/>
      <c r="F89" s="566"/>
      <c r="G89" s="566"/>
      <c r="H89" s="566"/>
      <c r="I89" s="566"/>
      <c r="J89" s="566"/>
      <c r="K89" s="566"/>
      <c r="L89" s="566"/>
      <c r="M89" s="566"/>
      <c r="N89" s="566"/>
      <c r="O89" s="76" t="e">
        <f>#REF!</f>
        <v>#REF!</v>
      </c>
    </row>
    <row r="90" spans="1:16" x14ac:dyDescent="0.2">
      <c r="B90" s="567" t="s">
        <v>227</v>
      </c>
      <c r="C90" s="567"/>
      <c r="D90" s="567"/>
      <c r="E90" s="567"/>
      <c r="F90" s="567"/>
      <c r="G90" s="567"/>
      <c r="H90" s="567"/>
      <c r="I90" s="567"/>
      <c r="J90" s="567"/>
      <c r="K90" s="567"/>
      <c r="L90" s="567"/>
      <c r="M90" s="567"/>
      <c r="N90" s="567"/>
      <c r="O90" s="57" t="e">
        <f>VLOOKUP($B$2,#REF!,65)</f>
        <v>#REF!</v>
      </c>
    </row>
    <row r="91" spans="1:16" x14ac:dyDescent="0.2"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8"/>
    </row>
    <row r="92" spans="1:16" x14ac:dyDescent="0.2"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8"/>
    </row>
    <row r="94" spans="1:16" x14ac:dyDescent="0.2">
      <c r="B94" s="35" t="s">
        <v>235</v>
      </c>
      <c r="O94" s="35"/>
    </row>
    <row r="95" spans="1:16" x14ac:dyDescent="0.2">
      <c r="B95" s="35" t="s">
        <v>236</v>
      </c>
      <c r="N95" s="47" t="s">
        <v>241</v>
      </c>
      <c r="O95" s="35"/>
    </row>
    <row r="96" spans="1:16" x14ac:dyDescent="0.2">
      <c r="O96" s="35"/>
    </row>
    <row r="97" spans="2:15" x14ac:dyDescent="0.2">
      <c r="B97" s="35" t="s">
        <v>235</v>
      </c>
      <c r="O97" s="35"/>
    </row>
    <row r="98" spans="2:15" x14ac:dyDescent="0.2">
      <c r="B98" s="35" t="s">
        <v>237</v>
      </c>
      <c r="O98" s="35"/>
    </row>
    <row r="99" spans="2:15" x14ac:dyDescent="0.2">
      <c r="B99" s="47" t="s">
        <v>238</v>
      </c>
      <c r="N99" s="35" t="s">
        <v>242</v>
      </c>
      <c r="O99" s="35"/>
    </row>
    <row r="100" spans="2:15" x14ac:dyDescent="0.2">
      <c r="O100" s="35"/>
    </row>
    <row r="101" spans="2:15" x14ac:dyDescent="0.2">
      <c r="B101" s="35" t="s">
        <v>239</v>
      </c>
      <c r="O101" s="35"/>
    </row>
    <row r="102" spans="2:15" x14ac:dyDescent="0.2">
      <c r="B102" s="35" t="s">
        <v>240</v>
      </c>
      <c r="O102" s="35"/>
    </row>
    <row r="103" spans="2:15" x14ac:dyDescent="0.2">
      <c r="B103" s="35" t="s">
        <v>160</v>
      </c>
      <c r="N103" s="47" t="s">
        <v>243</v>
      </c>
    </row>
  </sheetData>
  <sheetProtection selectLockedCells="1" selectUnlockedCells="1"/>
  <mergeCells count="107">
    <mergeCell ref="B1:O1"/>
    <mergeCell ref="C2:O2"/>
    <mergeCell ref="D3:O3"/>
    <mergeCell ref="B4:N4"/>
    <mergeCell ref="B5:N5"/>
    <mergeCell ref="D6:O6"/>
    <mergeCell ref="B7:N7"/>
    <mergeCell ref="B8:N8"/>
    <mergeCell ref="D9:O9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63" bestFit="1" customWidth="1"/>
    <col min="2" max="2" width="17.5703125" style="266" bestFit="1" customWidth="1"/>
    <col min="3" max="3" width="8" style="266" bestFit="1" customWidth="1"/>
    <col min="4" max="4" width="9.7109375" style="266" bestFit="1" customWidth="1"/>
    <col min="5" max="5" width="5.7109375" style="265" bestFit="1" customWidth="1"/>
    <col min="6" max="6" width="12.28515625" style="265" bestFit="1" customWidth="1"/>
    <col min="7" max="7" width="5.7109375" style="265" bestFit="1" customWidth="1"/>
    <col min="8" max="8" width="11.140625" style="265" bestFit="1" customWidth="1"/>
    <col min="9" max="9" width="7.28515625" style="265" bestFit="1" customWidth="1"/>
    <col min="10" max="10" width="13.28515625" style="265" bestFit="1" customWidth="1"/>
    <col min="11" max="11" width="7.28515625" style="265" bestFit="1" customWidth="1"/>
    <col min="12" max="12" width="13.28515625" style="265" bestFit="1" customWidth="1"/>
    <col min="13" max="13" width="8.28515625" style="265" bestFit="1" customWidth="1"/>
    <col min="14" max="14" width="15" style="265" bestFit="1" customWidth="1"/>
    <col min="15" max="15" width="8.28515625" style="265" bestFit="1" customWidth="1"/>
    <col min="16" max="16" width="15" style="265" bestFit="1" customWidth="1"/>
    <col min="17" max="17" width="5.28515625" style="265" bestFit="1" customWidth="1"/>
    <col min="18" max="18" width="9.42578125" style="265" bestFit="1" customWidth="1"/>
    <col min="19" max="19" width="5.28515625" style="265" bestFit="1" customWidth="1"/>
    <col min="20" max="20" width="9.42578125" style="265" bestFit="1" customWidth="1"/>
    <col min="21" max="21" width="5.28515625" style="265" bestFit="1" customWidth="1"/>
    <col min="22" max="22" width="11.140625" style="265" bestFit="1" customWidth="1"/>
    <col min="23" max="23" width="5.7109375" style="265" bestFit="1" customWidth="1"/>
    <col min="24" max="24" width="12.28515625" style="265" bestFit="1" customWidth="1"/>
    <col min="25" max="25" width="6.7109375" style="265" bestFit="1" customWidth="1"/>
    <col min="26" max="26" width="9.7109375" style="265" bestFit="1" customWidth="1"/>
    <col min="27" max="27" width="5.28515625" style="265" bestFit="1" customWidth="1"/>
    <col min="28" max="28" width="6.42578125" style="265" bestFit="1" customWidth="1"/>
    <col min="29" max="29" width="5.28515625" style="265" bestFit="1" customWidth="1"/>
    <col min="30" max="30" width="11.140625" style="265" bestFit="1" customWidth="1"/>
    <col min="31" max="31" width="5.28515625" style="265" bestFit="1" customWidth="1"/>
    <col min="32" max="32" width="6.42578125" style="265" bestFit="1" customWidth="1"/>
    <col min="33" max="33" width="7.28515625" style="265" bestFit="1" customWidth="1"/>
    <col min="34" max="34" width="15" style="265" bestFit="1" customWidth="1"/>
    <col min="35" max="35" width="5.28515625" style="265" bestFit="1" customWidth="1"/>
    <col min="36" max="36" width="11.140625" style="265" bestFit="1" customWidth="1"/>
    <col min="37" max="37" width="7.28515625" style="265" bestFit="1" customWidth="1"/>
    <col min="38" max="38" width="15" style="265" bestFit="1" customWidth="1"/>
    <col min="39" max="39" width="5.28515625" style="265" bestFit="1" customWidth="1"/>
    <col min="40" max="40" width="6.42578125" style="265" bestFit="1" customWidth="1"/>
    <col min="41" max="41" width="5.28515625" style="265" bestFit="1" customWidth="1"/>
    <col min="42" max="42" width="6.42578125" style="265" bestFit="1" customWidth="1"/>
    <col min="43" max="43" width="5.28515625" style="265" bestFit="1" customWidth="1"/>
    <col min="44" max="44" width="6.42578125" style="265" bestFit="1" customWidth="1"/>
    <col min="45" max="45" width="5.28515625" style="265" bestFit="1" customWidth="1"/>
    <col min="46" max="46" width="12.28515625" style="265" bestFit="1" customWidth="1"/>
    <col min="47" max="47" width="6.7109375" style="265" bestFit="1" customWidth="1"/>
    <col min="48" max="48" width="9.7109375" style="265" bestFit="1" customWidth="1"/>
    <col min="49" max="49" width="5.28515625" style="265" bestFit="1" customWidth="1"/>
    <col min="50" max="50" width="6.42578125" style="265" bestFit="1" customWidth="1"/>
    <col min="51" max="51" width="5.28515625" style="265" bestFit="1" customWidth="1"/>
    <col min="52" max="52" width="6.42578125" style="265" bestFit="1" customWidth="1"/>
    <col min="53" max="53" width="5.28515625" style="265" bestFit="1" customWidth="1"/>
    <col min="54" max="54" width="6.42578125" style="265" bestFit="1" customWidth="1"/>
    <col min="55" max="55" width="5.28515625" style="265" bestFit="1" customWidth="1"/>
    <col min="56" max="56" width="11.140625" style="265" bestFit="1" customWidth="1"/>
    <col min="57" max="57" width="5.28515625" style="265" bestFit="1" customWidth="1"/>
    <col min="58" max="58" width="6.42578125" style="265" bestFit="1" customWidth="1"/>
    <col min="59" max="59" width="5.7109375" style="265" bestFit="1" customWidth="1"/>
    <col min="60" max="60" width="12.28515625" style="265" bestFit="1" customWidth="1"/>
    <col min="61" max="61" width="5.28515625" style="265" bestFit="1" customWidth="1"/>
    <col min="62" max="62" width="6.42578125" style="265" bestFit="1" customWidth="1"/>
    <col min="63" max="63" width="5.28515625" style="265" bestFit="1" customWidth="1"/>
    <col min="64" max="64" width="6.42578125" style="265" bestFit="1" customWidth="1"/>
    <col min="65" max="65" width="5.28515625" style="265" bestFit="1" customWidth="1"/>
    <col min="66" max="66" width="6.42578125" style="265" bestFit="1" customWidth="1"/>
    <col min="67" max="67" width="5.28515625" style="265" bestFit="1" customWidth="1"/>
    <col min="68" max="68" width="6.42578125" style="265" bestFit="1" customWidth="1"/>
    <col min="69" max="69" width="5.7109375" style="265" bestFit="1" customWidth="1"/>
    <col min="70" max="70" width="12.28515625" style="265" bestFit="1" customWidth="1"/>
    <col min="71" max="71" width="5.7109375" style="265" bestFit="1" customWidth="1"/>
    <col min="72" max="72" width="11.140625" style="265" bestFit="1" customWidth="1"/>
    <col min="73" max="73" width="7.28515625" style="265" bestFit="1" customWidth="1"/>
    <col min="74" max="74" width="13.28515625" style="265" bestFit="1" customWidth="1"/>
    <col min="75" max="75" width="7.28515625" style="265" bestFit="1" customWidth="1"/>
    <col min="76" max="76" width="15" style="265" bestFit="1" customWidth="1"/>
    <col min="77" max="77" width="8.28515625" style="265" bestFit="1" customWidth="1"/>
    <col min="78" max="78" width="15" style="265" bestFit="1" customWidth="1"/>
    <col min="79" max="79" width="8.28515625" style="265" bestFit="1" customWidth="1"/>
    <col min="80" max="80" width="15" style="265" bestFit="1" customWidth="1"/>
    <col min="81" max="81" width="5.28515625" style="265" bestFit="1" customWidth="1"/>
    <col min="82" max="82" width="9.42578125" style="265" bestFit="1" customWidth="1"/>
    <col min="83" max="83" width="5.28515625" style="265" bestFit="1" customWidth="1"/>
    <col min="84" max="84" width="9.42578125" style="265" bestFit="1" customWidth="1"/>
    <col min="85" max="85" width="5.28515625" style="265" bestFit="1" customWidth="1"/>
    <col min="86" max="86" width="11.140625" style="265" bestFit="1" customWidth="1"/>
    <col min="87" max="87" width="5.7109375" style="265" bestFit="1" customWidth="1"/>
    <col min="88" max="88" width="12.28515625" style="265" bestFit="1" customWidth="1"/>
    <col min="89" max="89" width="8.28515625" style="265" bestFit="1" customWidth="1"/>
    <col min="90" max="90" width="15" style="265" bestFit="1" customWidth="1"/>
    <col min="91" max="91" width="8.28515625" style="265" bestFit="1" customWidth="1"/>
    <col min="92" max="92" width="15" style="265" bestFit="1" customWidth="1"/>
    <col min="93" max="93" width="8.28515625" style="265" bestFit="1" customWidth="1"/>
    <col min="94" max="94" width="16.140625" style="265" bestFit="1" customWidth="1"/>
    <col min="95" max="95" width="15.28515625" style="265" bestFit="1" customWidth="1"/>
    <col min="96" max="96" width="15.28515625" style="265" customWidth="1"/>
    <col min="97" max="97" width="12.42578125" style="265" bestFit="1" customWidth="1"/>
    <col min="98" max="98" width="12.42578125" style="265" hidden="1" customWidth="1"/>
    <col min="99" max="99" width="16.42578125" style="265" hidden="1" customWidth="1"/>
    <col min="100" max="100" width="12.42578125" style="265" hidden="1" customWidth="1"/>
    <col min="101" max="102" width="14.7109375" style="265" hidden="1" customWidth="1"/>
    <col min="103" max="103" width="16.42578125" style="265" hidden="1" customWidth="1"/>
    <col min="104" max="104" width="8.28515625" style="265" hidden="1" customWidth="1"/>
    <col min="105" max="105" width="15.28515625" style="265" bestFit="1" customWidth="1"/>
    <col min="106" max="106" width="16.140625" style="265" bestFit="1" customWidth="1"/>
    <col min="107" max="107" width="8.28515625" style="265" bestFit="1" customWidth="1"/>
    <col min="108" max="110" width="12.42578125" style="265" bestFit="1" customWidth="1"/>
    <col min="111" max="112" width="8.85546875" style="265"/>
    <col min="113" max="113" width="16.140625" style="265" bestFit="1" customWidth="1"/>
    <col min="114" max="114" width="12.5703125" style="265" customWidth="1"/>
    <col min="115" max="115" width="8.85546875" style="265"/>
    <col min="116" max="116" width="9.7109375" style="265" bestFit="1" customWidth="1"/>
    <col min="117" max="117" width="8.85546875" style="265"/>
    <col min="118" max="120" width="16.42578125" style="265" bestFit="1" customWidth="1"/>
    <col min="121" max="121" width="8.85546875" style="265"/>
    <col min="122" max="124" width="12.42578125" style="265" bestFit="1" customWidth="1"/>
    <col min="125" max="210" width="8.85546875" style="265"/>
    <col min="211" max="211" width="4.7109375" style="265" customWidth="1"/>
    <col min="212" max="214" width="16" style="265" customWidth="1"/>
    <col min="215" max="215" width="9.42578125" style="265" customWidth="1"/>
    <col min="216" max="216" width="10.28515625" style="265" customWidth="1"/>
    <col min="217" max="217" width="7.85546875" style="265" customWidth="1"/>
    <col min="218" max="218" width="9.7109375" style="265" customWidth="1"/>
    <col min="219" max="219" width="6" style="265" customWidth="1"/>
    <col min="220" max="220" width="10.7109375" style="265" customWidth="1"/>
    <col min="221" max="221" width="8.28515625" style="265" customWidth="1"/>
    <col min="222" max="222" width="12.28515625" style="265" customWidth="1"/>
    <col min="223" max="223" width="6" style="265" customWidth="1"/>
    <col min="224" max="224" width="10.7109375" style="265" customWidth="1"/>
    <col min="225" max="225" width="6.85546875" style="265" customWidth="1"/>
    <col min="226" max="226" width="12" style="265" customWidth="1"/>
    <col min="227" max="227" width="5.140625" style="265" customWidth="1"/>
    <col min="228" max="228" width="9" style="265" customWidth="1"/>
    <col min="229" max="229" width="5.140625" style="265" customWidth="1"/>
    <col min="230" max="230" width="9.85546875" style="265" customWidth="1"/>
    <col min="231" max="231" width="5.140625" style="265" customWidth="1"/>
    <col min="232" max="232" width="9" style="265" customWidth="1"/>
    <col min="233" max="233" width="5.140625" style="265" customWidth="1"/>
    <col min="234" max="236" width="9.85546875" style="265" customWidth="1"/>
    <col min="237" max="237" width="7.140625" style="265" customWidth="1"/>
    <col min="238" max="238" width="10.28515625" style="265" customWidth="1"/>
    <col min="239" max="239" width="6.42578125" style="265" customWidth="1"/>
    <col min="240" max="240" width="9.7109375" style="265" customWidth="1"/>
    <col min="241" max="241" width="6.28515625" style="265" customWidth="1"/>
    <col min="242" max="242" width="9" style="265" customWidth="1"/>
    <col min="243" max="243" width="8" style="265" customWidth="1"/>
    <col min="244" max="244" width="12.85546875" style="265" customWidth="1"/>
    <col min="245" max="245" width="5.140625" style="265" customWidth="1"/>
    <col min="246" max="246" width="9.85546875" style="265" customWidth="1"/>
    <col min="247" max="247" width="6.7109375" style="265" customWidth="1"/>
    <col min="248" max="248" width="12.42578125" style="265" customWidth="1"/>
    <col min="249" max="249" width="5.140625" style="265" customWidth="1"/>
    <col min="250" max="250" width="9" style="265" customWidth="1"/>
    <col min="251" max="251" width="5.140625" style="265" customWidth="1"/>
    <col min="252" max="252" width="9.85546875" style="265" customWidth="1"/>
    <col min="253" max="253" width="5.140625" style="265" customWidth="1"/>
    <col min="254" max="254" width="6.85546875" style="265" customWidth="1"/>
    <col min="255" max="255" width="5.140625" style="265" customWidth="1"/>
    <col min="256" max="256" width="10.5703125" style="265" customWidth="1"/>
    <col min="257" max="258" width="9" style="265" customWidth="1"/>
    <col min="259" max="259" width="7.140625" style="265" customWidth="1"/>
    <col min="260" max="260" width="10.28515625" style="265" customWidth="1"/>
    <col min="261" max="261" width="6.42578125" style="265" customWidth="1"/>
    <col min="262" max="262" width="9.7109375" style="265" customWidth="1"/>
    <col min="263" max="263" width="6.28515625" style="265" customWidth="1"/>
    <col min="264" max="264" width="9" style="265" customWidth="1"/>
    <col min="265" max="265" width="5.140625" style="265" customWidth="1"/>
    <col min="266" max="266" width="9.85546875" style="265" customWidth="1"/>
    <col min="267" max="267" width="5.140625" style="265" customWidth="1"/>
    <col min="268" max="268" width="9.85546875" style="265" customWidth="1"/>
    <col min="269" max="269" width="5.140625" style="265" customWidth="1"/>
    <col min="270" max="270" width="9.85546875" style="265" customWidth="1"/>
    <col min="271" max="271" width="5.140625" style="265" customWidth="1"/>
    <col min="272" max="272" width="9" style="265" customWidth="1"/>
    <col min="273" max="273" width="5.140625" style="265" customWidth="1"/>
    <col min="274" max="274" width="9.85546875" style="265" customWidth="1"/>
    <col min="275" max="275" width="5.140625" style="265" customWidth="1"/>
    <col min="276" max="276" width="6.85546875" style="265" customWidth="1"/>
    <col min="277" max="277" width="5.140625" style="265" customWidth="1"/>
    <col min="278" max="278" width="9" style="265" customWidth="1"/>
    <col min="279" max="279" width="7.140625" style="265" customWidth="1"/>
    <col min="280" max="280" width="10.28515625" style="265" customWidth="1"/>
    <col min="281" max="281" width="6.42578125" style="265" customWidth="1"/>
    <col min="282" max="282" width="9.7109375" style="265" customWidth="1"/>
    <col min="283" max="283" width="6.28515625" style="265" customWidth="1"/>
    <col min="284" max="284" width="13" style="265" customWidth="1"/>
    <col min="285" max="285" width="6.85546875" style="265" customWidth="1"/>
    <col min="286" max="286" width="12.28515625" style="265" customWidth="1"/>
    <col min="287" max="287" width="7.7109375" style="265" customWidth="1"/>
    <col min="288" max="288" width="10.42578125" style="265" customWidth="1"/>
    <col min="289" max="289" width="11.28515625" style="265" customWidth="1"/>
    <col min="290" max="290" width="12.28515625" style="265" customWidth="1"/>
    <col min="291" max="291" width="5.140625" style="265" customWidth="1"/>
    <col min="292" max="292" width="9" style="265" customWidth="1"/>
    <col min="293" max="293" width="5.140625" style="265" customWidth="1"/>
    <col min="294" max="294" width="9.85546875" style="265" customWidth="1"/>
    <col min="295" max="295" width="5.140625" style="265" customWidth="1"/>
    <col min="296" max="296" width="6.85546875" style="265" customWidth="1"/>
    <col min="297" max="297" width="5.140625" style="265" customWidth="1"/>
    <col min="298" max="298" width="10.7109375" style="265" customWidth="1"/>
    <col min="299" max="299" width="6.85546875" style="265" customWidth="1"/>
    <col min="300" max="300" width="12" style="265" customWidth="1"/>
    <col min="301" max="301" width="0" style="265" hidden="1" customWidth="1"/>
    <col min="302" max="302" width="8.42578125" style="265" customWidth="1"/>
    <col min="303" max="303" width="12" style="265" customWidth="1"/>
    <col min="304" max="304" width="8.28515625" style="265" customWidth="1"/>
    <col min="305" max="305" width="15.28515625" style="265" customWidth="1"/>
    <col min="306" max="306" width="13.5703125" style="265" customWidth="1"/>
    <col min="307" max="308" width="0" style="265" hidden="1" customWidth="1"/>
    <col min="309" max="310" width="15.7109375" style="265" customWidth="1"/>
    <col min="311" max="311" width="17.28515625" style="265" customWidth="1"/>
    <col min="312" max="312" width="0" style="265" hidden="1" customWidth="1"/>
    <col min="313" max="313" width="18.28515625" style="265" customWidth="1"/>
    <col min="314" max="314" width="17.42578125" style="265" customWidth="1"/>
    <col min="315" max="315" width="10.7109375" style="265" bestFit="1" customWidth="1"/>
    <col min="316" max="316" width="11" style="265" bestFit="1" customWidth="1"/>
    <col min="317" max="466" width="8.85546875" style="265"/>
    <col min="467" max="467" width="4.7109375" style="265" customWidth="1"/>
    <col min="468" max="470" width="16" style="265" customWidth="1"/>
    <col min="471" max="471" width="9.42578125" style="265" customWidth="1"/>
    <col min="472" max="472" width="10.28515625" style="265" customWidth="1"/>
    <col min="473" max="473" width="7.85546875" style="265" customWidth="1"/>
    <col min="474" max="474" width="9.7109375" style="265" customWidth="1"/>
    <col min="475" max="475" width="6" style="265" customWidth="1"/>
    <col min="476" max="476" width="10.7109375" style="265" customWidth="1"/>
    <col min="477" max="477" width="8.28515625" style="265" customWidth="1"/>
    <col min="478" max="478" width="12.28515625" style="265" customWidth="1"/>
    <col min="479" max="479" width="6" style="265" customWidth="1"/>
    <col min="480" max="480" width="10.7109375" style="265" customWidth="1"/>
    <col min="481" max="481" width="6.85546875" style="265" customWidth="1"/>
    <col min="482" max="482" width="12" style="265" customWidth="1"/>
    <col min="483" max="483" width="5.140625" style="265" customWidth="1"/>
    <col min="484" max="484" width="9" style="265" customWidth="1"/>
    <col min="485" max="485" width="5.140625" style="265" customWidth="1"/>
    <col min="486" max="486" width="9.85546875" style="265" customWidth="1"/>
    <col min="487" max="487" width="5.140625" style="265" customWidth="1"/>
    <col min="488" max="488" width="9" style="265" customWidth="1"/>
    <col min="489" max="489" width="5.140625" style="265" customWidth="1"/>
    <col min="490" max="492" width="9.85546875" style="265" customWidth="1"/>
    <col min="493" max="493" width="7.140625" style="265" customWidth="1"/>
    <col min="494" max="494" width="10.28515625" style="265" customWidth="1"/>
    <col min="495" max="495" width="6.42578125" style="265" customWidth="1"/>
    <col min="496" max="496" width="9.7109375" style="265" customWidth="1"/>
    <col min="497" max="497" width="6.28515625" style="265" customWidth="1"/>
    <col min="498" max="498" width="9" style="265" customWidth="1"/>
    <col min="499" max="499" width="8" style="265" customWidth="1"/>
    <col min="500" max="500" width="12.85546875" style="265" customWidth="1"/>
    <col min="501" max="501" width="5.140625" style="265" customWidth="1"/>
    <col min="502" max="502" width="9.85546875" style="265" customWidth="1"/>
    <col min="503" max="503" width="6.7109375" style="265" customWidth="1"/>
    <col min="504" max="504" width="12.42578125" style="265" customWidth="1"/>
    <col min="505" max="505" width="5.140625" style="265" customWidth="1"/>
    <col min="506" max="506" width="9" style="265" customWidth="1"/>
    <col min="507" max="507" width="5.140625" style="265" customWidth="1"/>
    <col min="508" max="508" width="9.85546875" style="265" customWidth="1"/>
    <col min="509" max="509" width="5.140625" style="265" customWidth="1"/>
    <col min="510" max="510" width="6.85546875" style="265" customWidth="1"/>
    <col min="511" max="511" width="5.140625" style="265" customWidth="1"/>
    <col min="512" max="512" width="10.5703125" style="265" customWidth="1"/>
    <col min="513" max="514" width="9" style="265" customWidth="1"/>
    <col min="515" max="515" width="7.140625" style="265" customWidth="1"/>
    <col min="516" max="516" width="10.28515625" style="265" customWidth="1"/>
    <col min="517" max="517" width="6.42578125" style="265" customWidth="1"/>
    <col min="518" max="518" width="9.7109375" style="265" customWidth="1"/>
    <col min="519" max="519" width="6.28515625" style="265" customWidth="1"/>
    <col min="520" max="520" width="9" style="265" customWidth="1"/>
    <col min="521" max="521" width="5.140625" style="265" customWidth="1"/>
    <col min="522" max="522" width="9.85546875" style="265" customWidth="1"/>
    <col min="523" max="523" width="5.140625" style="265" customWidth="1"/>
    <col min="524" max="524" width="9.85546875" style="265" customWidth="1"/>
    <col min="525" max="525" width="5.140625" style="265" customWidth="1"/>
    <col min="526" max="526" width="9.85546875" style="265" customWidth="1"/>
    <col min="527" max="527" width="5.140625" style="265" customWidth="1"/>
    <col min="528" max="528" width="9" style="265" customWidth="1"/>
    <col min="529" max="529" width="5.140625" style="265" customWidth="1"/>
    <col min="530" max="530" width="9.85546875" style="265" customWidth="1"/>
    <col min="531" max="531" width="5.140625" style="265" customWidth="1"/>
    <col min="532" max="532" width="6.85546875" style="265" customWidth="1"/>
    <col min="533" max="533" width="5.140625" style="265" customWidth="1"/>
    <col min="534" max="534" width="9" style="265" customWidth="1"/>
    <col min="535" max="535" width="7.140625" style="265" customWidth="1"/>
    <col min="536" max="536" width="10.28515625" style="265" customWidth="1"/>
    <col min="537" max="537" width="6.42578125" style="265" customWidth="1"/>
    <col min="538" max="538" width="9.7109375" style="265" customWidth="1"/>
    <col min="539" max="539" width="6.28515625" style="265" customWidth="1"/>
    <col min="540" max="540" width="13" style="265" customWidth="1"/>
    <col min="541" max="541" width="6.85546875" style="265" customWidth="1"/>
    <col min="542" max="542" width="12.28515625" style="265" customWidth="1"/>
    <col min="543" max="543" width="7.7109375" style="265" customWidth="1"/>
    <col min="544" max="544" width="10.42578125" style="265" customWidth="1"/>
    <col min="545" max="545" width="11.28515625" style="265" customWidth="1"/>
    <col min="546" max="546" width="12.28515625" style="265" customWidth="1"/>
    <col min="547" max="547" width="5.140625" style="265" customWidth="1"/>
    <col min="548" max="548" width="9" style="265" customWidth="1"/>
    <col min="549" max="549" width="5.140625" style="265" customWidth="1"/>
    <col min="550" max="550" width="9.85546875" style="265" customWidth="1"/>
    <col min="551" max="551" width="5.140625" style="265" customWidth="1"/>
    <col min="552" max="552" width="6.85546875" style="265" customWidth="1"/>
    <col min="553" max="553" width="5.140625" style="265" customWidth="1"/>
    <col min="554" max="554" width="10.7109375" style="265" customWidth="1"/>
    <col min="555" max="555" width="6.85546875" style="265" customWidth="1"/>
    <col min="556" max="556" width="12" style="265" customWidth="1"/>
    <col min="557" max="557" width="0" style="265" hidden="1" customWidth="1"/>
    <col min="558" max="558" width="8.42578125" style="265" customWidth="1"/>
    <col min="559" max="559" width="12" style="265" customWidth="1"/>
    <col min="560" max="560" width="8.28515625" style="265" customWidth="1"/>
    <col min="561" max="561" width="15.28515625" style="265" customWidth="1"/>
    <col min="562" max="562" width="13.5703125" style="265" customWidth="1"/>
    <col min="563" max="564" width="0" style="265" hidden="1" customWidth="1"/>
    <col min="565" max="566" width="15.7109375" style="265" customWidth="1"/>
    <col min="567" max="567" width="17.28515625" style="265" customWidth="1"/>
    <col min="568" max="568" width="0" style="265" hidden="1" customWidth="1"/>
    <col min="569" max="569" width="18.28515625" style="265" customWidth="1"/>
    <col min="570" max="570" width="17.42578125" style="265" customWidth="1"/>
    <col min="571" max="571" width="10.7109375" style="265" bestFit="1" customWidth="1"/>
    <col min="572" max="572" width="11" style="265" bestFit="1" customWidth="1"/>
    <col min="573" max="722" width="8.85546875" style="265"/>
    <col min="723" max="723" width="4.7109375" style="265" customWidth="1"/>
    <col min="724" max="726" width="16" style="265" customWidth="1"/>
    <col min="727" max="727" width="9.42578125" style="265" customWidth="1"/>
    <col min="728" max="728" width="10.28515625" style="265" customWidth="1"/>
    <col min="729" max="729" width="7.85546875" style="265" customWidth="1"/>
    <col min="730" max="730" width="9.7109375" style="265" customWidth="1"/>
    <col min="731" max="731" width="6" style="265" customWidth="1"/>
    <col min="732" max="732" width="10.7109375" style="265" customWidth="1"/>
    <col min="733" max="733" width="8.28515625" style="265" customWidth="1"/>
    <col min="734" max="734" width="12.28515625" style="265" customWidth="1"/>
    <col min="735" max="735" width="6" style="265" customWidth="1"/>
    <col min="736" max="736" width="10.7109375" style="265" customWidth="1"/>
    <col min="737" max="737" width="6.85546875" style="265" customWidth="1"/>
    <col min="738" max="738" width="12" style="265" customWidth="1"/>
    <col min="739" max="739" width="5.140625" style="265" customWidth="1"/>
    <col min="740" max="740" width="9" style="265" customWidth="1"/>
    <col min="741" max="741" width="5.140625" style="265" customWidth="1"/>
    <col min="742" max="742" width="9.85546875" style="265" customWidth="1"/>
    <col min="743" max="743" width="5.140625" style="265" customWidth="1"/>
    <col min="744" max="744" width="9" style="265" customWidth="1"/>
    <col min="745" max="745" width="5.140625" style="265" customWidth="1"/>
    <col min="746" max="748" width="9.85546875" style="265" customWidth="1"/>
    <col min="749" max="749" width="7.140625" style="265" customWidth="1"/>
    <col min="750" max="750" width="10.28515625" style="265" customWidth="1"/>
    <col min="751" max="751" width="6.42578125" style="265" customWidth="1"/>
    <col min="752" max="752" width="9.7109375" style="265" customWidth="1"/>
    <col min="753" max="753" width="6.28515625" style="265" customWidth="1"/>
    <col min="754" max="754" width="9" style="265" customWidth="1"/>
    <col min="755" max="755" width="8" style="265" customWidth="1"/>
    <col min="756" max="756" width="12.85546875" style="265" customWidth="1"/>
    <col min="757" max="757" width="5.140625" style="265" customWidth="1"/>
    <col min="758" max="758" width="9.85546875" style="265" customWidth="1"/>
    <col min="759" max="759" width="6.7109375" style="265" customWidth="1"/>
    <col min="760" max="760" width="12.42578125" style="265" customWidth="1"/>
    <col min="761" max="761" width="5.140625" style="265" customWidth="1"/>
    <col min="762" max="762" width="9" style="265" customWidth="1"/>
    <col min="763" max="763" width="5.140625" style="265" customWidth="1"/>
    <col min="764" max="764" width="9.85546875" style="265" customWidth="1"/>
    <col min="765" max="765" width="5.140625" style="265" customWidth="1"/>
    <col min="766" max="766" width="6.85546875" style="265" customWidth="1"/>
    <col min="767" max="767" width="5.140625" style="265" customWidth="1"/>
    <col min="768" max="768" width="10.5703125" style="265" customWidth="1"/>
    <col min="769" max="770" width="9" style="265" customWidth="1"/>
    <col min="771" max="771" width="7.140625" style="265" customWidth="1"/>
    <col min="772" max="772" width="10.28515625" style="265" customWidth="1"/>
    <col min="773" max="773" width="6.42578125" style="265" customWidth="1"/>
    <col min="774" max="774" width="9.7109375" style="265" customWidth="1"/>
    <col min="775" max="775" width="6.28515625" style="265" customWidth="1"/>
    <col min="776" max="776" width="9" style="265" customWidth="1"/>
    <col min="777" max="777" width="5.140625" style="265" customWidth="1"/>
    <col min="778" max="778" width="9.85546875" style="265" customWidth="1"/>
    <col min="779" max="779" width="5.140625" style="265" customWidth="1"/>
    <col min="780" max="780" width="9.85546875" style="265" customWidth="1"/>
    <col min="781" max="781" width="5.140625" style="265" customWidth="1"/>
    <col min="782" max="782" width="9.85546875" style="265" customWidth="1"/>
    <col min="783" max="783" width="5.140625" style="265" customWidth="1"/>
    <col min="784" max="784" width="9" style="265" customWidth="1"/>
    <col min="785" max="785" width="5.140625" style="265" customWidth="1"/>
    <col min="786" max="786" width="9.85546875" style="265" customWidth="1"/>
    <col min="787" max="787" width="5.140625" style="265" customWidth="1"/>
    <col min="788" max="788" width="6.85546875" style="265" customWidth="1"/>
    <col min="789" max="789" width="5.140625" style="265" customWidth="1"/>
    <col min="790" max="790" width="9" style="265" customWidth="1"/>
    <col min="791" max="791" width="7.140625" style="265" customWidth="1"/>
    <col min="792" max="792" width="10.28515625" style="265" customWidth="1"/>
    <col min="793" max="793" width="6.42578125" style="265" customWidth="1"/>
    <col min="794" max="794" width="9.7109375" style="265" customWidth="1"/>
    <col min="795" max="795" width="6.28515625" style="265" customWidth="1"/>
    <col min="796" max="796" width="13" style="265" customWidth="1"/>
    <col min="797" max="797" width="6.85546875" style="265" customWidth="1"/>
    <col min="798" max="798" width="12.28515625" style="265" customWidth="1"/>
    <col min="799" max="799" width="7.7109375" style="265" customWidth="1"/>
    <col min="800" max="800" width="10.42578125" style="265" customWidth="1"/>
    <col min="801" max="801" width="11.28515625" style="265" customWidth="1"/>
    <col min="802" max="802" width="12.28515625" style="265" customWidth="1"/>
    <col min="803" max="803" width="5.140625" style="265" customWidth="1"/>
    <col min="804" max="804" width="9" style="265" customWidth="1"/>
    <col min="805" max="805" width="5.140625" style="265" customWidth="1"/>
    <col min="806" max="806" width="9.85546875" style="265" customWidth="1"/>
    <col min="807" max="807" width="5.140625" style="265" customWidth="1"/>
    <col min="808" max="808" width="6.85546875" style="265" customWidth="1"/>
    <col min="809" max="809" width="5.140625" style="265" customWidth="1"/>
    <col min="810" max="810" width="10.7109375" style="265" customWidth="1"/>
    <col min="811" max="811" width="6.85546875" style="265" customWidth="1"/>
    <col min="812" max="812" width="12" style="265" customWidth="1"/>
    <col min="813" max="813" width="0" style="265" hidden="1" customWidth="1"/>
    <col min="814" max="814" width="8.42578125" style="265" customWidth="1"/>
    <col min="815" max="815" width="12" style="265" customWidth="1"/>
    <col min="816" max="816" width="8.28515625" style="265" customWidth="1"/>
    <col min="817" max="817" width="15.28515625" style="265" customWidth="1"/>
    <col min="818" max="818" width="13.5703125" style="265" customWidth="1"/>
    <col min="819" max="820" width="0" style="265" hidden="1" customWidth="1"/>
    <col min="821" max="822" width="15.7109375" style="265" customWidth="1"/>
    <col min="823" max="823" width="17.28515625" style="265" customWidth="1"/>
    <col min="824" max="824" width="0" style="265" hidden="1" customWidth="1"/>
    <col min="825" max="825" width="18.28515625" style="265" customWidth="1"/>
    <col min="826" max="826" width="17.42578125" style="265" customWidth="1"/>
    <col min="827" max="827" width="10.7109375" style="265" bestFit="1" customWidth="1"/>
    <col min="828" max="828" width="11" style="265" bestFit="1" customWidth="1"/>
    <col min="829" max="978" width="8.85546875" style="265"/>
    <col min="979" max="979" width="4.7109375" style="265" customWidth="1"/>
    <col min="980" max="982" width="16" style="265" customWidth="1"/>
    <col min="983" max="983" width="9.42578125" style="265" customWidth="1"/>
    <col min="984" max="984" width="10.28515625" style="265" customWidth="1"/>
    <col min="985" max="985" width="7.85546875" style="265" customWidth="1"/>
    <col min="986" max="986" width="9.7109375" style="265" customWidth="1"/>
    <col min="987" max="987" width="6" style="265" customWidth="1"/>
    <col min="988" max="988" width="10.7109375" style="265" customWidth="1"/>
    <col min="989" max="989" width="8.28515625" style="265" customWidth="1"/>
    <col min="990" max="990" width="12.28515625" style="265" customWidth="1"/>
    <col min="991" max="991" width="6" style="265" customWidth="1"/>
    <col min="992" max="992" width="10.7109375" style="265" customWidth="1"/>
    <col min="993" max="993" width="6.85546875" style="265" customWidth="1"/>
    <col min="994" max="994" width="12" style="265" customWidth="1"/>
    <col min="995" max="995" width="5.140625" style="265" customWidth="1"/>
    <col min="996" max="996" width="9" style="265" customWidth="1"/>
    <col min="997" max="997" width="5.140625" style="265" customWidth="1"/>
    <col min="998" max="998" width="9.85546875" style="265" customWidth="1"/>
    <col min="999" max="999" width="5.140625" style="265" customWidth="1"/>
    <col min="1000" max="1000" width="9" style="265" customWidth="1"/>
    <col min="1001" max="1001" width="5.140625" style="265" customWidth="1"/>
    <col min="1002" max="1004" width="9.85546875" style="265" customWidth="1"/>
    <col min="1005" max="1005" width="7.140625" style="265" customWidth="1"/>
    <col min="1006" max="1006" width="10.28515625" style="265" customWidth="1"/>
    <col min="1007" max="1007" width="6.42578125" style="265" customWidth="1"/>
    <col min="1008" max="1008" width="9.7109375" style="265" customWidth="1"/>
    <col min="1009" max="1009" width="6.28515625" style="265" customWidth="1"/>
    <col min="1010" max="1010" width="9" style="265" customWidth="1"/>
    <col min="1011" max="1011" width="8" style="265" customWidth="1"/>
    <col min="1012" max="1012" width="12.85546875" style="265" customWidth="1"/>
    <col min="1013" max="1013" width="5.140625" style="265" customWidth="1"/>
    <col min="1014" max="1014" width="9.85546875" style="265" customWidth="1"/>
    <col min="1015" max="1015" width="6.7109375" style="265" customWidth="1"/>
    <col min="1016" max="1016" width="12.42578125" style="265" customWidth="1"/>
    <col min="1017" max="1017" width="5.140625" style="265" customWidth="1"/>
    <col min="1018" max="1018" width="9" style="265" customWidth="1"/>
    <col min="1019" max="1019" width="5.140625" style="265" customWidth="1"/>
    <col min="1020" max="1020" width="9.85546875" style="265" customWidth="1"/>
    <col min="1021" max="1021" width="5.140625" style="265" customWidth="1"/>
    <col min="1022" max="1022" width="6.85546875" style="265" customWidth="1"/>
    <col min="1023" max="1023" width="5.140625" style="265" customWidth="1"/>
    <col min="1024" max="1024" width="10.5703125" style="265" customWidth="1"/>
    <col min="1025" max="1026" width="9" style="265" customWidth="1"/>
    <col min="1027" max="1027" width="7.140625" style="265" customWidth="1"/>
    <col min="1028" max="1028" width="10.28515625" style="265" customWidth="1"/>
    <col min="1029" max="1029" width="6.42578125" style="265" customWidth="1"/>
    <col min="1030" max="1030" width="9.7109375" style="265" customWidth="1"/>
    <col min="1031" max="1031" width="6.28515625" style="265" customWidth="1"/>
    <col min="1032" max="1032" width="9" style="265" customWidth="1"/>
    <col min="1033" max="1033" width="5.140625" style="265" customWidth="1"/>
    <col min="1034" max="1034" width="9.85546875" style="265" customWidth="1"/>
    <col min="1035" max="1035" width="5.140625" style="265" customWidth="1"/>
    <col min="1036" max="1036" width="9.85546875" style="265" customWidth="1"/>
    <col min="1037" max="1037" width="5.140625" style="265" customWidth="1"/>
    <col min="1038" max="1038" width="9.85546875" style="265" customWidth="1"/>
    <col min="1039" max="1039" width="5.140625" style="265" customWidth="1"/>
    <col min="1040" max="1040" width="9" style="265" customWidth="1"/>
    <col min="1041" max="1041" width="5.140625" style="265" customWidth="1"/>
    <col min="1042" max="1042" width="9.85546875" style="265" customWidth="1"/>
    <col min="1043" max="1043" width="5.140625" style="265" customWidth="1"/>
    <col min="1044" max="1044" width="6.85546875" style="265" customWidth="1"/>
    <col min="1045" max="1045" width="5.140625" style="265" customWidth="1"/>
    <col min="1046" max="1046" width="9" style="265" customWidth="1"/>
    <col min="1047" max="1047" width="7.140625" style="265" customWidth="1"/>
    <col min="1048" max="1048" width="10.28515625" style="265" customWidth="1"/>
    <col min="1049" max="1049" width="6.42578125" style="265" customWidth="1"/>
    <col min="1050" max="1050" width="9.7109375" style="265" customWidth="1"/>
    <col min="1051" max="1051" width="6.28515625" style="265" customWidth="1"/>
    <col min="1052" max="1052" width="13" style="265" customWidth="1"/>
    <col min="1053" max="1053" width="6.85546875" style="265" customWidth="1"/>
    <col min="1054" max="1054" width="12.28515625" style="265" customWidth="1"/>
    <col min="1055" max="1055" width="7.7109375" style="265" customWidth="1"/>
    <col min="1056" max="1056" width="10.42578125" style="265" customWidth="1"/>
    <col min="1057" max="1057" width="11.28515625" style="265" customWidth="1"/>
    <col min="1058" max="1058" width="12.28515625" style="265" customWidth="1"/>
    <col min="1059" max="1059" width="5.140625" style="265" customWidth="1"/>
    <col min="1060" max="1060" width="9" style="265" customWidth="1"/>
    <col min="1061" max="1061" width="5.140625" style="265" customWidth="1"/>
    <col min="1062" max="1062" width="9.85546875" style="265" customWidth="1"/>
    <col min="1063" max="1063" width="5.140625" style="265" customWidth="1"/>
    <col min="1064" max="1064" width="6.85546875" style="265" customWidth="1"/>
    <col min="1065" max="1065" width="5.140625" style="265" customWidth="1"/>
    <col min="1066" max="1066" width="10.7109375" style="265" customWidth="1"/>
    <col min="1067" max="1067" width="6.85546875" style="265" customWidth="1"/>
    <col min="1068" max="1068" width="12" style="265" customWidth="1"/>
    <col min="1069" max="1069" width="0" style="265" hidden="1" customWidth="1"/>
    <col min="1070" max="1070" width="8.42578125" style="265" customWidth="1"/>
    <col min="1071" max="1071" width="12" style="265" customWidth="1"/>
    <col min="1072" max="1072" width="8.28515625" style="265" customWidth="1"/>
    <col min="1073" max="1073" width="15.28515625" style="265" customWidth="1"/>
    <col min="1074" max="1074" width="13.5703125" style="265" customWidth="1"/>
    <col min="1075" max="1076" width="0" style="265" hidden="1" customWidth="1"/>
    <col min="1077" max="1078" width="15.7109375" style="265" customWidth="1"/>
    <col min="1079" max="1079" width="17.28515625" style="265" customWidth="1"/>
    <col min="1080" max="1080" width="0" style="265" hidden="1" customWidth="1"/>
    <col min="1081" max="1081" width="18.28515625" style="265" customWidth="1"/>
    <col min="1082" max="1082" width="17.42578125" style="265" customWidth="1"/>
    <col min="1083" max="1083" width="10.7109375" style="265" bestFit="1" customWidth="1"/>
    <col min="1084" max="1084" width="11" style="265" bestFit="1" customWidth="1"/>
    <col min="1085" max="1234" width="8.85546875" style="265"/>
    <col min="1235" max="1235" width="4.7109375" style="265" customWidth="1"/>
    <col min="1236" max="1238" width="16" style="265" customWidth="1"/>
    <col min="1239" max="1239" width="9.42578125" style="265" customWidth="1"/>
    <col min="1240" max="1240" width="10.28515625" style="265" customWidth="1"/>
    <col min="1241" max="1241" width="7.85546875" style="265" customWidth="1"/>
    <col min="1242" max="1242" width="9.7109375" style="265" customWidth="1"/>
    <col min="1243" max="1243" width="6" style="265" customWidth="1"/>
    <col min="1244" max="1244" width="10.7109375" style="265" customWidth="1"/>
    <col min="1245" max="1245" width="8.28515625" style="265" customWidth="1"/>
    <col min="1246" max="1246" width="12.28515625" style="265" customWidth="1"/>
    <col min="1247" max="1247" width="6" style="265" customWidth="1"/>
    <col min="1248" max="1248" width="10.7109375" style="265" customWidth="1"/>
    <col min="1249" max="1249" width="6.85546875" style="265" customWidth="1"/>
    <col min="1250" max="1250" width="12" style="265" customWidth="1"/>
    <col min="1251" max="1251" width="5.140625" style="265" customWidth="1"/>
    <col min="1252" max="1252" width="9" style="265" customWidth="1"/>
    <col min="1253" max="1253" width="5.140625" style="265" customWidth="1"/>
    <col min="1254" max="1254" width="9.85546875" style="265" customWidth="1"/>
    <col min="1255" max="1255" width="5.140625" style="265" customWidth="1"/>
    <col min="1256" max="1256" width="9" style="265" customWidth="1"/>
    <col min="1257" max="1257" width="5.140625" style="265" customWidth="1"/>
    <col min="1258" max="1260" width="9.85546875" style="265" customWidth="1"/>
    <col min="1261" max="1261" width="7.140625" style="265" customWidth="1"/>
    <col min="1262" max="1262" width="10.28515625" style="265" customWidth="1"/>
    <col min="1263" max="1263" width="6.42578125" style="265" customWidth="1"/>
    <col min="1264" max="1264" width="9.7109375" style="265" customWidth="1"/>
    <col min="1265" max="1265" width="6.28515625" style="265" customWidth="1"/>
    <col min="1266" max="1266" width="9" style="265" customWidth="1"/>
    <col min="1267" max="1267" width="8" style="265" customWidth="1"/>
    <col min="1268" max="1268" width="12.85546875" style="265" customWidth="1"/>
    <col min="1269" max="1269" width="5.140625" style="265" customWidth="1"/>
    <col min="1270" max="1270" width="9.85546875" style="265" customWidth="1"/>
    <col min="1271" max="1271" width="6.7109375" style="265" customWidth="1"/>
    <col min="1272" max="1272" width="12.42578125" style="265" customWidth="1"/>
    <col min="1273" max="1273" width="5.140625" style="265" customWidth="1"/>
    <col min="1274" max="1274" width="9" style="265" customWidth="1"/>
    <col min="1275" max="1275" width="5.140625" style="265" customWidth="1"/>
    <col min="1276" max="1276" width="9.85546875" style="265" customWidth="1"/>
    <col min="1277" max="1277" width="5.140625" style="265" customWidth="1"/>
    <col min="1278" max="1278" width="6.85546875" style="265" customWidth="1"/>
    <col min="1279" max="1279" width="5.140625" style="265" customWidth="1"/>
    <col min="1280" max="1280" width="10.5703125" style="265" customWidth="1"/>
    <col min="1281" max="1282" width="9" style="265" customWidth="1"/>
    <col min="1283" max="1283" width="7.140625" style="265" customWidth="1"/>
    <col min="1284" max="1284" width="10.28515625" style="265" customWidth="1"/>
    <col min="1285" max="1285" width="6.42578125" style="265" customWidth="1"/>
    <col min="1286" max="1286" width="9.7109375" style="265" customWidth="1"/>
    <col min="1287" max="1287" width="6.28515625" style="265" customWidth="1"/>
    <col min="1288" max="1288" width="9" style="265" customWidth="1"/>
    <col min="1289" max="1289" width="5.140625" style="265" customWidth="1"/>
    <col min="1290" max="1290" width="9.85546875" style="265" customWidth="1"/>
    <col min="1291" max="1291" width="5.140625" style="265" customWidth="1"/>
    <col min="1292" max="1292" width="9.85546875" style="265" customWidth="1"/>
    <col min="1293" max="1293" width="5.140625" style="265" customWidth="1"/>
    <col min="1294" max="1294" width="9.85546875" style="265" customWidth="1"/>
    <col min="1295" max="1295" width="5.140625" style="265" customWidth="1"/>
    <col min="1296" max="1296" width="9" style="265" customWidth="1"/>
    <col min="1297" max="1297" width="5.140625" style="265" customWidth="1"/>
    <col min="1298" max="1298" width="9.85546875" style="265" customWidth="1"/>
    <col min="1299" max="1299" width="5.140625" style="265" customWidth="1"/>
    <col min="1300" max="1300" width="6.85546875" style="265" customWidth="1"/>
    <col min="1301" max="1301" width="5.140625" style="265" customWidth="1"/>
    <col min="1302" max="1302" width="9" style="265" customWidth="1"/>
    <col min="1303" max="1303" width="7.140625" style="265" customWidth="1"/>
    <col min="1304" max="1304" width="10.28515625" style="265" customWidth="1"/>
    <col min="1305" max="1305" width="6.42578125" style="265" customWidth="1"/>
    <col min="1306" max="1306" width="9.7109375" style="265" customWidth="1"/>
    <col min="1307" max="1307" width="6.28515625" style="265" customWidth="1"/>
    <col min="1308" max="1308" width="13" style="265" customWidth="1"/>
    <col min="1309" max="1309" width="6.85546875" style="265" customWidth="1"/>
    <col min="1310" max="1310" width="12.28515625" style="265" customWidth="1"/>
    <col min="1311" max="1311" width="7.7109375" style="265" customWidth="1"/>
    <col min="1312" max="1312" width="10.42578125" style="265" customWidth="1"/>
    <col min="1313" max="1313" width="11.28515625" style="265" customWidth="1"/>
    <col min="1314" max="1314" width="12.28515625" style="265" customWidth="1"/>
    <col min="1315" max="1315" width="5.140625" style="265" customWidth="1"/>
    <col min="1316" max="1316" width="9" style="265" customWidth="1"/>
    <col min="1317" max="1317" width="5.140625" style="265" customWidth="1"/>
    <col min="1318" max="1318" width="9.85546875" style="265" customWidth="1"/>
    <col min="1319" max="1319" width="5.140625" style="265" customWidth="1"/>
    <col min="1320" max="1320" width="6.85546875" style="265" customWidth="1"/>
    <col min="1321" max="1321" width="5.140625" style="265" customWidth="1"/>
    <col min="1322" max="1322" width="10.7109375" style="265" customWidth="1"/>
    <col min="1323" max="1323" width="6.85546875" style="265" customWidth="1"/>
    <col min="1324" max="1324" width="12" style="265" customWidth="1"/>
    <col min="1325" max="1325" width="0" style="265" hidden="1" customWidth="1"/>
    <col min="1326" max="1326" width="8.42578125" style="265" customWidth="1"/>
    <col min="1327" max="1327" width="12" style="265" customWidth="1"/>
    <col min="1328" max="1328" width="8.28515625" style="265" customWidth="1"/>
    <col min="1329" max="1329" width="15.28515625" style="265" customWidth="1"/>
    <col min="1330" max="1330" width="13.5703125" style="265" customWidth="1"/>
    <col min="1331" max="1332" width="0" style="265" hidden="1" customWidth="1"/>
    <col min="1333" max="1334" width="15.7109375" style="265" customWidth="1"/>
    <col min="1335" max="1335" width="17.28515625" style="265" customWidth="1"/>
    <col min="1336" max="1336" width="0" style="265" hidden="1" customWidth="1"/>
    <col min="1337" max="1337" width="18.28515625" style="265" customWidth="1"/>
    <col min="1338" max="1338" width="17.42578125" style="265" customWidth="1"/>
    <col min="1339" max="1339" width="10.7109375" style="265" bestFit="1" customWidth="1"/>
    <col min="1340" max="1340" width="11" style="265" bestFit="1" customWidth="1"/>
    <col min="1341" max="1490" width="8.85546875" style="265"/>
    <col min="1491" max="1491" width="4.7109375" style="265" customWidth="1"/>
    <col min="1492" max="1494" width="16" style="265" customWidth="1"/>
    <col min="1495" max="1495" width="9.42578125" style="265" customWidth="1"/>
    <col min="1496" max="1496" width="10.28515625" style="265" customWidth="1"/>
    <col min="1497" max="1497" width="7.85546875" style="265" customWidth="1"/>
    <col min="1498" max="1498" width="9.7109375" style="265" customWidth="1"/>
    <col min="1499" max="1499" width="6" style="265" customWidth="1"/>
    <col min="1500" max="1500" width="10.7109375" style="265" customWidth="1"/>
    <col min="1501" max="1501" width="8.28515625" style="265" customWidth="1"/>
    <col min="1502" max="1502" width="12.28515625" style="265" customWidth="1"/>
    <col min="1503" max="1503" width="6" style="265" customWidth="1"/>
    <col min="1504" max="1504" width="10.7109375" style="265" customWidth="1"/>
    <col min="1505" max="1505" width="6.85546875" style="265" customWidth="1"/>
    <col min="1506" max="1506" width="12" style="265" customWidth="1"/>
    <col min="1507" max="1507" width="5.140625" style="265" customWidth="1"/>
    <col min="1508" max="1508" width="9" style="265" customWidth="1"/>
    <col min="1509" max="1509" width="5.140625" style="265" customWidth="1"/>
    <col min="1510" max="1510" width="9.85546875" style="265" customWidth="1"/>
    <col min="1511" max="1511" width="5.140625" style="265" customWidth="1"/>
    <col min="1512" max="1512" width="9" style="265" customWidth="1"/>
    <col min="1513" max="1513" width="5.140625" style="265" customWidth="1"/>
    <col min="1514" max="1516" width="9.85546875" style="265" customWidth="1"/>
    <col min="1517" max="1517" width="7.140625" style="265" customWidth="1"/>
    <col min="1518" max="1518" width="10.28515625" style="265" customWidth="1"/>
    <col min="1519" max="1519" width="6.42578125" style="265" customWidth="1"/>
    <col min="1520" max="1520" width="9.7109375" style="265" customWidth="1"/>
    <col min="1521" max="1521" width="6.28515625" style="265" customWidth="1"/>
    <col min="1522" max="1522" width="9" style="265" customWidth="1"/>
    <col min="1523" max="1523" width="8" style="265" customWidth="1"/>
    <col min="1524" max="1524" width="12.85546875" style="265" customWidth="1"/>
    <col min="1525" max="1525" width="5.140625" style="265" customWidth="1"/>
    <col min="1526" max="1526" width="9.85546875" style="265" customWidth="1"/>
    <col min="1527" max="1527" width="6.7109375" style="265" customWidth="1"/>
    <col min="1528" max="1528" width="12.42578125" style="265" customWidth="1"/>
    <col min="1529" max="1529" width="5.140625" style="265" customWidth="1"/>
    <col min="1530" max="1530" width="9" style="265" customWidth="1"/>
    <col min="1531" max="1531" width="5.140625" style="265" customWidth="1"/>
    <col min="1532" max="1532" width="9.85546875" style="265" customWidth="1"/>
    <col min="1533" max="1533" width="5.140625" style="265" customWidth="1"/>
    <col min="1534" max="1534" width="6.85546875" style="265" customWidth="1"/>
    <col min="1535" max="1535" width="5.140625" style="265" customWidth="1"/>
    <col min="1536" max="1536" width="10.5703125" style="265" customWidth="1"/>
    <col min="1537" max="1538" width="9" style="265" customWidth="1"/>
    <col min="1539" max="1539" width="7.140625" style="265" customWidth="1"/>
    <col min="1540" max="1540" width="10.28515625" style="265" customWidth="1"/>
    <col min="1541" max="1541" width="6.42578125" style="265" customWidth="1"/>
    <col min="1542" max="1542" width="9.7109375" style="265" customWidth="1"/>
    <col min="1543" max="1543" width="6.28515625" style="265" customWidth="1"/>
    <col min="1544" max="1544" width="9" style="265" customWidth="1"/>
    <col min="1545" max="1545" width="5.140625" style="265" customWidth="1"/>
    <col min="1546" max="1546" width="9.85546875" style="265" customWidth="1"/>
    <col min="1547" max="1547" width="5.140625" style="265" customWidth="1"/>
    <col min="1548" max="1548" width="9.85546875" style="265" customWidth="1"/>
    <col min="1549" max="1549" width="5.140625" style="265" customWidth="1"/>
    <col min="1550" max="1550" width="9.85546875" style="265" customWidth="1"/>
    <col min="1551" max="1551" width="5.140625" style="265" customWidth="1"/>
    <col min="1552" max="1552" width="9" style="265" customWidth="1"/>
    <col min="1553" max="1553" width="5.140625" style="265" customWidth="1"/>
    <col min="1554" max="1554" width="9.85546875" style="265" customWidth="1"/>
    <col min="1555" max="1555" width="5.140625" style="265" customWidth="1"/>
    <col min="1556" max="1556" width="6.85546875" style="265" customWidth="1"/>
    <col min="1557" max="1557" width="5.140625" style="265" customWidth="1"/>
    <col min="1558" max="1558" width="9" style="265" customWidth="1"/>
    <col min="1559" max="1559" width="7.140625" style="265" customWidth="1"/>
    <col min="1560" max="1560" width="10.28515625" style="265" customWidth="1"/>
    <col min="1561" max="1561" width="6.42578125" style="265" customWidth="1"/>
    <col min="1562" max="1562" width="9.7109375" style="265" customWidth="1"/>
    <col min="1563" max="1563" width="6.28515625" style="265" customWidth="1"/>
    <col min="1564" max="1564" width="13" style="265" customWidth="1"/>
    <col min="1565" max="1565" width="6.85546875" style="265" customWidth="1"/>
    <col min="1566" max="1566" width="12.28515625" style="265" customWidth="1"/>
    <col min="1567" max="1567" width="7.7109375" style="265" customWidth="1"/>
    <col min="1568" max="1568" width="10.42578125" style="265" customWidth="1"/>
    <col min="1569" max="1569" width="11.28515625" style="265" customWidth="1"/>
    <col min="1570" max="1570" width="12.28515625" style="265" customWidth="1"/>
    <col min="1571" max="1571" width="5.140625" style="265" customWidth="1"/>
    <col min="1572" max="1572" width="9" style="265" customWidth="1"/>
    <col min="1573" max="1573" width="5.140625" style="265" customWidth="1"/>
    <col min="1574" max="1574" width="9.85546875" style="265" customWidth="1"/>
    <col min="1575" max="1575" width="5.140625" style="265" customWidth="1"/>
    <col min="1576" max="1576" width="6.85546875" style="265" customWidth="1"/>
    <col min="1577" max="1577" width="5.140625" style="265" customWidth="1"/>
    <col min="1578" max="1578" width="10.7109375" style="265" customWidth="1"/>
    <col min="1579" max="1579" width="6.85546875" style="265" customWidth="1"/>
    <col min="1580" max="1580" width="12" style="265" customWidth="1"/>
    <col min="1581" max="1581" width="0" style="265" hidden="1" customWidth="1"/>
    <col min="1582" max="1582" width="8.42578125" style="265" customWidth="1"/>
    <col min="1583" max="1583" width="12" style="265" customWidth="1"/>
    <col min="1584" max="1584" width="8.28515625" style="265" customWidth="1"/>
    <col min="1585" max="1585" width="15.28515625" style="265" customWidth="1"/>
    <col min="1586" max="1586" width="13.5703125" style="265" customWidth="1"/>
    <col min="1587" max="1588" width="0" style="265" hidden="1" customWidth="1"/>
    <col min="1589" max="1590" width="15.7109375" style="265" customWidth="1"/>
    <col min="1591" max="1591" width="17.28515625" style="265" customWidth="1"/>
    <col min="1592" max="1592" width="0" style="265" hidden="1" customWidth="1"/>
    <col min="1593" max="1593" width="18.28515625" style="265" customWidth="1"/>
    <col min="1594" max="1594" width="17.42578125" style="265" customWidth="1"/>
    <col min="1595" max="1595" width="10.7109375" style="265" bestFit="1" customWidth="1"/>
    <col min="1596" max="1596" width="11" style="265" bestFit="1" customWidth="1"/>
    <col min="1597" max="1746" width="8.85546875" style="265"/>
    <col min="1747" max="1747" width="4.7109375" style="265" customWidth="1"/>
    <col min="1748" max="1750" width="16" style="265" customWidth="1"/>
    <col min="1751" max="1751" width="9.42578125" style="265" customWidth="1"/>
    <col min="1752" max="1752" width="10.28515625" style="265" customWidth="1"/>
    <col min="1753" max="1753" width="7.85546875" style="265" customWidth="1"/>
    <col min="1754" max="1754" width="9.7109375" style="265" customWidth="1"/>
    <col min="1755" max="1755" width="6" style="265" customWidth="1"/>
    <col min="1756" max="1756" width="10.7109375" style="265" customWidth="1"/>
    <col min="1757" max="1757" width="8.28515625" style="265" customWidth="1"/>
    <col min="1758" max="1758" width="12.28515625" style="265" customWidth="1"/>
    <col min="1759" max="1759" width="6" style="265" customWidth="1"/>
    <col min="1760" max="1760" width="10.7109375" style="265" customWidth="1"/>
    <col min="1761" max="1761" width="6.85546875" style="265" customWidth="1"/>
    <col min="1762" max="1762" width="12" style="265" customWidth="1"/>
    <col min="1763" max="1763" width="5.140625" style="265" customWidth="1"/>
    <col min="1764" max="1764" width="9" style="265" customWidth="1"/>
    <col min="1765" max="1765" width="5.140625" style="265" customWidth="1"/>
    <col min="1766" max="1766" width="9.85546875" style="265" customWidth="1"/>
    <col min="1767" max="1767" width="5.140625" style="265" customWidth="1"/>
    <col min="1768" max="1768" width="9" style="265" customWidth="1"/>
    <col min="1769" max="1769" width="5.140625" style="265" customWidth="1"/>
    <col min="1770" max="1772" width="9.85546875" style="265" customWidth="1"/>
    <col min="1773" max="1773" width="7.140625" style="265" customWidth="1"/>
    <col min="1774" max="1774" width="10.28515625" style="265" customWidth="1"/>
    <col min="1775" max="1775" width="6.42578125" style="265" customWidth="1"/>
    <col min="1776" max="1776" width="9.7109375" style="265" customWidth="1"/>
    <col min="1777" max="1777" width="6.28515625" style="265" customWidth="1"/>
    <col min="1778" max="1778" width="9" style="265" customWidth="1"/>
    <col min="1779" max="1779" width="8" style="265" customWidth="1"/>
    <col min="1780" max="1780" width="12.85546875" style="265" customWidth="1"/>
    <col min="1781" max="1781" width="5.140625" style="265" customWidth="1"/>
    <col min="1782" max="1782" width="9.85546875" style="265" customWidth="1"/>
    <col min="1783" max="1783" width="6.7109375" style="265" customWidth="1"/>
    <col min="1784" max="1784" width="12.42578125" style="265" customWidth="1"/>
    <col min="1785" max="1785" width="5.140625" style="265" customWidth="1"/>
    <col min="1786" max="1786" width="9" style="265" customWidth="1"/>
    <col min="1787" max="1787" width="5.140625" style="265" customWidth="1"/>
    <col min="1788" max="1788" width="9.85546875" style="265" customWidth="1"/>
    <col min="1789" max="1789" width="5.140625" style="265" customWidth="1"/>
    <col min="1790" max="1790" width="6.85546875" style="265" customWidth="1"/>
    <col min="1791" max="1791" width="5.140625" style="265" customWidth="1"/>
    <col min="1792" max="1792" width="10.5703125" style="265" customWidth="1"/>
    <col min="1793" max="1794" width="9" style="265" customWidth="1"/>
    <col min="1795" max="1795" width="7.140625" style="265" customWidth="1"/>
    <col min="1796" max="1796" width="10.28515625" style="265" customWidth="1"/>
    <col min="1797" max="1797" width="6.42578125" style="265" customWidth="1"/>
    <col min="1798" max="1798" width="9.7109375" style="265" customWidth="1"/>
    <col min="1799" max="1799" width="6.28515625" style="265" customWidth="1"/>
    <col min="1800" max="1800" width="9" style="265" customWidth="1"/>
    <col min="1801" max="1801" width="5.140625" style="265" customWidth="1"/>
    <col min="1802" max="1802" width="9.85546875" style="265" customWidth="1"/>
    <col min="1803" max="1803" width="5.140625" style="265" customWidth="1"/>
    <col min="1804" max="1804" width="9.85546875" style="265" customWidth="1"/>
    <col min="1805" max="1805" width="5.140625" style="265" customWidth="1"/>
    <col min="1806" max="1806" width="9.85546875" style="265" customWidth="1"/>
    <col min="1807" max="1807" width="5.140625" style="265" customWidth="1"/>
    <col min="1808" max="1808" width="9" style="265" customWidth="1"/>
    <col min="1809" max="1809" width="5.140625" style="265" customWidth="1"/>
    <col min="1810" max="1810" width="9.85546875" style="265" customWidth="1"/>
    <col min="1811" max="1811" width="5.140625" style="265" customWidth="1"/>
    <col min="1812" max="1812" width="6.85546875" style="265" customWidth="1"/>
    <col min="1813" max="1813" width="5.140625" style="265" customWidth="1"/>
    <col min="1814" max="1814" width="9" style="265" customWidth="1"/>
    <col min="1815" max="1815" width="7.140625" style="265" customWidth="1"/>
    <col min="1816" max="1816" width="10.28515625" style="265" customWidth="1"/>
    <col min="1817" max="1817" width="6.42578125" style="265" customWidth="1"/>
    <col min="1818" max="1818" width="9.7109375" style="265" customWidth="1"/>
    <col min="1819" max="1819" width="6.28515625" style="265" customWidth="1"/>
    <col min="1820" max="1820" width="13" style="265" customWidth="1"/>
    <col min="1821" max="1821" width="6.85546875" style="265" customWidth="1"/>
    <col min="1822" max="1822" width="12.28515625" style="265" customWidth="1"/>
    <col min="1823" max="1823" width="7.7109375" style="265" customWidth="1"/>
    <col min="1824" max="1824" width="10.42578125" style="265" customWidth="1"/>
    <col min="1825" max="1825" width="11.28515625" style="265" customWidth="1"/>
    <col min="1826" max="1826" width="12.28515625" style="265" customWidth="1"/>
    <col min="1827" max="1827" width="5.140625" style="265" customWidth="1"/>
    <col min="1828" max="1828" width="9" style="265" customWidth="1"/>
    <col min="1829" max="1829" width="5.140625" style="265" customWidth="1"/>
    <col min="1830" max="1830" width="9.85546875" style="265" customWidth="1"/>
    <col min="1831" max="1831" width="5.140625" style="265" customWidth="1"/>
    <col min="1832" max="1832" width="6.85546875" style="265" customWidth="1"/>
    <col min="1833" max="1833" width="5.140625" style="265" customWidth="1"/>
    <col min="1834" max="1834" width="10.7109375" style="265" customWidth="1"/>
    <col min="1835" max="1835" width="6.85546875" style="265" customWidth="1"/>
    <col min="1836" max="1836" width="12" style="265" customWidth="1"/>
    <col min="1837" max="1837" width="0" style="265" hidden="1" customWidth="1"/>
    <col min="1838" max="1838" width="8.42578125" style="265" customWidth="1"/>
    <col min="1839" max="1839" width="12" style="265" customWidth="1"/>
    <col min="1840" max="1840" width="8.28515625" style="265" customWidth="1"/>
    <col min="1841" max="1841" width="15.28515625" style="265" customWidth="1"/>
    <col min="1842" max="1842" width="13.5703125" style="265" customWidth="1"/>
    <col min="1843" max="1844" width="0" style="265" hidden="1" customWidth="1"/>
    <col min="1845" max="1846" width="15.7109375" style="265" customWidth="1"/>
    <col min="1847" max="1847" width="17.28515625" style="265" customWidth="1"/>
    <col min="1848" max="1848" width="0" style="265" hidden="1" customWidth="1"/>
    <col min="1849" max="1849" width="18.28515625" style="265" customWidth="1"/>
    <col min="1850" max="1850" width="17.42578125" style="265" customWidth="1"/>
    <col min="1851" max="1851" width="10.7109375" style="265" bestFit="1" customWidth="1"/>
    <col min="1852" max="1852" width="11" style="265" bestFit="1" customWidth="1"/>
    <col min="1853" max="2002" width="8.85546875" style="265"/>
    <col min="2003" max="2003" width="4.7109375" style="265" customWidth="1"/>
    <col min="2004" max="2006" width="16" style="265" customWidth="1"/>
    <col min="2007" max="2007" width="9.42578125" style="265" customWidth="1"/>
    <col min="2008" max="2008" width="10.28515625" style="265" customWidth="1"/>
    <col min="2009" max="2009" width="7.85546875" style="265" customWidth="1"/>
    <col min="2010" max="2010" width="9.7109375" style="265" customWidth="1"/>
    <col min="2011" max="2011" width="6" style="265" customWidth="1"/>
    <col min="2012" max="2012" width="10.7109375" style="265" customWidth="1"/>
    <col min="2013" max="2013" width="8.28515625" style="265" customWidth="1"/>
    <col min="2014" max="2014" width="12.28515625" style="265" customWidth="1"/>
    <col min="2015" max="2015" width="6" style="265" customWidth="1"/>
    <col min="2016" max="2016" width="10.7109375" style="265" customWidth="1"/>
    <col min="2017" max="2017" width="6.85546875" style="265" customWidth="1"/>
    <col min="2018" max="2018" width="12" style="265" customWidth="1"/>
    <col min="2019" max="2019" width="5.140625" style="265" customWidth="1"/>
    <col min="2020" max="2020" width="9" style="265" customWidth="1"/>
    <col min="2021" max="2021" width="5.140625" style="265" customWidth="1"/>
    <col min="2022" max="2022" width="9.85546875" style="265" customWidth="1"/>
    <col min="2023" max="2023" width="5.140625" style="265" customWidth="1"/>
    <col min="2024" max="2024" width="9" style="265" customWidth="1"/>
    <col min="2025" max="2025" width="5.140625" style="265" customWidth="1"/>
    <col min="2026" max="2028" width="9.85546875" style="265" customWidth="1"/>
    <col min="2029" max="2029" width="7.140625" style="265" customWidth="1"/>
    <col min="2030" max="2030" width="10.28515625" style="265" customWidth="1"/>
    <col min="2031" max="2031" width="6.42578125" style="265" customWidth="1"/>
    <col min="2032" max="2032" width="9.7109375" style="265" customWidth="1"/>
    <col min="2033" max="2033" width="6.28515625" style="265" customWidth="1"/>
    <col min="2034" max="2034" width="9" style="265" customWidth="1"/>
    <col min="2035" max="2035" width="8" style="265" customWidth="1"/>
    <col min="2036" max="2036" width="12.85546875" style="265" customWidth="1"/>
    <col min="2037" max="2037" width="5.140625" style="265" customWidth="1"/>
    <col min="2038" max="2038" width="9.85546875" style="265" customWidth="1"/>
    <col min="2039" max="2039" width="6.7109375" style="265" customWidth="1"/>
    <col min="2040" max="2040" width="12.42578125" style="265" customWidth="1"/>
    <col min="2041" max="2041" width="5.140625" style="265" customWidth="1"/>
    <col min="2042" max="2042" width="9" style="265" customWidth="1"/>
    <col min="2043" max="2043" width="5.140625" style="265" customWidth="1"/>
    <col min="2044" max="2044" width="9.85546875" style="265" customWidth="1"/>
    <col min="2045" max="2045" width="5.140625" style="265" customWidth="1"/>
    <col min="2046" max="2046" width="6.85546875" style="265" customWidth="1"/>
    <col min="2047" max="2047" width="5.140625" style="265" customWidth="1"/>
    <col min="2048" max="2048" width="10.5703125" style="265" customWidth="1"/>
    <col min="2049" max="2050" width="9" style="265" customWidth="1"/>
    <col min="2051" max="2051" width="7.140625" style="265" customWidth="1"/>
    <col min="2052" max="2052" width="10.28515625" style="265" customWidth="1"/>
    <col min="2053" max="2053" width="6.42578125" style="265" customWidth="1"/>
    <col min="2054" max="2054" width="9.7109375" style="265" customWidth="1"/>
    <col min="2055" max="2055" width="6.28515625" style="265" customWidth="1"/>
    <col min="2056" max="2056" width="9" style="265" customWidth="1"/>
    <col min="2057" max="2057" width="5.140625" style="265" customWidth="1"/>
    <col min="2058" max="2058" width="9.85546875" style="265" customWidth="1"/>
    <col min="2059" max="2059" width="5.140625" style="265" customWidth="1"/>
    <col min="2060" max="2060" width="9.85546875" style="265" customWidth="1"/>
    <col min="2061" max="2061" width="5.140625" style="265" customWidth="1"/>
    <col min="2062" max="2062" width="9.85546875" style="265" customWidth="1"/>
    <col min="2063" max="2063" width="5.140625" style="265" customWidth="1"/>
    <col min="2064" max="2064" width="9" style="265" customWidth="1"/>
    <col min="2065" max="2065" width="5.140625" style="265" customWidth="1"/>
    <col min="2066" max="2066" width="9.85546875" style="265" customWidth="1"/>
    <col min="2067" max="2067" width="5.140625" style="265" customWidth="1"/>
    <col min="2068" max="2068" width="6.85546875" style="265" customWidth="1"/>
    <col min="2069" max="2069" width="5.140625" style="265" customWidth="1"/>
    <col min="2070" max="2070" width="9" style="265" customWidth="1"/>
    <col min="2071" max="2071" width="7.140625" style="265" customWidth="1"/>
    <col min="2072" max="2072" width="10.28515625" style="265" customWidth="1"/>
    <col min="2073" max="2073" width="6.42578125" style="265" customWidth="1"/>
    <col min="2074" max="2074" width="9.7109375" style="265" customWidth="1"/>
    <col min="2075" max="2075" width="6.28515625" style="265" customWidth="1"/>
    <col min="2076" max="2076" width="13" style="265" customWidth="1"/>
    <col min="2077" max="2077" width="6.85546875" style="265" customWidth="1"/>
    <col min="2078" max="2078" width="12.28515625" style="265" customWidth="1"/>
    <col min="2079" max="2079" width="7.7109375" style="265" customWidth="1"/>
    <col min="2080" max="2080" width="10.42578125" style="265" customWidth="1"/>
    <col min="2081" max="2081" width="11.28515625" style="265" customWidth="1"/>
    <col min="2082" max="2082" width="12.28515625" style="265" customWidth="1"/>
    <col min="2083" max="2083" width="5.140625" style="265" customWidth="1"/>
    <col min="2084" max="2084" width="9" style="265" customWidth="1"/>
    <col min="2085" max="2085" width="5.140625" style="265" customWidth="1"/>
    <col min="2086" max="2086" width="9.85546875" style="265" customWidth="1"/>
    <col min="2087" max="2087" width="5.140625" style="265" customWidth="1"/>
    <col min="2088" max="2088" width="6.85546875" style="265" customWidth="1"/>
    <col min="2089" max="2089" width="5.140625" style="265" customWidth="1"/>
    <col min="2090" max="2090" width="10.7109375" style="265" customWidth="1"/>
    <col min="2091" max="2091" width="6.85546875" style="265" customWidth="1"/>
    <col min="2092" max="2092" width="12" style="265" customWidth="1"/>
    <col min="2093" max="2093" width="0" style="265" hidden="1" customWidth="1"/>
    <col min="2094" max="2094" width="8.42578125" style="265" customWidth="1"/>
    <col min="2095" max="2095" width="12" style="265" customWidth="1"/>
    <col min="2096" max="2096" width="8.28515625" style="265" customWidth="1"/>
    <col min="2097" max="2097" width="15.28515625" style="265" customWidth="1"/>
    <col min="2098" max="2098" width="13.5703125" style="265" customWidth="1"/>
    <col min="2099" max="2100" width="0" style="265" hidden="1" customWidth="1"/>
    <col min="2101" max="2102" width="15.7109375" style="265" customWidth="1"/>
    <col min="2103" max="2103" width="17.28515625" style="265" customWidth="1"/>
    <col min="2104" max="2104" width="0" style="265" hidden="1" customWidth="1"/>
    <col min="2105" max="2105" width="18.28515625" style="265" customWidth="1"/>
    <col min="2106" max="2106" width="17.42578125" style="265" customWidth="1"/>
    <col min="2107" max="2107" width="10.7109375" style="265" bestFit="1" customWidth="1"/>
    <col min="2108" max="2108" width="11" style="265" bestFit="1" customWidth="1"/>
    <col min="2109" max="2258" width="8.85546875" style="265"/>
    <col min="2259" max="2259" width="4.7109375" style="265" customWidth="1"/>
    <col min="2260" max="2262" width="16" style="265" customWidth="1"/>
    <col min="2263" max="2263" width="9.42578125" style="265" customWidth="1"/>
    <col min="2264" max="2264" width="10.28515625" style="265" customWidth="1"/>
    <col min="2265" max="2265" width="7.85546875" style="265" customWidth="1"/>
    <col min="2266" max="2266" width="9.7109375" style="265" customWidth="1"/>
    <col min="2267" max="2267" width="6" style="265" customWidth="1"/>
    <col min="2268" max="2268" width="10.7109375" style="265" customWidth="1"/>
    <col min="2269" max="2269" width="8.28515625" style="265" customWidth="1"/>
    <col min="2270" max="2270" width="12.28515625" style="265" customWidth="1"/>
    <col min="2271" max="2271" width="6" style="265" customWidth="1"/>
    <col min="2272" max="2272" width="10.7109375" style="265" customWidth="1"/>
    <col min="2273" max="2273" width="6.85546875" style="265" customWidth="1"/>
    <col min="2274" max="2274" width="12" style="265" customWidth="1"/>
    <col min="2275" max="2275" width="5.140625" style="265" customWidth="1"/>
    <col min="2276" max="2276" width="9" style="265" customWidth="1"/>
    <col min="2277" max="2277" width="5.140625" style="265" customWidth="1"/>
    <col min="2278" max="2278" width="9.85546875" style="265" customWidth="1"/>
    <col min="2279" max="2279" width="5.140625" style="265" customWidth="1"/>
    <col min="2280" max="2280" width="9" style="265" customWidth="1"/>
    <col min="2281" max="2281" width="5.140625" style="265" customWidth="1"/>
    <col min="2282" max="2284" width="9.85546875" style="265" customWidth="1"/>
    <col min="2285" max="2285" width="7.140625" style="265" customWidth="1"/>
    <col min="2286" max="2286" width="10.28515625" style="265" customWidth="1"/>
    <col min="2287" max="2287" width="6.42578125" style="265" customWidth="1"/>
    <col min="2288" max="2288" width="9.7109375" style="265" customWidth="1"/>
    <col min="2289" max="2289" width="6.28515625" style="265" customWidth="1"/>
    <col min="2290" max="2290" width="9" style="265" customWidth="1"/>
    <col min="2291" max="2291" width="8" style="265" customWidth="1"/>
    <col min="2292" max="2292" width="12.85546875" style="265" customWidth="1"/>
    <col min="2293" max="2293" width="5.140625" style="265" customWidth="1"/>
    <col min="2294" max="2294" width="9.85546875" style="265" customWidth="1"/>
    <col min="2295" max="2295" width="6.7109375" style="265" customWidth="1"/>
    <col min="2296" max="2296" width="12.42578125" style="265" customWidth="1"/>
    <col min="2297" max="2297" width="5.140625" style="265" customWidth="1"/>
    <col min="2298" max="2298" width="9" style="265" customWidth="1"/>
    <col min="2299" max="2299" width="5.140625" style="265" customWidth="1"/>
    <col min="2300" max="2300" width="9.85546875" style="265" customWidth="1"/>
    <col min="2301" max="2301" width="5.140625" style="265" customWidth="1"/>
    <col min="2302" max="2302" width="6.85546875" style="265" customWidth="1"/>
    <col min="2303" max="2303" width="5.140625" style="265" customWidth="1"/>
    <col min="2304" max="2304" width="10.5703125" style="265" customWidth="1"/>
    <col min="2305" max="2306" width="9" style="265" customWidth="1"/>
    <col min="2307" max="2307" width="7.140625" style="265" customWidth="1"/>
    <col min="2308" max="2308" width="10.28515625" style="265" customWidth="1"/>
    <col min="2309" max="2309" width="6.42578125" style="265" customWidth="1"/>
    <col min="2310" max="2310" width="9.7109375" style="265" customWidth="1"/>
    <col min="2311" max="2311" width="6.28515625" style="265" customWidth="1"/>
    <col min="2312" max="2312" width="9" style="265" customWidth="1"/>
    <col min="2313" max="2313" width="5.140625" style="265" customWidth="1"/>
    <col min="2314" max="2314" width="9.85546875" style="265" customWidth="1"/>
    <col min="2315" max="2315" width="5.140625" style="265" customWidth="1"/>
    <col min="2316" max="2316" width="9.85546875" style="265" customWidth="1"/>
    <col min="2317" max="2317" width="5.140625" style="265" customWidth="1"/>
    <col min="2318" max="2318" width="9.85546875" style="265" customWidth="1"/>
    <col min="2319" max="2319" width="5.140625" style="265" customWidth="1"/>
    <col min="2320" max="2320" width="9" style="265" customWidth="1"/>
    <col min="2321" max="2321" width="5.140625" style="265" customWidth="1"/>
    <col min="2322" max="2322" width="9.85546875" style="265" customWidth="1"/>
    <col min="2323" max="2323" width="5.140625" style="265" customWidth="1"/>
    <col min="2324" max="2324" width="6.85546875" style="265" customWidth="1"/>
    <col min="2325" max="2325" width="5.140625" style="265" customWidth="1"/>
    <col min="2326" max="2326" width="9" style="265" customWidth="1"/>
    <col min="2327" max="2327" width="7.140625" style="265" customWidth="1"/>
    <col min="2328" max="2328" width="10.28515625" style="265" customWidth="1"/>
    <col min="2329" max="2329" width="6.42578125" style="265" customWidth="1"/>
    <col min="2330" max="2330" width="9.7109375" style="265" customWidth="1"/>
    <col min="2331" max="2331" width="6.28515625" style="265" customWidth="1"/>
    <col min="2332" max="2332" width="13" style="265" customWidth="1"/>
    <col min="2333" max="2333" width="6.85546875" style="265" customWidth="1"/>
    <col min="2334" max="2334" width="12.28515625" style="265" customWidth="1"/>
    <col min="2335" max="2335" width="7.7109375" style="265" customWidth="1"/>
    <col min="2336" max="2336" width="10.42578125" style="265" customWidth="1"/>
    <col min="2337" max="2337" width="11.28515625" style="265" customWidth="1"/>
    <col min="2338" max="2338" width="12.28515625" style="265" customWidth="1"/>
    <col min="2339" max="2339" width="5.140625" style="265" customWidth="1"/>
    <col min="2340" max="2340" width="9" style="265" customWidth="1"/>
    <col min="2341" max="2341" width="5.140625" style="265" customWidth="1"/>
    <col min="2342" max="2342" width="9.85546875" style="265" customWidth="1"/>
    <col min="2343" max="2343" width="5.140625" style="265" customWidth="1"/>
    <col min="2344" max="2344" width="6.85546875" style="265" customWidth="1"/>
    <col min="2345" max="2345" width="5.140625" style="265" customWidth="1"/>
    <col min="2346" max="2346" width="10.7109375" style="265" customWidth="1"/>
    <col min="2347" max="2347" width="6.85546875" style="265" customWidth="1"/>
    <col min="2348" max="2348" width="12" style="265" customWidth="1"/>
    <col min="2349" max="2349" width="0" style="265" hidden="1" customWidth="1"/>
    <col min="2350" max="2350" width="8.42578125" style="265" customWidth="1"/>
    <col min="2351" max="2351" width="12" style="265" customWidth="1"/>
    <col min="2352" max="2352" width="8.28515625" style="265" customWidth="1"/>
    <col min="2353" max="2353" width="15.28515625" style="265" customWidth="1"/>
    <col min="2354" max="2354" width="13.5703125" style="265" customWidth="1"/>
    <col min="2355" max="2356" width="0" style="265" hidden="1" customWidth="1"/>
    <col min="2357" max="2358" width="15.7109375" style="265" customWidth="1"/>
    <col min="2359" max="2359" width="17.28515625" style="265" customWidth="1"/>
    <col min="2360" max="2360" width="0" style="265" hidden="1" customWidth="1"/>
    <col min="2361" max="2361" width="18.28515625" style="265" customWidth="1"/>
    <col min="2362" max="2362" width="17.42578125" style="265" customWidth="1"/>
    <col min="2363" max="2363" width="10.7109375" style="265" bestFit="1" customWidth="1"/>
    <col min="2364" max="2364" width="11" style="265" bestFit="1" customWidth="1"/>
    <col min="2365" max="2514" width="8.85546875" style="265"/>
    <col min="2515" max="2515" width="4.7109375" style="265" customWidth="1"/>
    <col min="2516" max="2518" width="16" style="265" customWidth="1"/>
    <col min="2519" max="2519" width="9.42578125" style="265" customWidth="1"/>
    <col min="2520" max="2520" width="10.28515625" style="265" customWidth="1"/>
    <col min="2521" max="2521" width="7.85546875" style="265" customWidth="1"/>
    <col min="2522" max="2522" width="9.7109375" style="265" customWidth="1"/>
    <col min="2523" max="2523" width="6" style="265" customWidth="1"/>
    <col min="2524" max="2524" width="10.7109375" style="265" customWidth="1"/>
    <col min="2525" max="2525" width="8.28515625" style="265" customWidth="1"/>
    <col min="2526" max="2526" width="12.28515625" style="265" customWidth="1"/>
    <col min="2527" max="2527" width="6" style="265" customWidth="1"/>
    <col min="2528" max="2528" width="10.7109375" style="265" customWidth="1"/>
    <col min="2529" max="2529" width="6.85546875" style="265" customWidth="1"/>
    <col min="2530" max="2530" width="12" style="265" customWidth="1"/>
    <col min="2531" max="2531" width="5.140625" style="265" customWidth="1"/>
    <col min="2532" max="2532" width="9" style="265" customWidth="1"/>
    <col min="2533" max="2533" width="5.140625" style="265" customWidth="1"/>
    <col min="2534" max="2534" width="9.85546875" style="265" customWidth="1"/>
    <col min="2535" max="2535" width="5.140625" style="265" customWidth="1"/>
    <col min="2536" max="2536" width="9" style="265" customWidth="1"/>
    <col min="2537" max="2537" width="5.140625" style="265" customWidth="1"/>
    <col min="2538" max="2540" width="9.85546875" style="265" customWidth="1"/>
    <col min="2541" max="2541" width="7.140625" style="265" customWidth="1"/>
    <col min="2542" max="2542" width="10.28515625" style="265" customWidth="1"/>
    <col min="2543" max="2543" width="6.42578125" style="265" customWidth="1"/>
    <col min="2544" max="2544" width="9.7109375" style="265" customWidth="1"/>
    <col min="2545" max="2545" width="6.28515625" style="265" customWidth="1"/>
    <col min="2546" max="2546" width="9" style="265" customWidth="1"/>
    <col min="2547" max="2547" width="8" style="265" customWidth="1"/>
    <col min="2548" max="2548" width="12.85546875" style="265" customWidth="1"/>
    <col min="2549" max="2549" width="5.140625" style="265" customWidth="1"/>
    <col min="2550" max="2550" width="9.85546875" style="265" customWidth="1"/>
    <col min="2551" max="2551" width="6.7109375" style="265" customWidth="1"/>
    <col min="2552" max="2552" width="12.42578125" style="265" customWidth="1"/>
    <col min="2553" max="2553" width="5.140625" style="265" customWidth="1"/>
    <col min="2554" max="2554" width="9" style="265" customWidth="1"/>
    <col min="2555" max="2555" width="5.140625" style="265" customWidth="1"/>
    <col min="2556" max="2556" width="9.85546875" style="265" customWidth="1"/>
    <col min="2557" max="2557" width="5.140625" style="265" customWidth="1"/>
    <col min="2558" max="2558" width="6.85546875" style="265" customWidth="1"/>
    <col min="2559" max="2559" width="5.140625" style="265" customWidth="1"/>
    <col min="2560" max="2560" width="10.5703125" style="265" customWidth="1"/>
    <col min="2561" max="2562" width="9" style="265" customWidth="1"/>
    <col min="2563" max="2563" width="7.140625" style="265" customWidth="1"/>
    <col min="2564" max="2564" width="10.28515625" style="265" customWidth="1"/>
    <col min="2565" max="2565" width="6.42578125" style="265" customWidth="1"/>
    <col min="2566" max="2566" width="9.7109375" style="265" customWidth="1"/>
    <col min="2567" max="2567" width="6.28515625" style="265" customWidth="1"/>
    <col min="2568" max="2568" width="9" style="265" customWidth="1"/>
    <col min="2569" max="2569" width="5.140625" style="265" customWidth="1"/>
    <col min="2570" max="2570" width="9.85546875" style="265" customWidth="1"/>
    <col min="2571" max="2571" width="5.140625" style="265" customWidth="1"/>
    <col min="2572" max="2572" width="9.85546875" style="265" customWidth="1"/>
    <col min="2573" max="2573" width="5.140625" style="265" customWidth="1"/>
    <col min="2574" max="2574" width="9.85546875" style="265" customWidth="1"/>
    <col min="2575" max="2575" width="5.140625" style="265" customWidth="1"/>
    <col min="2576" max="2576" width="9" style="265" customWidth="1"/>
    <col min="2577" max="2577" width="5.140625" style="265" customWidth="1"/>
    <col min="2578" max="2578" width="9.85546875" style="265" customWidth="1"/>
    <col min="2579" max="2579" width="5.140625" style="265" customWidth="1"/>
    <col min="2580" max="2580" width="6.85546875" style="265" customWidth="1"/>
    <col min="2581" max="2581" width="5.140625" style="265" customWidth="1"/>
    <col min="2582" max="2582" width="9" style="265" customWidth="1"/>
    <col min="2583" max="2583" width="7.140625" style="265" customWidth="1"/>
    <col min="2584" max="2584" width="10.28515625" style="265" customWidth="1"/>
    <col min="2585" max="2585" width="6.42578125" style="265" customWidth="1"/>
    <col min="2586" max="2586" width="9.7109375" style="265" customWidth="1"/>
    <col min="2587" max="2587" width="6.28515625" style="265" customWidth="1"/>
    <col min="2588" max="2588" width="13" style="265" customWidth="1"/>
    <col min="2589" max="2589" width="6.85546875" style="265" customWidth="1"/>
    <col min="2590" max="2590" width="12.28515625" style="265" customWidth="1"/>
    <col min="2591" max="2591" width="7.7109375" style="265" customWidth="1"/>
    <col min="2592" max="2592" width="10.42578125" style="265" customWidth="1"/>
    <col min="2593" max="2593" width="11.28515625" style="265" customWidth="1"/>
    <col min="2594" max="2594" width="12.28515625" style="265" customWidth="1"/>
    <col min="2595" max="2595" width="5.140625" style="265" customWidth="1"/>
    <col min="2596" max="2596" width="9" style="265" customWidth="1"/>
    <col min="2597" max="2597" width="5.140625" style="265" customWidth="1"/>
    <col min="2598" max="2598" width="9.85546875" style="265" customWidth="1"/>
    <col min="2599" max="2599" width="5.140625" style="265" customWidth="1"/>
    <col min="2600" max="2600" width="6.85546875" style="265" customWidth="1"/>
    <col min="2601" max="2601" width="5.140625" style="265" customWidth="1"/>
    <col min="2602" max="2602" width="10.7109375" style="265" customWidth="1"/>
    <col min="2603" max="2603" width="6.85546875" style="265" customWidth="1"/>
    <col min="2604" max="2604" width="12" style="265" customWidth="1"/>
    <col min="2605" max="2605" width="0" style="265" hidden="1" customWidth="1"/>
    <col min="2606" max="2606" width="8.42578125" style="265" customWidth="1"/>
    <col min="2607" max="2607" width="12" style="265" customWidth="1"/>
    <col min="2608" max="2608" width="8.28515625" style="265" customWidth="1"/>
    <col min="2609" max="2609" width="15.28515625" style="265" customWidth="1"/>
    <col min="2610" max="2610" width="13.5703125" style="265" customWidth="1"/>
    <col min="2611" max="2612" width="0" style="265" hidden="1" customWidth="1"/>
    <col min="2613" max="2614" width="15.7109375" style="265" customWidth="1"/>
    <col min="2615" max="2615" width="17.28515625" style="265" customWidth="1"/>
    <col min="2616" max="2616" width="0" style="265" hidden="1" customWidth="1"/>
    <col min="2617" max="2617" width="18.28515625" style="265" customWidth="1"/>
    <col min="2618" max="2618" width="17.42578125" style="265" customWidth="1"/>
    <col min="2619" max="2619" width="10.7109375" style="265" bestFit="1" customWidth="1"/>
    <col min="2620" max="2620" width="11" style="265" bestFit="1" customWidth="1"/>
    <col min="2621" max="2770" width="8.85546875" style="265"/>
    <col min="2771" max="2771" width="4.7109375" style="265" customWidth="1"/>
    <col min="2772" max="2774" width="16" style="265" customWidth="1"/>
    <col min="2775" max="2775" width="9.42578125" style="265" customWidth="1"/>
    <col min="2776" max="2776" width="10.28515625" style="265" customWidth="1"/>
    <col min="2777" max="2777" width="7.85546875" style="265" customWidth="1"/>
    <col min="2778" max="2778" width="9.7109375" style="265" customWidth="1"/>
    <col min="2779" max="2779" width="6" style="265" customWidth="1"/>
    <col min="2780" max="2780" width="10.7109375" style="265" customWidth="1"/>
    <col min="2781" max="2781" width="8.28515625" style="265" customWidth="1"/>
    <col min="2782" max="2782" width="12.28515625" style="265" customWidth="1"/>
    <col min="2783" max="2783" width="6" style="265" customWidth="1"/>
    <col min="2784" max="2784" width="10.7109375" style="265" customWidth="1"/>
    <col min="2785" max="2785" width="6.85546875" style="265" customWidth="1"/>
    <col min="2786" max="2786" width="12" style="265" customWidth="1"/>
    <col min="2787" max="2787" width="5.140625" style="265" customWidth="1"/>
    <col min="2788" max="2788" width="9" style="265" customWidth="1"/>
    <col min="2789" max="2789" width="5.140625" style="265" customWidth="1"/>
    <col min="2790" max="2790" width="9.85546875" style="265" customWidth="1"/>
    <col min="2791" max="2791" width="5.140625" style="265" customWidth="1"/>
    <col min="2792" max="2792" width="9" style="265" customWidth="1"/>
    <col min="2793" max="2793" width="5.140625" style="265" customWidth="1"/>
    <col min="2794" max="2796" width="9.85546875" style="265" customWidth="1"/>
    <col min="2797" max="2797" width="7.140625" style="265" customWidth="1"/>
    <col min="2798" max="2798" width="10.28515625" style="265" customWidth="1"/>
    <col min="2799" max="2799" width="6.42578125" style="265" customWidth="1"/>
    <col min="2800" max="2800" width="9.7109375" style="265" customWidth="1"/>
    <col min="2801" max="2801" width="6.28515625" style="265" customWidth="1"/>
    <col min="2802" max="2802" width="9" style="265" customWidth="1"/>
    <col min="2803" max="2803" width="8" style="265" customWidth="1"/>
    <col min="2804" max="2804" width="12.85546875" style="265" customWidth="1"/>
    <col min="2805" max="2805" width="5.140625" style="265" customWidth="1"/>
    <col min="2806" max="2806" width="9.85546875" style="265" customWidth="1"/>
    <col min="2807" max="2807" width="6.7109375" style="265" customWidth="1"/>
    <col min="2808" max="2808" width="12.42578125" style="265" customWidth="1"/>
    <col min="2809" max="2809" width="5.140625" style="265" customWidth="1"/>
    <col min="2810" max="2810" width="9" style="265" customWidth="1"/>
    <col min="2811" max="2811" width="5.140625" style="265" customWidth="1"/>
    <col min="2812" max="2812" width="9.85546875" style="265" customWidth="1"/>
    <col min="2813" max="2813" width="5.140625" style="265" customWidth="1"/>
    <col min="2814" max="2814" width="6.85546875" style="265" customWidth="1"/>
    <col min="2815" max="2815" width="5.140625" style="265" customWidth="1"/>
    <col min="2816" max="2816" width="10.5703125" style="265" customWidth="1"/>
    <col min="2817" max="2818" width="9" style="265" customWidth="1"/>
    <col min="2819" max="2819" width="7.140625" style="265" customWidth="1"/>
    <col min="2820" max="2820" width="10.28515625" style="265" customWidth="1"/>
    <col min="2821" max="2821" width="6.42578125" style="265" customWidth="1"/>
    <col min="2822" max="2822" width="9.7109375" style="265" customWidth="1"/>
    <col min="2823" max="2823" width="6.28515625" style="265" customWidth="1"/>
    <col min="2824" max="2824" width="9" style="265" customWidth="1"/>
    <col min="2825" max="2825" width="5.140625" style="265" customWidth="1"/>
    <col min="2826" max="2826" width="9.85546875" style="265" customWidth="1"/>
    <col min="2827" max="2827" width="5.140625" style="265" customWidth="1"/>
    <col min="2828" max="2828" width="9.85546875" style="265" customWidth="1"/>
    <col min="2829" max="2829" width="5.140625" style="265" customWidth="1"/>
    <col min="2830" max="2830" width="9.85546875" style="265" customWidth="1"/>
    <col min="2831" max="2831" width="5.140625" style="265" customWidth="1"/>
    <col min="2832" max="2832" width="9" style="265" customWidth="1"/>
    <col min="2833" max="2833" width="5.140625" style="265" customWidth="1"/>
    <col min="2834" max="2834" width="9.85546875" style="265" customWidth="1"/>
    <col min="2835" max="2835" width="5.140625" style="265" customWidth="1"/>
    <col min="2836" max="2836" width="6.85546875" style="265" customWidth="1"/>
    <col min="2837" max="2837" width="5.140625" style="265" customWidth="1"/>
    <col min="2838" max="2838" width="9" style="265" customWidth="1"/>
    <col min="2839" max="2839" width="7.140625" style="265" customWidth="1"/>
    <col min="2840" max="2840" width="10.28515625" style="265" customWidth="1"/>
    <col min="2841" max="2841" width="6.42578125" style="265" customWidth="1"/>
    <col min="2842" max="2842" width="9.7109375" style="265" customWidth="1"/>
    <col min="2843" max="2843" width="6.28515625" style="265" customWidth="1"/>
    <col min="2844" max="2844" width="13" style="265" customWidth="1"/>
    <col min="2845" max="2845" width="6.85546875" style="265" customWidth="1"/>
    <col min="2846" max="2846" width="12.28515625" style="265" customWidth="1"/>
    <col min="2847" max="2847" width="7.7109375" style="265" customWidth="1"/>
    <col min="2848" max="2848" width="10.42578125" style="265" customWidth="1"/>
    <col min="2849" max="2849" width="11.28515625" style="265" customWidth="1"/>
    <col min="2850" max="2850" width="12.28515625" style="265" customWidth="1"/>
    <col min="2851" max="2851" width="5.140625" style="265" customWidth="1"/>
    <col min="2852" max="2852" width="9" style="265" customWidth="1"/>
    <col min="2853" max="2853" width="5.140625" style="265" customWidth="1"/>
    <col min="2854" max="2854" width="9.85546875" style="265" customWidth="1"/>
    <col min="2855" max="2855" width="5.140625" style="265" customWidth="1"/>
    <col min="2856" max="2856" width="6.85546875" style="265" customWidth="1"/>
    <col min="2857" max="2857" width="5.140625" style="265" customWidth="1"/>
    <col min="2858" max="2858" width="10.7109375" style="265" customWidth="1"/>
    <col min="2859" max="2859" width="6.85546875" style="265" customWidth="1"/>
    <col min="2860" max="2860" width="12" style="265" customWidth="1"/>
    <col min="2861" max="2861" width="0" style="265" hidden="1" customWidth="1"/>
    <col min="2862" max="2862" width="8.42578125" style="265" customWidth="1"/>
    <col min="2863" max="2863" width="12" style="265" customWidth="1"/>
    <col min="2864" max="2864" width="8.28515625" style="265" customWidth="1"/>
    <col min="2865" max="2865" width="15.28515625" style="265" customWidth="1"/>
    <col min="2866" max="2866" width="13.5703125" style="265" customWidth="1"/>
    <col min="2867" max="2868" width="0" style="265" hidden="1" customWidth="1"/>
    <col min="2869" max="2870" width="15.7109375" style="265" customWidth="1"/>
    <col min="2871" max="2871" width="17.28515625" style="265" customWidth="1"/>
    <col min="2872" max="2872" width="0" style="265" hidden="1" customWidth="1"/>
    <col min="2873" max="2873" width="18.28515625" style="265" customWidth="1"/>
    <col min="2874" max="2874" width="17.42578125" style="265" customWidth="1"/>
    <col min="2875" max="2875" width="10.7109375" style="265" bestFit="1" customWidth="1"/>
    <col min="2876" max="2876" width="11" style="265" bestFit="1" customWidth="1"/>
    <col min="2877" max="3026" width="8.85546875" style="265"/>
    <col min="3027" max="3027" width="4.7109375" style="265" customWidth="1"/>
    <col min="3028" max="3030" width="16" style="265" customWidth="1"/>
    <col min="3031" max="3031" width="9.42578125" style="265" customWidth="1"/>
    <col min="3032" max="3032" width="10.28515625" style="265" customWidth="1"/>
    <col min="3033" max="3033" width="7.85546875" style="265" customWidth="1"/>
    <col min="3034" max="3034" width="9.7109375" style="265" customWidth="1"/>
    <col min="3035" max="3035" width="6" style="265" customWidth="1"/>
    <col min="3036" max="3036" width="10.7109375" style="265" customWidth="1"/>
    <col min="3037" max="3037" width="8.28515625" style="265" customWidth="1"/>
    <col min="3038" max="3038" width="12.28515625" style="265" customWidth="1"/>
    <col min="3039" max="3039" width="6" style="265" customWidth="1"/>
    <col min="3040" max="3040" width="10.7109375" style="265" customWidth="1"/>
    <col min="3041" max="3041" width="6.85546875" style="265" customWidth="1"/>
    <col min="3042" max="3042" width="12" style="265" customWidth="1"/>
    <col min="3043" max="3043" width="5.140625" style="265" customWidth="1"/>
    <col min="3044" max="3044" width="9" style="265" customWidth="1"/>
    <col min="3045" max="3045" width="5.140625" style="265" customWidth="1"/>
    <col min="3046" max="3046" width="9.85546875" style="265" customWidth="1"/>
    <col min="3047" max="3047" width="5.140625" style="265" customWidth="1"/>
    <col min="3048" max="3048" width="9" style="265" customWidth="1"/>
    <col min="3049" max="3049" width="5.140625" style="265" customWidth="1"/>
    <col min="3050" max="3052" width="9.85546875" style="265" customWidth="1"/>
    <col min="3053" max="3053" width="7.140625" style="265" customWidth="1"/>
    <col min="3054" max="3054" width="10.28515625" style="265" customWidth="1"/>
    <col min="3055" max="3055" width="6.42578125" style="265" customWidth="1"/>
    <col min="3056" max="3056" width="9.7109375" style="265" customWidth="1"/>
    <col min="3057" max="3057" width="6.28515625" style="265" customWidth="1"/>
    <col min="3058" max="3058" width="9" style="265" customWidth="1"/>
    <col min="3059" max="3059" width="8" style="265" customWidth="1"/>
    <col min="3060" max="3060" width="12.85546875" style="265" customWidth="1"/>
    <col min="3061" max="3061" width="5.140625" style="265" customWidth="1"/>
    <col min="3062" max="3062" width="9.85546875" style="265" customWidth="1"/>
    <col min="3063" max="3063" width="6.7109375" style="265" customWidth="1"/>
    <col min="3064" max="3064" width="12.42578125" style="265" customWidth="1"/>
    <col min="3065" max="3065" width="5.140625" style="265" customWidth="1"/>
    <col min="3066" max="3066" width="9" style="265" customWidth="1"/>
    <col min="3067" max="3067" width="5.140625" style="265" customWidth="1"/>
    <col min="3068" max="3068" width="9.85546875" style="265" customWidth="1"/>
    <col min="3069" max="3069" width="5.140625" style="265" customWidth="1"/>
    <col min="3070" max="3070" width="6.85546875" style="265" customWidth="1"/>
    <col min="3071" max="3071" width="5.140625" style="265" customWidth="1"/>
    <col min="3072" max="3072" width="10.5703125" style="265" customWidth="1"/>
    <col min="3073" max="3074" width="9" style="265" customWidth="1"/>
    <col min="3075" max="3075" width="7.140625" style="265" customWidth="1"/>
    <col min="3076" max="3076" width="10.28515625" style="265" customWidth="1"/>
    <col min="3077" max="3077" width="6.42578125" style="265" customWidth="1"/>
    <col min="3078" max="3078" width="9.7109375" style="265" customWidth="1"/>
    <col min="3079" max="3079" width="6.28515625" style="265" customWidth="1"/>
    <col min="3080" max="3080" width="9" style="265" customWidth="1"/>
    <col min="3081" max="3081" width="5.140625" style="265" customWidth="1"/>
    <col min="3082" max="3082" width="9.85546875" style="265" customWidth="1"/>
    <col min="3083" max="3083" width="5.140625" style="265" customWidth="1"/>
    <col min="3084" max="3084" width="9.85546875" style="265" customWidth="1"/>
    <col min="3085" max="3085" width="5.140625" style="265" customWidth="1"/>
    <col min="3086" max="3086" width="9.85546875" style="265" customWidth="1"/>
    <col min="3087" max="3087" width="5.140625" style="265" customWidth="1"/>
    <col min="3088" max="3088" width="9" style="265" customWidth="1"/>
    <col min="3089" max="3089" width="5.140625" style="265" customWidth="1"/>
    <col min="3090" max="3090" width="9.85546875" style="265" customWidth="1"/>
    <col min="3091" max="3091" width="5.140625" style="265" customWidth="1"/>
    <col min="3092" max="3092" width="6.85546875" style="265" customWidth="1"/>
    <col min="3093" max="3093" width="5.140625" style="265" customWidth="1"/>
    <col min="3094" max="3094" width="9" style="265" customWidth="1"/>
    <col min="3095" max="3095" width="7.140625" style="265" customWidth="1"/>
    <col min="3096" max="3096" width="10.28515625" style="265" customWidth="1"/>
    <col min="3097" max="3097" width="6.42578125" style="265" customWidth="1"/>
    <col min="3098" max="3098" width="9.7109375" style="265" customWidth="1"/>
    <col min="3099" max="3099" width="6.28515625" style="265" customWidth="1"/>
    <col min="3100" max="3100" width="13" style="265" customWidth="1"/>
    <col min="3101" max="3101" width="6.85546875" style="265" customWidth="1"/>
    <col min="3102" max="3102" width="12.28515625" style="265" customWidth="1"/>
    <col min="3103" max="3103" width="7.7109375" style="265" customWidth="1"/>
    <col min="3104" max="3104" width="10.42578125" style="265" customWidth="1"/>
    <col min="3105" max="3105" width="11.28515625" style="265" customWidth="1"/>
    <col min="3106" max="3106" width="12.28515625" style="265" customWidth="1"/>
    <col min="3107" max="3107" width="5.140625" style="265" customWidth="1"/>
    <col min="3108" max="3108" width="9" style="265" customWidth="1"/>
    <col min="3109" max="3109" width="5.140625" style="265" customWidth="1"/>
    <col min="3110" max="3110" width="9.85546875" style="265" customWidth="1"/>
    <col min="3111" max="3111" width="5.140625" style="265" customWidth="1"/>
    <col min="3112" max="3112" width="6.85546875" style="265" customWidth="1"/>
    <col min="3113" max="3113" width="5.140625" style="265" customWidth="1"/>
    <col min="3114" max="3114" width="10.7109375" style="265" customWidth="1"/>
    <col min="3115" max="3115" width="6.85546875" style="265" customWidth="1"/>
    <col min="3116" max="3116" width="12" style="265" customWidth="1"/>
    <col min="3117" max="3117" width="0" style="265" hidden="1" customWidth="1"/>
    <col min="3118" max="3118" width="8.42578125" style="265" customWidth="1"/>
    <col min="3119" max="3119" width="12" style="265" customWidth="1"/>
    <col min="3120" max="3120" width="8.28515625" style="265" customWidth="1"/>
    <col min="3121" max="3121" width="15.28515625" style="265" customWidth="1"/>
    <col min="3122" max="3122" width="13.5703125" style="265" customWidth="1"/>
    <col min="3123" max="3124" width="0" style="265" hidden="1" customWidth="1"/>
    <col min="3125" max="3126" width="15.7109375" style="265" customWidth="1"/>
    <col min="3127" max="3127" width="17.28515625" style="265" customWidth="1"/>
    <col min="3128" max="3128" width="0" style="265" hidden="1" customWidth="1"/>
    <col min="3129" max="3129" width="18.28515625" style="265" customWidth="1"/>
    <col min="3130" max="3130" width="17.42578125" style="265" customWidth="1"/>
    <col min="3131" max="3131" width="10.7109375" style="265" bestFit="1" customWidth="1"/>
    <col min="3132" max="3132" width="11" style="265" bestFit="1" customWidth="1"/>
    <col min="3133" max="3282" width="8.85546875" style="265"/>
    <col min="3283" max="3283" width="4.7109375" style="265" customWidth="1"/>
    <col min="3284" max="3286" width="16" style="265" customWidth="1"/>
    <col min="3287" max="3287" width="9.42578125" style="265" customWidth="1"/>
    <col min="3288" max="3288" width="10.28515625" style="265" customWidth="1"/>
    <col min="3289" max="3289" width="7.85546875" style="265" customWidth="1"/>
    <col min="3290" max="3290" width="9.7109375" style="265" customWidth="1"/>
    <col min="3291" max="3291" width="6" style="265" customWidth="1"/>
    <col min="3292" max="3292" width="10.7109375" style="265" customWidth="1"/>
    <col min="3293" max="3293" width="8.28515625" style="265" customWidth="1"/>
    <col min="3294" max="3294" width="12.28515625" style="265" customWidth="1"/>
    <col min="3295" max="3295" width="6" style="265" customWidth="1"/>
    <col min="3296" max="3296" width="10.7109375" style="265" customWidth="1"/>
    <col min="3297" max="3297" width="6.85546875" style="265" customWidth="1"/>
    <col min="3298" max="3298" width="12" style="265" customWidth="1"/>
    <col min="3299" max="3299" width="5.140625" style="265" customWidth="1"/>
    <col min="3300" max="3300" width="9" style="265" customWidth="1"/>
    <col min="3301" max="3301" width="5.140625" style="265" customWidth="1"/>
    <col min="3302" max="3302" width="9.85546875" style="265" customWidth="1"/>
    <col min="3303" max="3303" width="5.140625" style="265" customWidth="1"/>
    <col min="3304" max="3304" width="9" style="265" customWidth="1"/>
    <col min="3305" max="3305" width="5.140625" style="265" customWidth="1"/>
    <col min="3306" max="3308" width="9.85546875" style="265" customWidth="1"/>
    <col min="3309" max="3309" width="7.140625" style="265" customWidth="1"/>
    <col min="3310" max="3310" width="10.28515625" style="265" customWidth="1"/>
    <col min="3311" max="3311" width="6.42578125" style="265" customWidth="1"/>
    <col min="3312" max="3312" width="9.7109375" style="265" customWidth="1"/>
    <col min="3313" max="3313" width="6.28515625" style="265" customWidth="1"/>
    <col min="3314" max="3314" width="9" style="265" customWidth="1"/>
    <col min="3315" max="3315" width="8" style="265" customWidth="1"/>
    <col min="3316" max="3316" width="12.85546875" style="265" customWidth="1"/>
    <col min="3317" max="3317" width="5.140625" style="265" customWidth="1"/>
    <col min="3318" max="3318" width="9.85546875" style="265" customWidth="1"/>
    <col min="3319" max="3319" width="6.7109375" style="265" customWidth="1"/>
    <col min="3320" max="3320" width="12.42578125" style="265" customWidth="1"/>
    <col min="3321" max="3321" width="5.140625" style="265" customWidth="1"/>
    <col min="3322" max="3322" width="9" style="265" customWidth="1"/>
    <col min="3323" max="3323" width="5.140625" style="265" customWidth="1"/>
    <col min="3324" max="3324" width="9.85546875" style="265" customWidth="1"/>
    <col min="3325" max="3325" width="5.140625" style="265" customWidth="1"/>
    <col min="3326" max="3326" width="6.85546875" style="265" customWidth="1"/>
    <col min="3327" max="3327" width="5.140625" style="265" customWidth="1"/>
    <col min="3328" max="3328" width="10.5703125" style="265" customWidth="1"/>
    <col min="3329" max="3330" width="9" style="265" customWidth="1"/>
    <col min="3331" max="3331" width="7.140625" style="265" customWidth="1"/>
    <col min="3332" max="3332" width="10.28515625" style="265" customWidth="1"/>
    <col min="3333" max="3333" width="6.42578125" style="265" customWidth="1"/>
    <col min="3334" max="3334" width="9.7109375" style="265" customWidth="1"/>
    <col min="3335" max="3335" width="6.28515625" style="265" customWidth="1"/>
    <col min="3336" max="3336" width="9" style="265" customWidth="1"/>
    <col min="3337" max="3337" width="5.140625" style="265" customWidth="1"/>
    <col min="3338" max="3338" width="9.85546875" style="265" customWidth="1"/>
    <col min="3339" max="3339" width="5.140625" style="265" customWidth="1"/>
    <col min="3340" max="3340" width="9.85546875" style="265" customWidth="1"/>
    <col min="3341" max="3341" width="5.140625" style="265" customWidth="1"/>
    <col min="3342" max="3342" width="9.85546875" style="265" customWidth="1"/>
    <col min="3343" max="3343" width="5.140625" style="265" customWidth="1"/>
    <col min="3344" max="3344" width="9" style="265" customWidth="1"/>
    <col min="3345" max="3345" width="5.140625" style="265" customWidth="1"/>
    <col min="3346" max="3346" width="9.85546875" style="265" customWidth="1"/>
    <col min="3347" max="3347" width="5.140625" style="265" customWidth="1"/>
    <col min="3348" max="3348" width="6.85546875" style="265" customWidth="1"/>
    <col min="3349" max="3349" width="5.140625" style="265" customWidth="1"/>
    <col min="3350" max="3350" width="9" style="265" customWidth="1"/>
    <col min="3351" max="3351" width="7.140625" style="265" customWidth="1"/>
    <col min="3352" max="3352" width="10.28515625" style="265" customWidth="1"/>
    <col min="3353" max="3353" width="6.42578125" style="265" customWidth="1"/>
    <col min="3354" max="3354" width="9.7109375" style="265" customWidth="1"/>
    <col min="3355" max="3355" width="6.28515625" style="265" customWidth="1"/>
    <col min="3356" max="3356" width="13" style="265" customWidth="1"/>
    <col min="3357" max="3357" width="6.85546875" style="265" customWidth="1"/>
    <col min="3358" max="3358" width="12.28515625" style="265" customWidth="1"/>
    <col min="3359" max="3359" width="7.7109375" style="265" customWidth="1"/>
    <col min="3360" max="3360" width="10.42578125" style="265" customWidth="1"/>
    <col min="3361" max="3361" width="11.28515625" style="265" customWidth="1"/>
    <col min="3362" max="3362" width="12.28515625" style="265" customWidth="1"/>
    <col min="3363" max="3363" width="5.140625" style="265" customWidth="1"/>
    <col min="3364" max="3364" width="9" style="265" customWidth="1"/>
    <col min="3365" max="3365" width="5.140625" style="265" customWidth="1"/>
    <col min="3366" max="3366" width="9.85546875" style="265" customWidth="1"/>
    <col min="3367" max="3367" width="5.140625" style="265" customWidth="1"/>
    <col min="3368" max="3368" width="6.85546875" style="265" customWidth="1"/>
    <col min="3369" max="3369" width="5.140625" style="265" customWidth="1"/>
    <col min="3370" max="3370" width="10.7109375" style="265" customWidth="1"/>
    <col min="3371" max="3371" width="6.85546875" style="265" customWidth="1"/>
    <col min="3372" max="3372" width="12" style="265" customWidth="1"/>
    <col min="3373" max="3373" width="0" style="265" hidden="1" customWidth="1"/>
    <col min="3374" max="3374" width="8.42578125" style="265" customWidth="1"/>
    <col min="3375" max="3375" width="12" style="265" customWidth="1"/>
    <col min="3376" max="3376" width="8.28515625" style="265" customWidth="1"/>
    <col min="3377" max="3377" width="15.28515625" style="265" customWidth="1"/>
    <col min="3378" max="3378" width="13.5703125" style="265" customWidth="1"/>
    <col min="3379" max="3380" width="0" style="265" hidden="1" customWidth="1"/>
    <col min="3381" max="3382" width="15.7109375" style="265" customWidth="1"/>
    <col min="3383" max="3383" width="17.28515625" style="265" customWidth="1"/>
    <col min="3384" max="3384" width="0" style="265" hidden="1" customWidth="1"/>
    <col min="3385" max="3385" width="18.28515625" style="265" customWidth="1"/>
    <col min="3386" max="3386" width="17.42578125" style="265" customWidth="1"/>
    <col min="3387" max="3387" width="10.7109375" style="265" bestFit="1" customWidth="1"/>
    <col min="3388" max="3388" width="11" style="265" bestFit="1" customWidth="1"/>
    <col min="3389" max="3538" width="8.85546875" style="265"/>
    <col min="3539" max="3539" width="4.7109375" style="265" customWidth="1"/>
    <col min="3540" max="3542" width="16" style="265" customWidth="1"/>
    <col min="3543" max="3543" width="9.42578125" style="265" customWidth="1"/>
    <col min="3544" max="3544" width="10.28515625" style="265" customWidth="1"/>
    <col min="3545" max="3545" width="7.85546875" style="265" customWidth="1"/>
    <col min="3546" max="3546" width="9.7109375" style="265" customWidth="1"/>
    <col min="3547" max="3547" width="6" style="265" customWidth="1"/>
    <col min="3548" max="3548" width="10.7109375" style="265" customWidth="1"/>
    <col min="3549" max="3549" width="8.28515625" style="265" customWidth="1"/>
    <col min="3550" max="3550" width="12.28515625" style="265" customWidth="1"/>
    <col min="3551" max="3551" width="6" style="265" customWidth="1"/>
    <col min="3552" max="3552" width="10.7109375" style="265" customWidth="1"/>
    <col min="3553" max="3553" width="6.85546875" style="265" customWidth="1"/>
    <col min="3554" max="3554" width="12" style="265" customWidth="1"/>
    <col min="3555" max="3555" width="5.140625" style="265" customWidth="1"/>
    <col min="3556" max="3556" width="9" style="265" customWidth="1"/>
    <col min="3557" max="3557" width="5.140625" style="265" customWidth="1"/>
    <col min="3558" max="3558" width="9.85546875" style="265" customWidth="1"/>
    <col min="3559" max="3559" width="5.140625" style="265" customWidth="1"/>
    <col min="3560" max="3560" width="9" style="265" customWidth="1"/>
    <col min="3561" max="3561" width="5.140625" style="265" customWidth="1"/>
    <col min="3562" max="3564" width="9.85546875" style="265" customWidth="1"/>
    <col min="3565" max="3565" width="7.140625" style="265" customWidth="1"/>
    <col min="3566" max="3566" width="10.28515625" style="265" customWidth="1"/>
    <col min="3567" max="3567" width="6.42578125" style="265" customWidth="1"/>
    <col min="3568" max="3568" width="9.7109375" style="265" customWidth="1"/>
    <col min="3569" max="3569" width="6.28515625" style="265" customWidth="1"/>
    <col min="3570" max="3570" width="9" style="265" customWidth="1"/>
    <col min="3571" max="3571" width="8" style="265" customWidth="1"/>
    <col min="3572" max="3572" width="12.85546875" style="265" customWidth="1"/>
    <col min="3573" max="3573" width="5.140625" style="265" customWidth="1"/>
    <col min="3574" max="3574" width="9.85546875" style="265" customWidth="1"/>
    <col min="3575" max="3575" width="6.7109375" style="265" customWidth="1"/>
    <col min="3576" max="3576" width="12.42578125" style="265" customWidth="1"/>
    <col min="3577" max="3577" width="5.140625" style="265" customWidth="1"/>
    <col min="3578" max="3578" width="9" style="265" customWidth="1"/>
    <col min="3579" max="3579" width="5.140625" style="265" customWidth="1"/>
    <col min="3580" max="3580" width="9.85546875" style="265" customWidth="1"/>
    <col min="3581" max="3581" width="5.140625" style="265" customWidth="1"/>
    <col min="3582" max="3582" width="6.85546875" style="265" customWidth="1"/>
    <col min="3583" max="3583" width="5.140625" style="265" customWidth="1"/>
    <col min="3584" max="3584" width="10.5703125" style="265" customWidth="1"/>
    <col min="3585" max="3586" width="9" style="265" customWidth="1"/>
    <col min="3587" max="3587" width="7.140625" style="265" customWidth="1"/>
    <col min="3588" max="3588" width="10.28515625" style="265" customWidth="1"/>
    <col min="3589" max="3589" width="6.42578125" style="265" customWidth="1"/>
    <col min="3590" max="3590" width="9.7109375" style="265" customWidth="1"/>
    <col min="3591" max="3591" width="6.28515625" style="265" customWidth="1"/>
    <col min="3592" max="3592" width="9" style="265" customWidth="1"/>
    <col min="3593" max="3593" width="5.140625" style="265" customWidth="1"/>
    <col min="3594" max="3594" width="9.85546875" style="265" customWidth="1"/>
    <col min="3595" max="3595" width="5.140625" style="265" customWidth="1"/>
    <col min="3596" max="3596" width="9.85546875" style="265" customWidth="1"/>
    <col min="3597" max="3597" width="5.140625" style="265" customWidth="1"/>
    <col min="3598" max="3598" width="9.85546875" style="265" customWidth="1"/>
    <col min="3599" max="3599" width="5.140625" style="265" customWidth="1"/>
    <col min="3600" max="3600" width="9" style="265" customWidth="1"/>
    <col min="3601" max="3601" width="5.140625" style="265" customWidth="1"/>
    <col min="3602" max="3602" width="9.85546875" style="265" customWidth="1"/>
    <col min="3603" max="3603" width="5.140625" style="265" customWidth="1"/>
    <col min="3604" max="3604" width="6.85546875" style="265" customWidth="1"/>
    <col min="3605" max="3605" width="5.140625" style="265" customWidth="1"/>
    <col min="3606" max="3606" width="9" style="265" customWidth="1"/>
    <col min="3607" max="3607" width="7.140625" style="265" customWidth="1"/>
    <col min="3608" max="3608" width="10.28515625" style="265" customWidth="1"/>
    <col min="3609" max="3609" width="6.42578125" style="265" customWidth="1"/>
    <col min="3610" max="3610" width="9.7109375" style="265" customWidth="1"/>
    <col min="3611" max="3611" width="6.28515625" style="265" customWidth="1"/>
    <col min="3612" max="3612" width="13" style="265" customWidth="1"/>
    <col min="3613" max="3613" width="6.85546875" style="265" customWidth="1"/>
    <col min="3614" max="3614" width="12.28515625" style="265" customWidth="1"/>
    <col min="3615" max="3615" width="7.7109375" style="265" customWidth="1"/>
    <col min="3616" max="3616" width="10.42578125" style="265" customWidth="1"/>
    <col min="3617" max="3617" width="11.28515625" style="265" customWidth="1"/>
    <col min="3618" max="3618" width="12.28515625" style="265" customWidth="1"/>
    <col min="3619" max="3619" width="5.140625" style="265" customWidth="1"/>
    <col min="3620" max="3620" width="9" style="265" customWidth="1"/>
    <col min="3621" max="3621" width="5.140625" style="265" customWidth="1"/>
    <col min="3622" max="3622" width="9.85546875" style="265" customWidth="1"/>
    <col min="3623" max="3623" width="5.140625" style="265" customWidth="1"/>
    <col min="3624" max="3624" width="6.85546875" style="265" customWidth="1"/>
    <col min="3625" max="3625" width="5.140625" style="265" customWidth="1"/>
    <col min="3626" max="3626" width="10.7109375" style="265" customWidth="1"/>
    <col min="3627" max="3627" width="6.85546875" style="265" customWidth="1"/>
    <col min="3628" max="3628" width="12" style="265" customWidth="1"/>
    <col min="3629" max="3629" width="0" style="265" hidden="1" customWidth="1"/>
    <col min="3630" max="3630" width="8.42578125" style="265" customWidth="1"/>
    <col min="3631" max="3631" width="12" style="265" customWidth="1"/>
    <col min="3632" max="3632" width="8.28515625" style="265" customWidth="1"/>
    <col min="3633" max="3633" width="15.28515625" style="265" customWidth="1"/>
    <col min="3634" max="3634" width="13.5703125" style="265" customWidth="1"/>
    <col min="3635" max="3636" width="0" style="265" hidden="1" customWidth="1"/>
    <col min="3637" max="3638" width="15.7109375" style="265" customWidth="1"/>
    <col min="3639" max="3639" width="17.28515625" style="265" customWidth="1"/>
    <col min="3640" max="3640" width="0" style="265" hidden="1" customWidth="1"/>
    <col min="3641" max="3641" width="18.28515625" style="265" customWidth="1"/>
    <col min="3642" max="3642" width="17.42578125" style="265" customWidth="1"/>
    <col min="3643" max="3643" width="10.7109375" style="265" bestFit="1" customWidth="1"/>
    <col min="3644" max="3644" width="11" style="265" bestFit="1" customWidth="1"/>
    <col min="3645" max="3794" width="8.85546875" style="265"/>
    <col min="3795" max="3795" width="4.7109375" style="265" customWidth="1"/>
    <col min="3796" max="3798" width="16" style="265" customWidth="1"/>
    <col min="3799" max="3799" width="9.42578125" style="265" customWidth="1"/>
    <col min="3800" max="3800" width="10.28515625" style="265" customWidth="1"/>
    <col min="3801" max="3801" width="7.85546875" style="265" customWidth="1"/>
    <col min="3802" max="3802" width="9.7109375" style="265" customWidth="1"/>
    <col min="3803" max="3803" width="6" style="265" customWidth="1"/>
    <col min="3804" max="3804" width="10.7109375" style="265" customWidth="1"/>
    <col min="3805" max="3805" width="8.28515625" style="265" customWidth="1"/>
    <col min="3806" max="3806" width="12.28515625" style="265" customWidth="1"/>
    <col min="3807" max="3807" width="6" style="265" customWidth="1"/>
    <col min="3808" max="3808" width="10.7109375" style="265" customWidth="1"/>
    <col min="3809" max="3809" width="6.85546875" style="265" customWidth="1"/>
    <col min="3810" max="3810" width="12" style="265" customWidth="1"/>
    <col min="3811" max="3811" width="5.140625" style="265" customWidth="1"/>
    <col min="3812" max="3812" width="9" style="265" customWidth="1"/>
    <col min="3813" max="3813" width="5.140625" style="265" customWidth="1"/>
    <col min="3814" max="3814" width="9.85546875" style="265" customWidth="1"/>
    <col min="3815" max="3815" width="5.140625" style="265" customWidth="1"/>
    <col min="3816" max="3816" width="9" style="265" customWidth="1"/>
    <col min="3817" max="3817" width="5.140625" style="265" customWidth="1"/>
    <col min="3818" max="3820" width="9.85546875" style="265" customWidth="1"/>
    <col min="3821" max="3821" width="7.140625" style="265" customWidth="1"/>
    <col min="3822" max="3822" width="10.28515625" style="265" customWidth="1"/>
    <col min="3823" max="3823" width="6.42578125" style="265" customWidth="1"/>
    <col min="3824" max="3824" width="9.7109375" style="265" customWidth="1"/>
    <col min="3825" max="3825" width="6.28515625" style="265" customWidth="1"/>
    <col min="3826" max="3826" width="9" style="265" customWidth="1"/>
    <col min="3827" max="3827" width="8" style="265" customWidth="1"/>
    <col min="3828" max="3828" width="12.85546875" style="265" customWidth="1"/>
    <col min="3829" max="3829" width="5.140625" style="265" customWidth="1"/>
    <col min="3830" max="3830" width="9.85546875" style="265" customWidth="1"/>
    <col min="3831" max="3831" width="6.7109375" style="265" customWidth="1"/>
    <col min="3832" max="3832" width="12.42578125" style="265" customWidth="1"/>
    <col min="3833" max="3833" width="5.140625" style="265" customWidth="1"/>
    <col min="3834" max="3834" width="9" style="265" customWidth="1"/>
    <col min="3835" max="3835" width="5.140625" style="265" customWidth="1"/>
    <col min="3836" max="3836" width="9.85546875" style="265" customWidth="1"/>
    <col min="3837" max="3837" width="5.140625" style="265" customWidth="1"/>
    <col min="3838" max="3838" width="6.85546875" style="265" customWidth="1"/>
    <col min="3839" max="3839" width="5.140625" style="265" customWidth="1"/>
    <col min="3840" max="3840" width="10.5703125" style="265" customWidth="1"/>
    <col min="3841" max="3842" width="9" style="265" customWidth="1"/>
    <col min="3843" max="3843" width="7.140625" style="265" customWidth="1"/>
    <col min="3844" max="3844" width="10.28515625" style="265" customWidth="1"/>
    <col min="3845" max="3845" width="6.42578125" style="265" customWidth="1"/>
    <col min="3846" max="3846" width="9.7109375" style="265" customWidth="1"/>
    <col min="3847" max="3847" width="6.28515625" style="265" customWidth="1"/>
    <col min="3848" max="3848" width="9" style="265" customWidth="1"/>
    <col min="3849" max="3849" width="5.140625" style="265" customWidth="1"/>
    <col min="3850" max="3850" width="9.85546875" style="265" customWidth="1"/>
    <col min="3851" max="3851" width="5.140625" style="265" customWidth="1"/>
    <col min="3852" max="3852" width="9.85546875" style="265" customWidth="1"/>
    <col min="3853" max="3853" width="5.140625" style="265" customWidth="1"/>
    <col min="3854" max="3854" width="9.85546875" style="265" customWidth="1"/>
    <col min="3855" max="3855" width="5.140625" style="265" customWidth="1"/>
    <col min="3856" max="3856" width="9" style="265" customWidth="1"/>
    <col min="3857" max="3857" width="5.140625" style="265" customWidth="1"/>
    <col min="3858" max="3858" width="9.85546875" style="265" customWidth="1"/>
    <col min="3859" max="3859" width="5.140625" style="265" customWidth="1"/>
    <col min="3860" max="3860" width="6.85546875" style="265" customWidth="1"/>
    <col min="3861" max="3861" width="5.140625" style="265" customWidth="1"/>
    <col min="3862" max="3862" width="9" style="265" customWidth="1"/>
    <col min="3863" max="3863" width="7.140625" style="265" customWidth="1"/>
    <col min="3864" max="3864" width="10.28515625" style="265" customWidth="1"/>
    <col min="3865" max="3865" width="6.42578125" style="265" customWidth="1"/>
    <col min="3866" max="3866" width="9.7109375" style="265" customWidth="1"/>
    <col min="3867" max="3867" width="6.28515625" style="265" customWidth="1"/>
    <col min="3868" max="3868" width="13" style="265" customWidth="1"/>
    <col min="3869" max="3869" width="6.85546875" style="265" customWidth="1"/>
    <col min="3870" max="3870" width="12.28515625" style="265" customWidth="1"/>
    <col min="3871" max="3871" width="7.7109375" style="265" customWidth="1"/>
    <col min="3872" max="3872" width="10.42578125" style="265" customWidth="1"/>
    <col min="3873" max="3873" width="11.28515625" style="265" customWidth="1"/>
    <col min="3874" max="3874" width="12.28515625" style="265" customWidth="1"/>
    <col min="3875" max="3875" width="5.140625" style="265" customWidth="1"/>
    <col min="3876" max="3876" width="9" style="265" customWidth="1"/>
    <col min="3877" max="3877" width="5.140625" style="265" customWidth="1"/>
    <col min="3878" max="3878" width="9.85546875" style="265" customWidth="1"/>
    <col min="3879" max="3879" width="5.140625" style="265" customWidth="1"/>
    <col min="3880" max="3880" width="6.85546875" style="265" customWidth="1"/>
    <col min="3881" max="3881" width="5.140625" style="265" customWidth="1"/>
    <col min="3882" max="3882" width="10.7109375" style="265" customWidth="1"/>
    <col min="3883" max="3883" width="6.85546875" style="265" customWidth="1"/>
    <col min="3884" max="3884" width="12" style="265" customWidth="1"/>
    <col min="3885" max="3885" width="0" style="265" hidden="1" customWidth="1"/>
    <col min="3886" max="3886" width="8.42578125" style="265" customWidth="1"/>
    <col min="3887" max="3887" width="12" style="265" customWidth="1"/>
    <col min="3888" max="3888" width="8.28515625" style="265" customWidth="1"/>
    <col min="3889" max="3889" width="15.28515625" style="265" customWidth="1"/>
    <col min="3890" max="3890" width="13.5703125" style="265" customWidth="1"/>
    <col min="3891" max="3892" width="0" style="265" hidden="1" customWidth="1"/>
    <col min="3893" max="3894" width="15.7109375" style="265" customWidth="1"/>
    <col min="3895" max="3895" width="17.28515625" style="265" customWidth="1"/>
    <col min="3896" max="3896" width="0" style="265" hidden="1" customWidth="1"/>
    <col min="3897" max="3897" width="18.28515625" style="265" customWidth="1"/>
    <col min="3898" max="3898" width="17.42578125" style="265" customWidth="1"/>
    <col min="3899" max="3899" width="10.7109375" style="265" bestFit="1" customWidth="1"/>
    <col min="3900" max="3900" width="11" style="265" bestFit="1" customWidth="1"/>
    <col min="3901" max="4050" width="8.85546875" style="265"/>
    <col min="4051" max="4051" width="4.7109375" style="265" customWidth="1"/>
    <col min="4052" max="4054" width="16" style="265" customWidth="1"/>
    <col min="4055" max="4055" width="9.42578125" style="265" customWidth="1"/>
    <col min="4056" max="4056" width="10.28515625" style="265" customWidth="1"/>
    <col min="4057" max="4057" width="7.85546875" style="265" customWidth="1"/>
    <col min="4058" max="4058" width="9.7109375" style="265" customWidth="1"/>
    <col min="4059" max="4059" width="6" style="265" customWidth="1"/>
    <col min="4060" max="4060" width="10.7109375" style="265" customWidth="1"/>
    <col min="4061" max="4061" width="8.28515625" style="265" customWidth="1"/>
    <col min="4062" max="4062" width="12.28515625" style="265" customWidth="1"/>
    <col min="4063" max="4063" width="6" style="265" customWidth="1"/>
    <col min="4064" max="4064" width="10.7109375" style="265" customWidth="1"/>
    <col min="4065" max="4065" width="6.85546875" style="265" customWidth="1"/>
    <col min="4066" max="4066" width="12" style="265" customWidth="1"/>
    <col min="4067" max="4067" width="5.140625" style="265" customWidth="1"/>
    <col min="4068" max="4068" width="9" style="265" customWidth="1"/>
    <col min="4069" max="4069" width="5.140625" style="265" customWidth="1"/>
    <col min="4070" max="4070" width="9.85546875" style="265" customWidth="1"/>
    <col min="4071" max="4071" width="5.140625" style="265" customWidth="1"/>
    <col min="4072" max="4072" width="9" style="265" customWidth="1"/>
    <col min="4073" max="4073" width="5.140625" style="265" customWidth="1"/>
    <col min="4074" max="4076" width="9.85546875" style="265" customWidth="1"/>
    <col min="4077" max="4077" width="7.140625" style="265" customWidth="1"/>
    <col min="4078" max="4078" width="10.28515625" style="265" customWidth="1"/>
    <col min="4079" max="4079" width="6.42578125" style="265" customWidth="1"/>
    <col min="4080" max="4080" width="9.7109375" style="265" customWidth="1"/>
    <col min="4081" max="4081" width="6.28515625" style="265" customWidth="1"/>
    <col min="4082" max="4082" width="9" style="265" customWidth="1"/>
    <col min="4083" max="4083" width="8" style="265" customWidth="1"/>
    <col min="4084" max="4084" width="12.85546875" style="265" customWidth="1"/>
    <col min="4085" max="4085" width="5.140625" style="265" customWidth="1"/>
    <col min="4086" max="4086" width="9.85546875" style="265" customWidth="1"/>
    <col min="4087" max="4087" width="6.7109375" style="265" customWidth="1"/>
    <col min="4088" max="4088" width="12.42578125" style="265" customWidth="1"/>
    <col min="4089" max="4089" width="5.140625" style="265" customWidth="1"/>
    <col min="4090" max="4090" width="9" style="265" customWidth="1"/>
    <col min="4091" max="4091" width="5.140625" style="265" customWidth="1"/>
    <col min="4092" max="4092" width="9.85546875" style="265" customWidth="1"/>
    <col min="4093" max="4093" width="5.140625" style="265" customWidth="1"/>
    <col min="4094" max="4094" width="6.85546875" style="265" customWidth="1"/>
    <col min="4095" max="4095" width="5.140625" style="265" customWidth="1"/>
    <col min="4096" max="4096" width="10.5703125" style="265" customWidth="1"/>
    <col min="4097" max="4098" width="9" style="265" customWidth="1"/>
    <col min="4099" max="4099" width="7.140625" style="265" customWidth="1"/>
    <col min="4100" max="4100" width="10.28515625" style="265" customWidth="1"/>
    <col min="4101" max="4101" width="6.42578125" style="265" customWidth="1"/>
    <col min="4102" max="4102" width="9.7109375" style="265" customWidth="1"/>
    <col min="4103" max="4103" width="6.28515625" style="265" customWidth="1"/>
    <col min="4104" max="4104" width="9" style="265" customWidth="1"/>
    <col min="4105" max="4105" width="5.140625" style="265" customWidth="1"/>
    <col min="4106" max="4106" width="9.85546875" style="265" customWidth="1"/>
    <col min="4107" max="4107" width="5.140625" style="265" customWidth="1"/>
    <col min="4108" max="4108" width="9.85546875" style="265" customWidth="1"/>
    <col min="4109" max="4109" width="5.140625" style="265" customWidth="1"/>
    <col min="4110" max="4110" width="9.85546875" style="265" customWidth="1"/>
    <col min="4111" max="4111" width="5.140625" style="265" customWidth="1"/>
    <col min="4112" max="4112" width="9" style="265" customWidth="1"/>
    <col min="4113" max="4113" width="5.140625" style="265" customWidth="1"/>
    <col min="4114" max="4114" width="9.85546875" style="265" customWidth="1"/>
    <col min="4115" max="4115" width="5.140625" style="265" customWidth="1"/>
    <col min="4116" max="4116" width="6.85546875" style="265" customWidth="1"/>
    <col min="4117" max="4117" width="5.140625" style="265" customWidth="1"/>
    <col min="4118" max="4118" width="9" style="265" customWidth="1"/>
    <col min="4119" max="4119" width="7.140625" style="265" customWidth="1"/>
    <col min="4120" max="4120" width="10.28515625" style="265" customWidth="1"/>
    <col min="4121" max="4121" width="6.42578125" style="265" customWidth="1"/>
    <col min="4122" max="4122" width="9.7109375" style="265" customWidth="1"/>
    <col min="4123" max="4123" width="6.28515625" style="265" customWidth="1"/>
    <col min="4124" max="4124" width="13" style="265" customWidth="1"/>
    <col min="4125" max="4125" width="6.85546875" style="265" customWidth="1"/>
    <col min="4126" max="4126" width="12.28515625" style="265" customWidth="1"/>
    <col min="4127" max="4127" width="7.7109375" style="265" customWidth="1"/>
    <col min="4128" max="4128" width="10.42578125" style="265" customWidth="1"/>
    <col min="4129" max="4129" width="11.28515625" style="265" customWidth="1"/>
    <col min="4130" max="4130" width="12.28515625" style="265" customWidth="1"/>
    <col min="4131" max="4131" width="5.140625" style="265" customWidth="1"/>
    <col min="4132" max="4132" width="9" style="265" customWidth="1"/>
    <col min="4133" max="4133" width="5.140625" style="265" customWidth="1"/>
    <col min="4134" max="4134" width="9.85546875" style="265" customWidth="1"/>
    <col min="4135" max="4135" width="5.140625" style="265" customWidth="1"/>
    <col min="4136" max="4136" width="6.85546875" style="265" customWidth="1"/>
    <col min="4137" max="4137" width="5.140625" style="265" customWidth="1"/>
    <col min="4138" max="4138" width="10.7109375" style="265" customWidth="1"/>
    <col min="4139" max="4139" width="6.85546875" style="265" customWidth="1"/>
    <col min="4140" max="4140" width="12" style="265" customWidth="1"/>
    <col min="4141" max="4141" width="0" style="265" hidden="1" customWidth="1"/>
    <col min="4142" max="4142" width="8.42578125" style="265" customWidth="1"/>
    <col min="4143" max="4143" width="12" style="265" customWidth="1"/>
    <col min="4144" max="4144" width="8.28515625" style="265" customWidth="1"/>
    <col min="4145" max="4145" width="15.28515625" style="265" customWidth="1"/>
    <col min="4146" max="4146" width="13.5703125" style="265" customWidth="1"/>
    <col min="4147" max="4148" width="0" style="265" hidden="1" customWidth="1"/>
    <col min="4149" max="4150" width="15.7109375" style="265" customWidth="1"/>
    <col min="4151" max="4151" width="17.28515625" style="265" customWidth="1"/>
    <col min="4152" max="4152" width="0" style="265" hidden="1" customWidth="1"/>
    <col min="4153" max="4153" width="18.28515625" style="265" customWidth="1"/>
    <col min="4154" max="4154" width="17.42578125" style="265" customWidth="1"/>
    <col min="4155" max="4155" width="10.7109375" style="265" bestFit="1" customWidth="1"/>
    <col min="4156" max="4156" width="11" style="265" bestFit="1" customWidth="1"/>
    <col min="4157" max="4306" width="8.85546875" style="265"/>
    <col min="4307" max="4307" width="4.7109375" style="265" customWidth="1"/>
    <col min="4308" max="4310" width="16" style="265" customWidth="1"/>
    <col min="4311" max="4311" width="9.42578125" style="265" customWidth="1"/>
    <col min="4312" max="4312" width="10.28515625" style="265" customWidth="1"/>
    <col min="4313" max="4313" width="7.85546875" style="265" customWidth="1"/>
    <col min="4314" max="4314" width="9.7109375" style="265" customWidth="1"/>
    <col min="4315" max="4315" width="6" style="265" customWidth="1"/>
    <col min="4316" max="4316" width="10.7109375" style="265" customWidth="1"/>
    <col min="4317" max="4317" width="8.28515625" style="265" customWidth="1"/>
    <col min="4318" max="4318" width="12.28515625" style="265" customWidth="1"/>
    <col min="4319" max="4319" width="6" style="265" customWidth="1"/>
    <col min="4320" max="4320" width="10.7109375" style="265" customWidth="1"/>
    <col min="4321" max="4321" width="6.85546875" style="265" customWidth="1"/>
    <col min="4322" max="4322" width="12" style="265" customWidth="1"/>
    <col min="4323" max="4323" width="5.140625" style="265" customWidth="1"/>
    <col min="4324" max="4324" width="9" style="265" customWidth="1"/>
    <col min="4325" max="4325" width="5.140625" style="265" customWidth="1"/>
    <col min="4326" max="4326" width="9.85546875" style="265" customWidth="1"/>
    <col min="4327" max="4327" width="5.140625" style="265" customWidth="1"/>
    <col min="4328" max="4328" width="9" style="265" customWidth="1"/>
    <col min="4329" max="4329" width="5.140625" style="265" customWidth="1"/>
    <col min="4330" max="4332" width="9.85546875" style="265" customWidth="1"/>
    <col min="4333" max="4333" width="7.140625" style="265" customWidth="1"/>
    <col min="4334" max="4334" width="10.28515625" style="265" customWidth="1"/>
    <col min="4335" max="4335" width="6.42578125" style="265" customWidth="1"/>
    <col min="4336" max="4336" width="9.7109375" style="265" customWidth="1"/>
    <col min="4337" max="4337" width="6.28515625" style="265" customWidth="1"/>
    <col min="4338" max="4338" width="9" style="265" customWidth="1"/>
    <col min="4339" max="4339" width="8" style="265" customWidth="1"/>
    <col min="4340" max="4340" width="12.85546875" style="265" customWidth="1"/>
    <col min="4341" max="4341" width="5.140625" style="265" customWidth="1"/>
    <col min="4342" max="4342" width="9.85546875" style="265" customWidth="1"/>
    <col min="4343" max="4343" width="6.7109375" style="265" customWidth="1"/>
    <col min="4344" max="4344" width="12.42578125" style="265" customWidth="1"/>
    <col min="4345" max="4345" width="5.140625" style="265" customWidth="1"/>
    <col min="4346" max="4346" width="9" style="265" customWidth="1"/>
    <col min="4347" max="4347" width="5.140625" style="265" customWidth="1"/>
    <col min="4348" max="4348" width="9.85546875" style="265" customWidth="1"/>
    <col min="4349" max="4349" width="5.140625" style="265" customWidth="1"/>
    <col min="4350" max="4350" width="6.85546875" style="265" customWidth="1"/>
    <col min="4351" max="4351" width="5.140625" style="265" customWidth="1"/>
    <col min="4352" max="4352" width="10.5703125" style="265" customWidth="1"/>
    <col min="4353" max="4354" width="9" style="265" customWidth="1"/>
    <col min="4355" max="4355" width="7.140625" style="265" customWidth="1"/>
    <col min="4356" max="4356" width="10.28515625" style="265" customWidth="1"/>
    <col min="4357" max="4357" width="6.42578125" style="265" customWidth="1"/>
    <col min="4358" max="4358" width="9.7109375" style="265" customWidth="1"/>
    <col min="4359" max="4359" width="6.28515625" style="265" customWidth="1"/>
    <col min="4360" max="4360" width="9" style="265" customWidth="1"/>
    <col min="4361" max="4361" width="5.140625" style="265" customWidth="1"/>
    <col min="4362" max="4362" width="9.85546875" style="265" customWidth="1"/>
    <col min="4363" max="4363" width="5.140625" style="265" customWidth="1"/>
    <col min="4364" max="4364" width="9.85546875" style="265" customWidth="1"/>
    <col min="4365" max="4365" width="5.140625" style="265" customWidth="1"/>
    <col min="4366" max="4366" width="9.85546875" style="265" customWidth="1"/>
    <col min="4367" max="4367" width="5.140625" style="265" customWidth="1"/>
    <col min="4368" max="4368" width="9" style="265" customWidth="1"/>
    <col min="4369" max="4369" width="5.140625" style="265" customWidth="1"/>
    <col min="4370" max="4370" width="9.85546875" style="265" customWidth="1"/>
    <col min="4371" max="4371" width="5.140625" style="265" customWidth="1"/>
    <col min="4372" max="4372" width="6.85546875" style="265" customWidth="1"/>
    <col min="4373" max="4373" width="5.140625" style="265" customWidth="1"/>
    <col min="4374" max="4374" width="9" style="265" customWidth="1"/>
    <col min="4375" max="4375" width="7.140625" style="265" customWidth="1"/>
    <col min="4376" max="4376" width="10.28515625" style="265" customWidth="1"/>
    <col min="4377" max="4377" width="6.42578125" style="265" customWidth="1"/>
    <col min="4378" max="4378" width="9.7109375" style="265" customWidth="1"/>
    <col min="4379" max="4379" width="6.28515625" style="265" customWidth="1"/>
    <col min="4380" max="4380" width="13" style="265" customWidth="1"/>
    <col min="4381" max="4381" width="6.85546875" style="265" customWidth="1"/>
    <col min="4382" max="4382" width="12.28515625" style="265" customWidth="1"/>
    <col min="4383" max="4383" width="7.7109375" style="265" customWidth="1"/>
    <col min="4384" max="4384" width="10.42578125" style="265" customWidth="1"/>
    <col min="4385" max="4385" width="11.28515625" style="265" customWidth="1"/>
    <col min="4386" max="4386" width="12.28515625" style="265" customWidth="1"/>
    <col min="4387" max="4387" width="5.140625" style="265" customWidth="1"/>
    <col min="4388" max="4388" width="9" style="265" customWidth="1"/>
    <col min="4389" max="4389" width="5.140625" style="265" customWidth="1"/>
    <col min="4390" max="4390" width="9.85546875" style="265" customWidth="1"/>
    <col min="4391" max="4391" width="5.140625" style="265" customWidth="1"/>
    <col min="4392" max="4392" width="6.85546875" style="265" customWidth="1"/>
    <col min="4393" max="4393" width="5.140625" style="265" customWidth="1"/>
    <col min="4394" max="4394" width="10.7109375" style="265" customWidth="1"/>
    <col min="4395" max="4395" width="6.85546875" style="265" customWidth="1"/>
    <col min="4396" max="4396" width="12" style="265" customWidth="1"/>
    <col min="4397" max="4397" width="0" style="265" hidden="1" customWidth="1"/>
    <col min="4398" max="4398" width="8.42578125" style="265" customWidth="1"/>
    <col min="4399" max="4399" width="12" style="265" customWidth="1"/>
    <col min="4400" max="4400" width="8.28515625" style="265" customWidth="1"/>
    <col min="4401" max="4401" width="15.28515625" style="265" customWidth="1"/>
    <col min="4402" max="4402" width="13.5703125" style="265" customWidth="1"/>
    <col min="4403" max="4404" width="0" style="265" hidden="1" customWidth="1"/>
    <col min="4405" max="4406" width="15.7109375" style="265" customWidth="1"/>
    <col min="4407" max="4407" width="17.28515625" style="265" customWidth="1"/>
    <col min="4408" max="4408" width="0" style="265" hidden="1" customWidth="1"/>
    <col min="4409" max="4409" width="18.28515625" style="265" customWidth="1"/>
    <col min="4410" max="4410" width="17.42578125" style="265" customWidth="1"/>
    <col min="4411" max="4411" width="10.7109375" style="265" bestFit="1" customWidth="1"/>
    <col min="4412" max="4412" width="11" style="265" bestFit="1" customWidth="1"/>
    <col min="4413" max="4562" width="8.85546875" style="265"/>
    <col min="4563" max="4563" width="4.7109375" style="265" customWidth="1"/>
    <col min="4564" max="4566" width="16" style="265" customWidth="1"/>
    <col min="4567" max="4567" width="9.42578125" style="265" customWidth="1"/>
    <col min="4568" max="4568" width="10.28515625" style="265" customWidth="1"/>
    <col min="4569" max="4569" width="7.85546875" style="265" customWidth="1"/>
    <col min="4570" max="4570" width="9.7109375" style="265" customWidth="1"/>
    <col min="4571" max="4571" width="6" style="265" customWidth="1"/>
    <col min="4572" max="4572" width="10.7109375" style="265" customWidth="1"/>
    <col min="4573" max="4573" width="8.28515625" style="265" customWidth="1"/>
    <col min="4574" max="4574" width="12.28515625" style="265" customWidth="1"/>
    <col min="4575" max="4575" width="6" style="265" customWidth="1"/>
    <col min="4576" max="4576" width="10.7109375" style="265" customWidth="1"/>
    <col min="4577" max="4577" width="6.85546875" style="265" customWidth="1"/>
    <col min="4578" max="4578" width="12" style="265" customWidth="1"/>
    <col min="4579" max="4579" width="5.140625" style="265" customWidth="1"/>
    <col min="4580" max="4580" width="9" style="265" customWidth="1"/>
    <col min="4581" max="4581" width="5.140625" style="265" customWidth="1"/>
    <col min="4582" max="4582" width="9.85546875" style="265" customWidth="1"/>
    <col min="4583" max="4583" width="5.140625" style="265" customWidth="1"/>
    <col min="4584" max="4584" width="9" style="265" customWidth="1"/>
    <col min="4585" max="4585" width="5.140625" style="265" customWidth="1"/>
    <col min="4586" max="4588" width="9.85546875" style="265" customWidth="1"/>
    <col min="4589" max="4589" width="7.140625" style="265" customWidth="1"/>
    <col min="4590" max="4590" width="10.28515625" style="265" customWidth="1"/>
    <col min="4591" max="4591" width="6.42578125" style="265" customWidth="1"/>
    <col min="4592" max="4592" width="9.7109375" style="265" customWidth="1"/>
    <col min="4593" max="4593" width="6.28515625" style="265" customWidth="1"/>
    <col min="4594" max="4594" width="9" style="265" customWidth="1"/>
    <col min="4595" max="4595" width="8" style="265" customWidth="1"/>
    <col min="4596" max="4596" width="12.85546875" style="265" customWidth="1"/>
    <col min="4597" max="4597" width="5.140625" style="265" customWidth="1"/>
    <col min="4598" max="4598" width="9.85546875" style="265" customWidth="1"/>
    <col min="4599" max="4599" width="6.7109375" style="265" customWidth="1"/>
    <col min="4600" max="4600" width="12.42578125" style="265" customWidth="1"/>
    <col min="4601" max="4601" width="5.140625" style="265" customWidth="1"/>
    <col min="4602" max="4602" width="9" style="265" customWidth="1"/>
    <col min="4603" max="4603" width="5.140625" style="265" customWidth="1"/>
    <col min="4604" max="4604" width="9.85546875" style="265" customWidth="1"/>
    <col min="4605" max="4605" width="5.140625" style="265" customWidth="1"/>
    <col min="4606" max="4606" width="6.85546875" style="265" customWidth="1"/>
    <col min="4607" max="4607" width="5.140625" style="265" customWidth="1"/>
    <col min="4608" max="4608" width="10.5703125" style="265" customWidth="1"/>
    <col min="4609" max="4610" width="9" style="265" customWidth="1"/>
    <col min="4611" max="4611" width="7.140625" style="265" customWidth="1"/>
    <col min="4612" max="4612" width="10.28515625" style="265" customWidth="1"/>
    <col min="4613" max="4613" width="6.42578125" style="265" customWidth="1"/>
    <col min="4614" max="4614" width="9.7109375" style="265" customWidth="1"/>
    <col min="4615" max="4615" width="6.28515625" style="265" customWidth="1"/>
    <col min="4616" max="4616" width="9" style="265" customWidth="1"/>
    <col min="4617" max="4617" width="5.140625" style="265" customWidth="1"/>
    <col min="4618" max="4618" width="9.85546875" style="265" customWidth="1"/>
    <col min="4619" max="4619" width="5.140625" style="265" customWidth="1"/>
    <col min="4620" max="4620" width="9.85546875" style="265" customWidth="1"/>
    <col min="4621" max="4621" width="5.140625" style="265" customWidth="1"/>
    <col min="4622" max="4622" width="9.85546875" style="265" customWidth="1"/>
    <col min="4623" max="4623" width="5.140625" style="265" customWidth="1"/>
    <col min="4624" max="4624" width="9" style="265" customWidth="1"/>
    <col min="4625" max="4625" width="5.140625" style="265" customWidth="1"/>
    <col min="4626" max="4626" width="9.85546875" style="265" customWidth="1"/>
    <col min="4627" max="4627" width="5.140625" style="265" customWidth="1"/>
    <col min="4628" max="4628" width="6.85546875" style="265" customWidth="1"/>
    <col min="4629" max="4629" width="5.140625" style="265" customWidth="1"/>
    <col min="4630" max="4630" width="9" style="265" customWidth="1"/>
    <col min="4631" max="4631" width="7.140625" style="265" customWidth="1"/>
    <col min="4632" max="4632" width="10.28515625" style="265" customWidth="1"/>
    <col min="4633" max="4633" width="6.42578125" style="265" customWidth="1"/>
    <col min="4634" max="4634" width="9.7109375" style="265" customWidth="1"/>
    <col min="4635" max="4635" width="6.28515625" style="265" customWidth="1"/>
    <col min="4636" max="4636" width="13" style="265" customWidth="1"/>
    <col min="4637" max="4637" width="6.85546875" style="265" customWidth="1"/>
    <col min="4638" max="4638" width="12.28515625" style="265" customWidth="1"/>
    <col min="4639" max="4639" width="7.7109375" style="265" customWidth="1"/>
    <col min="4640" max="4640" width="10.42578125" style="265" customWidth="1"/>
    <col min="4641" max="4641" width="11.28515625" style="265" customWidth="1"/>
    <col min="4642" max="4642" width="12.28515625" style="265" customWidth="1"/>
    <col min="4643" max="4643" width="5.140625" style="265" customWidth="1"/>
    <col min="4644" max="4644" width="9" style="265" customWidth="1"/>
    <col min="4645" max="4645" width="5.140625" style="265" customWidth="1"/>
    <col min="4646" max="4646" width="9.85546875" style="265" customWidth="1"/>
    <col min="4647" max="4647" width="5.140625" style="265" customWidth="1"/>
    <col min="4648" max="4648" width="6.85546875" style="265" customWidth="1"/>
    <col min="4649" max="4649" width="5.140625" style="265" customWidth="1"/>
    <col min="4650" max="4650" width="10.7109375" style="265" customWidth="1"/>
    <col min="4651" max="4651" width="6.85546875" style="265" customWidth="1"/>
    <col min="4652" max="4652" width="12" style="265" customWidth="1"/>
    <col min="4653" max="4653" width="0" style="265" hidden="1" customWidth="1"/>
    <col min="4654" max="4654" width="8.42578125" style="265" customWidth="1"/>
    <col min="4655" max="4655" width="12" style="265" customWidth="1"/>
    <col min="4656" max="4656" width="8.28515625" style="265" customWidth="1"/>
    <col min="4657" max="4657" width="15.28515625" style="265" customWidth="1"/>
    <col min="4658" max="4658" width="13.5703125" style="265" customWidth="1"/>
    <col min="4659" max="4660" width="0" style="265" hidden="1" customWidth="1"/>
    <col min="4661" max="4662" width="15.7109375" style="265" customWidth="1"/>
    <col min="4663" max="4663" width="17.28515625" style="265" customWidth="1"/>
    <col min="4664" max="4664" width="0" style="265" hidden="1" customWidth="1"/>
    <col min="4665" max="4665" width="18.28515625" style="265" customWidth="1"/>
    <col min="4666" max="4666" width="17.42578125" style="265" customWidth="1"/>
    <col min="4667" max="4667" width="10.7109375" style="265" bestFit="1" customWidth="1"/>
    <col min="4668" max="4668" width="11" style="265" bestFit="1" customWidth="1"/>
    <col min="4669" max="4818" width="8.85546875" style="265"/>
    <col min="4819" max="4819" width="4.7109375" style="265" customWidth="1"/>
    <col min="4820" max="4822" width="16" style="265" customWidth="1"/>
    <col min="4823" max="4823" width="9.42578125" style="265" customWidth="1"/>
    <col min="4824" max="4824" width="10.28515625" style="265" customWidth="1"/>
    <col min="4825" max="4825" width="7.85546875" style="265" customWidth="1"/>
    <col min="4826" max="4826" width="9.7109375" style="265" customWidth="1"/>
    <col min="4827" max="4827" width="6" style="265" customWidth="1"/>
    <col min="4828" max="4828" width="10.7109375" style="265" customWidth="1"/>
    <col min="4829" max="4829" width="8.28515625" style="265" customWidth="1"/>
    <col min="4830" max="4830" width="12.28515625" style="265" customWidth="1"/>
    <col min="4831" max="4831" width="6" style="265" customWidth="1"/>
    <col min="4832" max="4832" width="10.7109375" style="265" customWidth="1"/>
    <col min="4833" max="4833" width="6.85546875" style="265" customWidth="1"/>
    <col min="4834" max="4834" width="12" style="265" customWidth="1"/>
    <col min="4835" max="4835" width="5.140625" style="265" customWidth="1"/>
    <col min="4836" max="4836" width="9" style="265" customWidth="1"/>
    <col min="4837" max="4837" width="5.140625" style="265" customWidth="1"/>
    <col min="4838" max="4838" width="9.85546875" style="265" customWidth="1"/>
    <col min="4839" max="4839" width="5.140625" style="265" customWidth="1"/>
    <col min="4840" max="4840" width="9" style="265" customWidth="1"/>
    <col min="4841" max="4841" width="5.140625" style="265" customWidth="1"/>
    <col min="4842" max="4844" width="9.85546875" style="265" customWidth="1"/>
    <col min="4845" max="4845" width="7.140625" style="265" customWidth="1"/>
    <col min="4846" max="4846" width="10.28515625" style="265" customWidth="1"/>
    <col min="4847" max="4847" width="6.42578125" style="265" customWidth="1"/>
    <col min="4848" max="4848" width="9.7109375" style="265" customWidth="1"/>
    <col min="4849" max="4849" width="6.28515625" style="265" customWidth="1"/>
    <col min="4850" max="4850" width="9" style="265" customWidth="1"/>
    <col min="4851" max="4851" width="8" style="265" customWidth="1"/>
    <col min="4852" max="4852" width="12.85546875" style="265" customWidth="1"/>
    <col min="4853" max="4853" width="5.140625" style="265" customWidth="1"/>
    <col min="4854" max="4854" width="9.85546875" style="265" customWidth="1"/>
    <col min="4855" max="4855" width="6.7109375" style="265" customWidth="1"/>
    <col min="4856" max="4856" width="12.42578125" style="265" customWidth="1"/>
    <col min="4857" max="4857" width="5.140625" style="265" customWidth="1"/>
    <col min="4858" max="4858" width="9" style="265" customWidth="1"/>
    <col min="4859" max="4859" width="5.140625" style="265" customWidth="1"/>
    <col min="4860" max="4860" width="9.85546875" style="265" customWidth="1"/>
    <col min="4861" max="4861" width="5.140625" style="265" customWidth="1"/>
    <col min="4862" max="4862" width="6.85546875" style="265" customWidth="1"/>
    <col min="4863" max="4863" width="5.140625" style="265" customWidth="1"/>
    <col min="4864" max="4864" width="10.5703125" style="265" customWidth="1"/>
    <col min="4865" max="4866" width="9" style="265" customWidth="1"/>
    <col min="4867" max="4867" width="7.140625" style="265" customWidth="1"/>
    <col min="4868" max="4868" width="10.28515625" style="265" customWidth="1"/>
    <col min="4869" max="4869" width="6.42578125" style="265" customWidth="1"/>
    <col min="4870" max="4870" width="9.7109375" style="265" customWidth="1"/>
    <col min="4871" max="4871" width="6.28515625" style="265" customWidth="1"/>
    <col min="4872" max="4872" width="9" style="265" customWidth="1"/>
    <col min="4873" max="4873" width="5.140625" style="265" customWidth="1"/>
    <col min="4874" max="4874" width="9.85546875" style="265" customWidth="1"/>
    <col min="4875" max="4875" width="5.140625" style="265" customWidth="1"/>
    <col min="4876" max="4876" width="9.85546875" style="265" customWidth="1"/>
    <col min="4877" max="4877" width="5.140625" style="265" customWidth="1"/>
    <col min="4878" max="4878" width="9.85546875" style="265" customWidth="1"/>
    <col min="4879" max="4879" width="5.140625" style="265" customWidth="1"/>
    <col min="4880" max="4880" width="9" style="265" customWidth="1"/>
    <col min="4881" max="4881" width="5.140625" style="265" customWidth="1"/>
    <col min="4882" max="4882" width="9.85546875" style="265" customWidth="1"/>
    <col min="4883" max="4883" width="5.140625" style="265" customWidth="1"/>
    <col min="4884" max="4884" width="6.85546875" style="265" customWidth="1"/>
    <col min="4885" max="4885" width="5.140625" style="265" customWidth="1"/>
    <col min="4886" max="4886" width="9" style="265" customWidth="1"/>
    <col min="4887" max="4887" width="7.140625" style="265" customWidth="1"/>
    <col min="4888" max="4888" width="10.28515625" style="265" customWidth="1"/>
    <col min="4889" max="4889" width="6.42578125" style="265" customWidth="1"/>
    <col min="4890" max="4890" width="9.7109375" style="265" customWidth="1"/>
    <col min="4891" max="4891" width="6.28515625" style="265" customWidth="1"/>
    <col min="4892" max="4892" width="13" style="265" customWidth="1"/>
    <col min="4893" max="4893" width="6.85546875" style="265" customWidth="1"/>
    <col min="4894" max="4894" width="12.28515625" style="265" customWidth="1"/>
    <col min="4895" max="4895" width="7.7109375" style="265" customWidth="1"/>
    <col min="4896" max="4896" width="10.42578125" style="265" customWidth="1"/>
    <col min="4897" max="4897" width="11.28515625" style="265" customWidth="1"/>
    <col min="4898" max="4898" width="12.28515625" style="265" customWidth="1"/>
    <col min="4899" max="4899" width="5.140625" style="265" customWidth="1"/>
    <col min="4900" max="4900" width="9" style="265" customWidth="1"/>
    <col min="4901" max="4901" width="5.140625" style="265" customWidth="1"/>
    <col min="4902" max="4902" width="9.85546875" style="265" customWidth="1"/>
    <col min="4903" max="4903" width="5.140625" style="265" customWidth="1"/>
    <col min="4904" max="4904" width="6.85546875" style="265" customWidth="1"/>
    <col min="4905" max="4905" width="5.140625" style="265" customWidth="1"/>
    <col min="4906" max="4906" width="10.7109375" style="265" customWidth="1"/>
    <col min="4907" max="4907" width="6.85546875" style="265" customWidth="1"/>
    <col min="4908" max="4908" width="12" style="265" customWidth="1"/>
    <col min="4909" max="4909" width="0" style="265" hidden="1" customWidth="1"/>
    <col min="4910" max="4910" width="8.42578125" style="265" customWidth="1"/>
    <col min="4911" max="4911" width="12" style="265" customWidth="1"/>
    <col min="4912" max="4912" width="8.28515625" style="265" customWidth="1"/>
    <col min="4913" max="4913" width="15.28515625" style="265" customWidth="1"/>
    <col min="4914" max="4914" width="13.5703125" style="265" customWidth="1"/>
    <col min="4915" max="4916" width="0" style="265" hidden="1" customWidth="1"/>
    <col min="4917" max="4918" width="15.7109375" style="265" customWidth="1"/>
    <col min="4919" max="4919" width="17.28515625" style="265" customWidth="1"/>
    <col min="4920" max="4920" width="0" style="265" hidden="1" customWidth="1"/>
    <col min="4921" max="4921" width="18.28515625" style="265" customWidth="1"/>
    <col min="4922" max="4922" width="17.42578125" style="265" customWidth="1"/>
    <col min="4923" max="4923" width="10.7109375" style="265" bestFit="1" customWidth="1"/>
    <col min="4924" max="4924" width="11" style="265" bestFit="1" customWidth="1"/>
    <col min="4925" max="5074" width="8.85546875" style="265"/>
    <col min="5075" max="5075" width="4.7109375" style="265" customWidth="1"/>
    <col min="5076" max="5078" width="16" style="265" customWidth="1"/>
    <col min="5079" max="5079" width="9.42578125" style="265" customWidth="1"/>
    <col min="5080" max="5080" width="10.28515625" style="265" customWidth="1"/>
    <col min="5081" max="5081" width="7.85546875" style="265" customWidth="1"/>
    <col min="5082" max="5082" width="9.7109375" style="265" customWidth="1"/>
    <col min="5083" max="5083" width="6" style="265" customWidth="1"/>
    <col min="5084" max="5084" width="10.7109375" style="265" customWidth="1"/>
    <col min="5085" max="5085" width="8.28515625" style="265" customWidth="1"/>
    <col min="5086" max="5086" width="12.28515625" style="265" customWidth="1"/>
    <col min="5087" max="5087" width="6" style="265" customWidth="1"/>
    <col min="5088" max="5088" width="10.7109375" style="265" customWidth="1"/>
    <col min="5089" max="5089" width="6.85546875" style="265" customWidth="1"/>
    <col min="5090" max="5090" width="12" style="265" customWidth="1"/>
    <col min="5091" max="5091" width="5.140625" style="265" customWidth="1"/>
    <col min="5092" max="5092" width="9" style="265" customWidth="1"/>
    <col min="5093" max="5093" width="5.140625" style="265" customWidth="1"/>
    <col min="5094" max="5094" width="9.85546875" style="265" customWidth="1"/>
    <col min="5095" max="5095" width="5.140625" style="265" customWidth="1"/>
    <col min="5096" max="5096" width="9" style="265" customWidth="1"/>
    <col min="5097" max="5097" width="5.140625" style="265" customWidth="1"/>
    <col min="5098" max="5100" width="9.85546875" style="265" customWidth="1"/>
    <col min="5101" max="5101" width="7.140625" style="265" customWidth="1"/>
    <col min="5102" max="5102" width="10.28515625" style="265" customWidth="1"/>
    <col min="5103" max="5103" width="6.42578125" style="265" customWidth="1"/>
    <col min="5104" max="5104" width="9.7109375" style="265" customWidth="1"/>
    <col min="5105" max="5105" width="6.28515625" style="265" customWidth="1"/>
    <col min="5106" max="5106" width="9" style="265" customWidth="1"/>
    <col min="5107" max="5107" width="8" style="265" customWidth="1"/>
    <col min="5108" max="5108" width="12.85546875" style="265" customWidth="1"/>
    <col min="5109" max="5109" width="5.140625" style="265" customWidth="1"/>
    <col min="5110" max="5110" width="9.85546875" style="265" customWidth="1"/>
    <col min="5111" max="5111" width="6.7109375" style="265" customWidth="1"/>
    <col min="5112" max="5112" width="12.42578125" style="265" customWidth="1"/>
    <col min="5113" max="5113" width="5.140625" style="265" customWidth="1"/>
    <col min="5114" max="5114" width="9" style="265" customWidth="1"/>
    <col min="5115" max="5115" width="5.140625" style="265" customWidth="1"/>
    <col min="5116" max="5116" width="9.85546875" style="265" customWidth="1"/>
    <col min="5117" max="5117" width="5.140625" style="265" customWidth="1"/>
    <col min="5118" max="5118" width="6.85546875" style="265" customWidth="1"/>
    <col min="5119" max="5119" width="5.140625" style="265" customWidth="1"/>
    <col min="5120" max="5120" width="10.5703125" style="265" customWidth="1"/>
    <col min="5121" max="5122" width="9" style="265" customWidth="1"/>
    <col min="5123" max="5123" width="7.140625" style="265" customWidth="1"/>
    <col min="5124" max="5124" width="10.28515625" style="265" customWidth="1"/>
    <col min="5125" max="5125" width="6.42578125" style="265" customWidth="1"/>
    <col min="5126" max="5126" width="9.7109375" style="265" customWidth="1"/>
    <col min="5127" max="5127" width="6.28515625" style="265" customWidth="1"/>
    <col min="5128" max="5128" width="9" style="265" customWidth="1"/>
    <col min="5129" max="5129" width="5.140625" style="265" customWidth="1"/>
    <col min="5130" max="5130" width="9.85546875" style="265" customWidth="1"/>
    <col min="5131" max="5131" width="5.140625" style="265" customWidth="1"/>
    <col min="5132" max="5132" width="9.85546875" style="265" customWidth="1"/>
    <col min="5133" max="5133" width="5.140625" style="265" customWidth="1"/>
    <col min="5134" max="5134" width="9.85546875" style="265" customWidth="1"/>
    <col min="5135" max="5135" width="5.140625" style="265" customWidth="1"/>
    <col min="5136" max="5136" width="9" style="265" customWidth="1"/>
    <col min="5137" max="5137" width="5.140625" style="265" customWidth="1"/>
    <col min="5138" max="5138" width="9.85546875" style="265" customWidth="1"/>
    <col min="5139" max="5139" width="5.140625" style="265" customWidth="1"/>
    <col min="5140" max="5140" width="6.85546875" style="265" customWidth="1"/>
    <col min="5141" max="5141" width="5.140625" style="265" customWidth="1"/>
    <col min="5142" max="5142" width="9" style="265" customWidth="1"/>
    <col min="5143" max="5143" width="7.140625" style="265" customWidth="1"/>
    <col min="5144" max="5144" width="10.28515625" style="265" customWidth="1"/>
    <col min="5145" max="5145" width="6.42578125" style="265" customWidth="1"/>
    <col min="5146" max="5146" width="9.7109375" style="265" customWidth="1"/>
    <col min="5147" max="5147" width="6.28515625" style="265" customWidth="1"/>
    <col min="5148" max="5148" width="13" style="265" customWidth="1"/>
    <col min="5149" max="5149" width="6.85546875" style="265" customWidth="1"/>
    <col min="5150" max="5150" width="12.28515625" style="265" customWidth="1"/>
    <col min="5151" max="5151" width="7.7109375" style="265" customWidth="1"/>
    <col min="5152" max="5152" width="10.42578125" style="265" customWidth="1"/>
    <col min="5153" max="5153" width="11.28515625" style="265" customWidth="1"/>
    <col min="5154" max="5154" width="12.28515625" style="265" customWidth="1"/>
    <col min="5155" max="5155" width="5.140625" style="265" customWidth="1"/>
    <col min="5156" max="5156" width="9" style="265" customWidth="1"/>
    <col min="5157" max="5157" width="5.140625" style="265" customWidth="1"/>
    <col min="5158" max="5158" width="9.85546875" style="265" customWidth="1"/>
    <col min="5159" max="5159" width="5.140625" style="265" customWidth="1"/>
    <col min="5160" max="5160" width="6.85546875" style="265" customWidth="1"/>
    <col min="5161" max="5161" width="5.140625" style="265" customWidth="1"/>
    <col min="5162" max="5162" width="10.7109375" style="265" customWidth="1"/>
    <col min="5163" max="5163" width="6.85546875" style="265" customWidth="1"/>
    <col min="5164" max="5164" width="12" style="265" customWidth="1"/>
    <col min="5165" max="5165" width="0" style="265" hidden="1" customWidth="1"/>
    <col min="5166" max="5166" width="8.42578125" style="265" customWidth="1"/>
    <col min="5167" max="5167" width="12" style="265" customWidth="1"/>
    <col min="5168" max="5168" width="8.28515625" style="265" customWidth="1"/>
    <col min="5169" max="5169" width="15.28515625" style="265" customWidth="1"/>
    <col min="5170" max="5170" width="13.5703125" style="265" customWidth="1"/>
    <col min="5171" max="5172" width="0" style="265" hidden="1" customWidth="1"/>
    <col min="5173" max="5174" width="15.7109375" style="265" customWidth="1"/>
    <col min="5175" max="5175" width="17.28515625" style="265" customWidth="1"/>
    <col min="5176" max="5176" width="0" style="265" hidden="1" customWidth="1"/>
    <col min="5177" max="5177" width="18.28515625" style="265" customWidth="1"/>
    <col min="5178" max="5178" width="17.42578125" style="265" customWidth="1"/>
    <col min="5179" max="5179" width="10.7109375" style="265" bestFit="1" customWidth="1"/>
    <col min="5180" max="5180" width="11" style="265" bestFit="1" customWidth="1"/>
    <col min="5181" max="5330" width="8.85546875" style="265"/>
    <col min="5331" max="5331" width="4.7109375" style="265" customWidth="1"/>
    <col min="5332" max="5334" width="16" style="265" customWidth="1"/>
    <col min="5335" max="5335" width="9.42578125" style="265" customWidth="1"/>
    <col min="5336" max="5336" width="10.28515625" style="265" customWidth="1"/>
    <col min="5337" max="5337" width="7.85546875" style="265" customWidth="1"/>
    <col min="5338" max="5338" width="9.7109375" style="265" customWidth="1"/>
    <col min="5339" max="5339" width="6" style="265" customWidth="1"/>
    <col min="5340" max="5340" width="10.7109375" style="265" customWidth="1"/>
    <col min="5341" max="5341" width="8.28515625" style="265" customWidth="1"/>
    <col min="5342" max="5342" width="12.28515625" style="265" customWidth="1"/>
    <col min="5343" max="5343" width="6" style="265" customWidth="1"/>
    <col min="5344" max="5344" width="10.7109375" style="265" customWidth="1"/>
    <col min="5345" max="5345" width="6.85546875" style="265" customWidth="1"/>
    <col min="5346" max="5346" width="12" style="265" customWidth="1"/>
    <col min="5347" max="5347" width="5.140625" style="265" customWidth="1"/>
    <col min="5348" max="5348" width="9" style="265" customWidth="1"/>
    <col min="5349" max="5349" width="5.140625" style="265" customWidth="1"/>
    <col min="5350" max="5350" width="9.85546875" style="265" customWidth="1"/>
    <col min="5351" max="5351" width="5.140625" style="265" customWidth="1"/>
    <col min="5352" max="5352" width="9" style="265" customWidth="1"/>
    <col min="5353" max="5353" width="5.140625" style="265" customWidth="1"/>
    <col min="5354" max="5356" width="9.85546875" style="265" customWidth="1"/>
    <col min="5357" max="5357" width="7.140625" style="265" customWidth="1"/>
    <col min="5358" max="5358" width="10.28515625" style="265" customWidth="1"/>
    <col min="5359" max="5359" width="6.42578125" style="265" customWidth="1"/>
    <col min="5360" max="5360" width="9.7109375" style="265" customWidth="1"/>
    <col min="5361" max="5361" width="6.28515625" style="265" customWidth="1"/>
    <col min="5362" max="5362" width="9" style="265" customWidth="1"/>
    <col min="5363" max="5363" width="8" style="265" customWidth="1"/>
    <col min="5364" max="5364" width="12.85546875" style="265" customWidth="1"/>
    <col min="5365" max="5365" width="5.140625" style="265" customWidth="1"/>
    <col min="5366" max="5366" width="9.85546875" style="265" customWidth="1"/>
    <col min="5367" max="5367" width="6.7109375" style="265" customWidth="1"/>
    <col min="5368" max="5368" width="12.42578125" style="265" customWidth="1"/>
    <col min="5369" max="5369" width="5.140625" style="265" customWidth="1"/>
    <col min="5370" max="5370" width="9" style="265" customWidth="1"/>
    <col min="5371" max="5371" width="5.140625" style="265" customWidth="1"/>
    <col min="5372" max="5372" width="9.85546875" style="265" customWidth="1"/>
    <col min="5373" max="5373" width="5.140625" style="265" customWidth="1"/>
    <col min="5374" max="5374" width="6.85546875" style="265" customWidth="1"/>
    <col min="5375" max="5375" width="5.140625" style="265" customWidth="1"/>
    <col min="5376" max="5376" width="10.5703125" style="265" customWidth="1"/>
    <col min="5377" max="5378" width="9" style="265" customWidth="1"/>
    <col min="5379" max="5379" width="7.140625" style="265" customWidth="1"/>
    <col min="5380" max="5380" width="10.28515625" style="265" customWidth="1"/>
    <col min="5381" max="5381" width="6.42578125" style="265" customWidth="1"/>
    <col min="5382" max="5382" width="9.7109375" style="265" customWidth="1"/>
    <col min="5383" max="5383" width="6.28515625" style="265" customWidth="1"/>
    <col min="5384" max="5384" width="9" style="265" customWidth="1"/>
    <col min="5385" max="5385" width="5.140625" style="265" customWidth="1"/>
    <col min="5386" max="5386" width="9.85546875" style="265" customWidth="1"/>
    <col min="5387" max="5387" width="5.140625" style="265" customWidth="1"/>
    <col min="5388" max="5388" width="9.85546875" style="265" customWidth="1"/>
    <col min="5389" max="5389" width="5.140625" style="265" customWidth="1"/>
    <col min="5390" max="5390" width="9.85546875" style="265" customWidth="1"/>
    <col min="5391" max="5391" width="5.140625" style="265" customWidth="1"/>
    <col min="5392" max="5392" width="9" style="265" customWidth="1"/>
    <col min="5393" max="5393" width="5.140625" style="265" customWidth="1"/>
    <col min="5394" max="5394" width="9.85546875" style="265" customWidth="1"/>
    <col min="5395" max="5395" width="5.140625" style="265" customWidth="1"/>
    <col min="5396" max="5396" width="6.85546875" style="265" customWidth="1"/>
    <col min="5397" max="5397" width="5.140625" style="265" customWidth="1"/>
    <col min="5398" max="5398" width="9" style="265" customWidth="1"/>
    <col min="5399" max="5399" width="7.140625" style="265" customWidth="1"/>
    <col min="5400" max="5400" width="10.28515625" style="265" customWidth="1"/>
    <col min="5401" max="5401" width="6.42578125" style="265" customWidth="1"/>
    <col min="5402" max="5402" width="9.7109375" style="265" customWidth="1"/>
    <col min="5403" max="5403" width="6.28515625" style="265" customWidth="1"/>
    <col min="5404" max="5404" width="13" style="265" customWidth="1"/>
    <col min="5405" max="5405" width="6.85546875" style="265" customWidth="1"/>
    <col min="5406" max="5406" width="12.28515625" style="265" customWidth="1"/>
    <col min="5407" max="5407" width="7.7109375" style="265" customWidth="1"/>
    <col min="5408" max="5408" width="10.42578125" style="265" customWidth="1"/>
    <col min="5409" max="5409" width="11.28515625" style="265" customWidth="1"/>
    <col min="5410" max="5410" width="12.28515625" style="265" customWidth="1"/>
    <col min="5411" max="5411" width="5.140625" style="265" customWidth="1"/>
    <col min="5412" max="5412" width="9" style="265" customWidth="1"/>
    <col min="5413" max="5413" width="5.140625" style="265" customWidth="1"/>
    <col min="5414" max="5414" width="9.85546875" style="265" customWidth="1"/>
    <col min="5415" max="5415" width="5.140625" style="265" customWidth="1"/>
    <col min="5416" max="5416" width="6.85546875" style="265" customWidth="1"/>
    <col min="5417" max="5417" width="5.140625" style="265" customWidth="1"/>
    <col min="5418" max="5418" width="10.7109375" style="265" customWidth="1"/>
    <col min="5419" max="5419" width="6.85546875" style="265" customWidth="1"/>
    <col min="5420" max="5420" width="12" style="265" customWidth="1"/>
    <col min="5421" max="5421" width="0" style="265" hidden="1" customWidth="1"/>
    <col min="5422" max="5422" width="8.42578125" style="265" customWidth="1"/>
    <col min="5423" max="5423" width="12" style="265" customWidth="1"/>
    <col min="5424" max="5424" width="8.28515625" style="265" customWidth="1"/>
    <col min="5425" max="5425" width="15.28515625" style="265" customWidth="1"/>
    <col min="5426" max="5426" width="13.5703125" style="265" customWidth="1"/>
    <col min="5427" max="5428" width="0" style="265" hidden="1" customWidth="1"/>
    <col min="5429" max="5430" width="15.7109375" style="265" customWidth="1"/>
    <col min="5431" max="5431" width="17.28515625" style="265" customWidth="1"/>
    <col min="5432" max="5432" width="0" style="265" hidden="1" customWidth="1"/>
    <col min="5433" max="5433" width="18.28515625" style="265" customWidth="1"/>
    <col min="5434" max="5434" width="17.42578125" style="265" customWidth="1"/>
    <col min="5435" max="5435" width="10.7109375" style="265" bestFit="1" customWidth="1"/>
    <col min="5436" max="5436" width="11" style="265" bestFit="1" customWidth="1"/>
    <col min="5437" max="5586" width="8.85546875" style="265"/>
    <col min="5587" max="5587" width="4.7109375" style="265" customWidth="1"/>
    <col min="5588" max="5590" width="16" style="265" customWidth="1"/>
    <col min="5591" max="5591" width="9.42578125" style="265" customWidth="1"/>
    <col min="5592" max="5592" width="10.28515625" style="265" customWidth="1"/>
    <col min="5593" max="5593" width="7.85546875" style="265" customWidth="1"/>
    <col min="5594" max="5594" width="9.7109375" style="265" customWidth="1"/>
    <col min="5595" max="5595" width="6" style="265" customWidth="1"/>
    <col min="5596" max="5596" width="10.7109375" style="265" customWidth="1"/>
    <col min="5597" max="5597" width="8.28515625" style="265" customWidth="1"/>
    <col min="5598" max="5598" width="12.28515625" style="265" customWidth="1"/>
    <col min="5599" max="5599" width="6" style="265" customWidth="1"/>
    <col min="5600" max="5600" width="10.7109375" style="265" customWidth="1"/>
    <col min="5601" max="5601" width="6.85546875" style="265" customWidth="1"/>
    <col min="5602" max="5602" width="12" style="265" customWidth="1"/>
    <col min="5603" max="5603" width="5.140625" style="265" customWidth="1"/>
    <col min="5604" max="5604" width="9" style="265" customWidth="1"/>
    <col min="5605" max="5605" width="5.140625" style="265" customWidth="1"/>
    <col min="5606" max="5606" width="9.85546875" style="265" customWidth="1"/>
    <col min="5607" max="5607" width="5.140625" style="265" customWidth="1"/>
    <col min="5608" max="5608" width="9" style="265" customWidth="1"/>
    <col min="5609" max="5609" width="5.140625" style="265" customWidth="1"/>
    <col min="5610" max="5612" width="9.85546875" style="265" customWidth="1"/>
    <col min="5613" max="5613" width="7.140625" style="265" customWidth="1"/>
    <col min="5614" max="5614" width="10.28515625" style="265" customWidth="1"/>
    <col min="5615" max="5615" width="6.42578125" style="265" customWidth="1"/>
    <col min="5616" max="5616" width="9.7109375" style="265" customWidth="1"/>
    <col min="5617" max="5617" width="6.28515625" style="265" customWidth="1"/>
    <col min="5618" max="5618" width="9" style="265" customWidth="1"/>
    <col min="5619" max="5619" width="8" style="265" customWidth="1"/>
    <col min="5620" max="5620" width="12.85546875" style="265" customWidth="1"/>
    <col min="5621" max="5621" width="5.140625" style="265" customWidth="1"/>
    <col min="5622" max="5622" width="9.85546875" style="265" customWidth="1"/>
    <col min="5623" max="5623" width="6.7109375" style="265" customWidth="1"/>
    <col min="5624" max="5624" width="12.42578125" style="265" customWidth="1"/>
    <col min="5625" max="5625" width="5.140625" style="265" customWidth="1"/>
    <col min="5626" max="5626" width="9" style="265" customWidth="1"/>
    <col min="5627" max="5627" width="5.140625" style="265" customWidth="1"/>
    <col min="5628" max="5628" width="9.85546875" style="265" customWidth="1"/>
    <col min="5629" max="5629" width="5.140625" style="265" customWidth="1"/>
    <col min="5630" max="5630" width="6.85546875" style="265" customWidth="1"/>
    <col min="5631" max="5631" width="5.140625" style="265" customWidth="1"/>
    <col min="5632" max="5632" width="10.5703125" style="265" customWidth="1"/>
    <col min="5633" max="5634" width="9" style="265" customWidth="1"/>
    <col min="5635" max="5635" width="7.140625" style="265" customWidth="1"/>
    <col min="5636" max="5636" width="10.28515625" style="265" customWidth="1"/>
    <col min="5637" max="5637" width="6.42578125" style="265" customWidth="1"/>
    <col min="5638" max="5638" width="9.7109375" style="265" customWidth="1"/>
    <col min="5639" max="5639" width="6.28515625" style="265" customWidth="1"/>
    <col min="5640" max="5640" width="9" style="265" customWidth="1"/>
    <col min="5641" max="5641" width="5.140625" style="265" customWidth="1"/>
    <col min="5642" max="5642" width="9.85546875" style="265" customWidth="1"/>
    <col min="5643" max="5643" width="5.140625" style="265" customWidth="1"/>
    <col min="5644" max="5644" width="9.85546875" style="265" customWidth="1"/>
    <col min="5645" max="5645" width="5.140625" style="265" customWidth="1"/>
    <col min="5646" max="5646" width="9.85546875" style="265" customWidth="1"/>
    <col min="5647" max="5647" width="5.140625" style="265" customWidth="1"/>
    <col min="5648" max="5648" width="9" style="265" customWidth="1"/>
    <col min="5649" max="5649" width="5.140625" style="265" customWidth="1"/>
    <col min="5650" max="5650" width="9.85546875" style="265" customWidth="1"/>
    <col min="5651" max="5651" width="5.140625" style="265" customWidth="1"/>
    <col min="5652" max="5652" width="6.85546875" style="265" customWidth="1"/>
    <col min="5653" max="5653" width="5.140625" style="265" customWidth="1"/>
    <col min="5654" max="5654" width="9" style="265" customWidth="1"/>
    <col min="5655" max="5655" width="7.140625" style="265" customWidth="1"/>
    <col min="5656" max="5656" width="10.28515625" style="265" customWidth="1"/>
    <col min="5657" max="5657" width="6.42578125" style="265" customWidth="1"/>
    <col min="5658" max="5658" width="9.7109375" style="265" customWidth="1"/>
    <col min="5659" max="5659" width="6.28515625" style="265" customWidth="1"/>
    <col min="5660" max="5660" width="13" style="265" customWidth="1"/>
    <col min="5661" max="5661" width="6.85546875" style="265" customWidth="1"/>
    <col min="5662" max="5662" width="12.28515625" style="265" customWidth="1"/>
    <col min="5663" max="5663" width="7.7109375" style="265" customWidth="1"/>
    <col min="5664" max="5664" width="10.42578125" style="265" customWidth="1"/>
    <col min="5665" max="5665" width="11.28515625" style="265" customWidth="1"/>
    <col min="5666" max="5666" width="12.28515625" style="265" customWidth="1"/>
    <col min="5667" max="5667" width="5.140625" style="265" customWidth="1"/>
    <col min="5668" max="5668" width="9" style="265" customWidth="1"/>
    <col min="5669" max="5669" width="5.140625" style="265" customWidth="1"/>
    <col min="5670" max="5670" width="9.85546875" style="265" customWidth="1"/>
    <col min="5671" max="5671" width="5.140625" style="265" customWidth="1"/>
    <col min="5672" max="5672" width="6.85546875" style="265" customWidth="1"/>
    <col min="5673" max="5673" width="5.140625" style="265" customWidth="1"/>
    <col min="5674" max="5674" width="10.7109375" style="265" customWidth="1"/>
    <col min="5675" max="5675" width="6.85546875" style="265" customWidth="1"/>
    <col min="5676" max="5676" width="12" style="265" customWidth="1"/>
    <col min="5677" max="5677" width="0" style="265" hidden="1" customWidth="1"/>
    <col min="5678" max="5678" width="8.42578125" style="265" customWidth="1"/>
    <col min="5679" max="5679" width="12" style="265" customWidth="1"/>
    <col min="5680" max="5680" width="8.28515625" style="265" customWidth="1"/>
    <col min="5681" max="5681" width="15.28515625" style="265" customWidth="1"/>
    <col min="5682" max="5682" width="13.5703125" style="265" customWidth="1"/>
    <col min="5683" max="5684" width="0" style="265" hidden="1" customWidth="1"/>
    <col min="5685" max="5686" width="15.7109375" style="265" customWidth="1"/>
    <col min="5687" max="5687" width="17.28515625" style="265" customWidth="1"/>
    <col min="5688" max="5688" width="0" style="265" hidden="1" customWidth="1"/>
    <col min="5689" max="5689" width="18.28515625" style="265" customWidth="1"/>
    <col min="5690" max="5690" width="17.42578125" style="265" customWidth="1"/>
    <col min="5691" max="5691" width="10.7109375" style="265" bestFit="1" customWidth="1"/>
    <col min="5692" max="5692" width="11" style="265" bestFit="1" customWidth="1"/>
    <col min="5693" max="5842" width="8.85546875" style="265"/>
    <col min="5843" max="5843" width="4.7109375" style="265" customWidth="1"/>
    <col min="5844" max="5846" width="16" style="265" customWidth="1"/>
    <col min="5847" max="5847" width="9.42578125" style="265" customWidth="1"/>
    <col min="5848" max="5848" width="10.28515625" style="265" customWidth="1"/>
    <col min="5849" max="5849" width="7.85546875" style="265" customWidth="1"/>
    <col min="5850" max="5850" width="9.7109375" style="265" customWidth="1"/>
    <col min="5851" max="5851" width="6" style="265" customWidth="1"/>
    <col min="5852" max="5852" width="10.7109375" style="265" customWidth="1"/>
    <col min="5853" max="5853" width="8.28515625" style="265" customWidth="1"/>
    <col min="5854" max="5854" width="12.28515625" style="265" customWidth="1"/>
    <col min="5855" max="5855" width="6" style="265" customWidth="1"/>
    <col min="5856" max="5856" width="10.7109375" style="265" customWidth="1"/>
    <col min="5857" max="5857" width="6.85546875" style="265" customWidth="1"/>
    <col min="5858" max="5858" width="12" style="265" customWidth="1"/>
    <col min="5859" max="5859" width="5.140625" style="265" customWidth="1"/>
    <col min="5860" max="5860" width="9" style="265" customWidth="1"/>
    <col min="5861" max="5861" width="5.140625" style="265" customWidth="1"/>
    <col min="5862" max="5862" width="9.85546875" style="265" customWidth="1"/>
    <col min="5863" max="5863" width="5.140625" style="265" customWidth="1"/>
    <col min="5864" max="5864" width="9" style="265" customWidth="1"/>
    <col min="5865" max="5865" width="5.140625" style="265" customWidth="1"/>
    <col min="5866" max="5868" width="9.85546875" style="265" customWidth="1"/>
    <col min="5869" max="5869" width="7.140625" style="265" customWidth="1"/>
    <col min="5870" max="5870" width="10.28515625" style="265" customWidth="1"/>
    <col min="5871" max="5871" width="6.42578125" style="265" customWidth="1"/>
    <col min="5872" max="5872" width="9.7109375" style="265" customWidth="1"/>
    <col min="5873" max="5873" width="6.28515625" style="265" customWidth="1"/>
    <col min="5874" max="5874" width="9" style="265" customWidth="1"/>
    <col min="5875" max="5875" width="8" style="265" customWidth="1"/>
    <col min="5876" max="5876" width="12.85546875" style="265" customWidth="1"/>
    <col min="5877" max="5877" width="5.140625" style="265" customWidth="1"/>
    <col min="5878" max="5878" width="9.85546875" style="265" customWidth="1"/>
    <col min="5879" max="5879" width="6.7109375" style="265" customWidth="1"/>
    <col min="5880" max="5880" width="12.42578125" style="265" customWidth="1"/>
    <col min="5881" max="5881" width="5.140625" style="265" customWidth="1"/>
    <col min="5882" max="5882" width="9" style="265" customWidth="1"/>
    <col min="5883" max="5883" width="5.140625" style="265" customWidth="1"/>
    <col min="5884" max="5884" width="9.85546875" style="265" customWidth="1"/>
    <col min="5885" max="5885" width="5.140625" style="265" customWidth="1"/>
    <col min="5886" max="5886" width="6.85546875" style="265" customWidth="1"/>
    <col min="5887" max="5887" width="5.140625" style="265" customWidth="1"/>
    <col min="5888" max="5888" width="10.5703125" style="265" customWidth="1"/>
    <col min="5889" max="5890" width="9" style="265" customWidth="1"/>
    <col min="5891" max="5891" width="7.140625" style="265" customWidth="1"/>
    <col min="5892" max="5892" width="10.28515625" style="265" customWidth="1"/>
    <col min="5893" max="5893" width="6.42578125" style="265" customWidth="1"/>
    <col min="5894" max="5894" width="9.7109375" style="265" customWidth="1"/>
    <col min="5895" max="5895" width="6.28515625" style="265" customWidth="1"/>
    <col min="5896" max="5896" width="9" style="265" customWidth="1"/>
    <col min="5897" max="5897" width="5.140625" style="265" customWidth="1"/>
    <col min="5898" max="5898" width="9.85546875" style="265" customWidth="1"/>
    <col min="5899" max="5899" width="5.140625" style="265" customWidth="1"/>
    <col min="5900" max="5900" width="9.85546875" style="265" customWidth="1"/>
    <col min="5901" max="5901" width="5.140625" style="265" customWidth="1"/>
    <col min="5902" max="5902" width="9.85546875" style="265" customWidth="1"/>
    <col min="5903" max="5903" width="5.140625" style="265" customWidth="1"/>
    <col min="5904" max="5904" width="9" style="265" customWidth="1"/>
    <col min="5905" max="5905" width="5.140625" style="265" customWidth="1"/>
    <col min="5906" max="5906" width="9.85546875" style="265" customWidth="1"/>
    <col min="5907" max="5907" width="5.140625" style="265" customWidth="1"/>
    <col min="5908" max="5908" width="6.85546875" style="265" customWidth="1"/>
    <col min="5909" max="5909" width="5.140625" style="265" customWidth="1"/>
    <col min="5910" max="5910" width="9" style="265" customWidth="1"/>
    <col min="5911" max="5911" width="7.140625" style="265" customWidth="1"/>
    <col min="5912" max="5912" width="10.28515625" style="265" customWidth="1"/>
    <col min="5913" max="5913" width="6.42578125" style="265" customWidth="1"/>
    <col min="5914" max="5914" width="9.7109375" style="265" customWidth="1"/>
    <col min="5915" max="5915" width="6.28515625" style="265" customWidth="1"/>
    <col min="5916" max="5916" width="13" style="265" customWidth="1"/>
    <col min="5917" max="5917" width="6.85546875" style="265" customWidth="1"/>
    <col min="5918" max="5918" width="12.28515625" style="265" customWidth="1"/>
    <col min="5919" max="5919" width="7.7109375" style="265" customWidth="1"/>
    <col min="5920" max="5920" width="10.42578125" style="265" customWidth="1"/>
    <col min="5921" max="5921" width="11.28515625" style="265" customWidth="1"/>
    <col min="5922" max="5922" width="12.28515625" style="265" customWidth="1"/>
    <col min="5923" max="5923" width="5.140625" style="265" customWidth="1"/>
    <col min="5924" max="5924" width="9" style="265" customWidth="1"/>
    <col min="5925" max="5925" width="5.140625" style="265" customWidth="1"/>
    <col min="5926" max="5926" width="9.85546875" style="265" customWidth="1"/>
    <col min="5927" max="5927" width="5.140625" style="265" customWidth="1"/>
    <col min="5928" max="5928" width="6.85546875" style="265" customWidth="1"/>
    <col min="5929" max="5929" width="5.140625" style="265" customWidth="1"/>
    <col min="5930" max="5930" width="10.7109375" style="265" customWidth="1"/>
    <col min="5931" max="5931" width="6.85546875" style="265" customWidth="1"/>
    <col min="5932" max="5932" width="12" style="265" customWidth="1"/>
    <col min="5933" max="5933" width="0" style="265" hidden="1" customWidth="1"/>
    <col min="5934" max="5934" width="8.42578125" style="265" customWidth="1"/>
    <col min="5935" max="5935" width="12" style="265" customWidth="1"/>
    <col min="5936" max="5936" width="8.28515625" style="265" customWidth="1"/>
    <col min="5937" max="5937" width="15.28515625" style="265" customWidth="1"/>
    <col min="5938" max="5938" width="13.5703125" style="265" customWidth="1"/>
    <col min="5939" max="5940" width="0" style="265" hidden="1" customWidth="1"/>
    <col min="5941" max="5942" width="15.7109375" style="265" customWidth="1"/>
    <col min="5943" max="5943" width="17.28515625" style="265" customWidth="1"/>
    <col min="5944" max="5944" width="0" style="265" hidden="1" customWidth="1"/>
    <col min="5945" max="5945" width="18.28515625" style="265" customWidth="1"/>
    <col min="5946" max="5946" width="17.42578125" style="265" customWidth="1"/>
    <col min="5947" max="5947" width="10.7109375" style="265" bestFit="1" customWidth="1"/>
    <col min="5948" max="5948" width="11" style="265" bestFit="1" customWidth="1"/>
    <col min="5949" max="6098" width="8.85546875" style="265"/>
    <col min="6099" max="6099" width="4.7109375" style="265" customWidth="1"/>
    <col min="6100" max="6102" width="16" style="265" customWidth="1"/>
    <col min="6103" max="6103" width="9.42578125" style="265" customWidth="1"/>
    <col min="6104" max="6104" width="10.28515625" style="265" customWidth="1"/>
    <col min="6105" max="6105" width="7.85546875" style="265" customWidth="1"/>
    <col min="6106" max="6106" width="9.7109375" style="265" customWidth="1"/>
    <col min="6107" max="6107" width="6" style="265" customWidth="1"/>
    <col min="6108" max="6108" width="10.7109375" style="265" customWidth="1"/>
    <col min="6109" max="6109" width="8.28515625" style="265" customWidth="1"/>
    <col min="6110" max="6110" width="12.28515625" style="265" customWidth="1"/>
    <col min="6111" max="6111" width="6" style="265" customWidth="1"/>
    <col min="6112" max="6112" width="10.7109375" style="265" customWidth="1"/>
    <col min="6113" max="6113" width="6.85546875" style="265" customWidth="1"/>
    <col min="6114" max="6114" width="12" style="265" customWidth="1"/>
    <col min="6115" max="6115" width="5.140625" style="265" customWidth="1"/>
    <col min="6116" max="6116" width="9" style="265" customWidth="1"/>
    <col min="6117" max="6117" width="5.140625" style="265" customWidth="1"/>
    <col min="6118" max="6118" width="9.85546875" style="265" customWidth="1"/>
    <col min="6119" max="6119" width="5.140625" style="265" customWidth="1"/>
    <col min="6120" max="6120" width="9" style="265" customWidth="1"/>
    <col min="6121" max="6121" width="5.140625" style="265" customWidth="1"/>
    <col min="6122" max="6124" width="9.85546875" style="265" customWidth="1"/>
    <col min="6125" max="6125" width="7.140625" style="265" customWidth="1"/>
    <col min="6126" max="6126" width="10.28515625" style="265" customWidth="1"/>
    <col min="6127" max="6127" width="6.42578125" style="265" customWidth="1"/>
    <col min="6128" max="6128" width="9.7109375" style="265" customWidth="1"/>
    <col min="6129" max="6129" width="6.28515625" style="265" customWidth="1"/>
    <col min="6130" max="6130" width="9" style="265" customWidth="1"/>
    <col min="6131" max="6131" width="8" style="265" customWidth="1"/>
    <col min="6132" max="6132" width="12.85546875" style="265" customWidth="1"/>
    <col min="6133" max="6133" width="5.140625" style="265" customWidth="1"/>
    <col min="6134" max="6134" width="9.85546875" style="265" customWidth="1"/>
    <col min="6135" max="6135" width="6.7109375" style="265" customWidth="1"/>
    <col min="6136" max="6136" width="12.42578125" style="265" customWidth="1"/>
    <col min="6137" max="6137" width="5.140625" style="265" customWidth="1"/>
    <col min="6138" max="6138" width="9" style="265" customWidth="1"/>
    <col min="6139" max="6139" width="5.140625" style="265" customWidth="1"/>
    <col min="6140" max="6140" width="9.85546875" style="265" customWidth="1"/>
    <col min="6141" max="6141" width="5.140625" style="265" customWidth="1"/>
    <col min="6142" max="6142" width="6.85546875" style="265" customWidth="1"/>
    <col min="6143" max="6143" width="5.140625" style="265" customWidth="1"/>
    <col min="6144" max="6144" width="10.5703125" style="265" customWidth="1"/>
    <col min="6145" max="6146" width="9" style="265" customWidth="1"/>
    <col min="6147" max="6147" width="7.140625" style="265" customWidth="1"/>
    <col min="6148" max="6148" width="10.28515625" style="265" customWidth="1"/>
    <col min="6149" max="6149" width="6.42578125" style="265" customWidth="1"/>
    <col min="6150" max="6150" width="9.7109375" style="265" customWidth="1"/>
    <col min="6151" max="6151" width="6.28515625" style="265" customWidth="1"/>
    <col min="6152" max="6152" width="9" style="265" customWidth="1"/>
    <col min="6153" max="6153" width="5.140625" style="265" customWidth="1"/>
    <col min="6154" max="6154" width="9.85546875" style="265" customWidth="1"/>
    <col min="6155" max="6155" width="5.140625" style="265" customWidth="1"/>
    <col min="6156" max="6156" width="9.85546875" style="265" customWidth="1"/>
    <col min="6157" max="6157" width="5.140625" style="265" customWidth="1"/>
    <col min="6158" max="6158" width="9.85546875" style="265" customWidth="1"/>
    <col min="6159" max="6159" width="5.140625" style="265" customWidth="1"/>
    <col min="6160" max="6160" width="9" style="265" customWidth="1"/>
    <col min="6161" max="6161" width="5.140625" style="265" customWidth="1"/>
    <col min="6162" max="6162" width="9.85546875" style="265" customWidth="1"/>
    <col min="6163" max="6163" width="5.140625" style="265" customWidth="1"/>
    <col min="6164" max="6164" width="6.85546875" style="265" customWidth="1"/>
    <col min="6165" max="6165" width="5.140625" style="265" customWidth="1"/>
    <col min="6166" max="6166" width="9" style="265" customWidth="1"/>
    <col min="6167" max="6167" width="7.140625" style="265" customWidth="1"/>
    <col min="6168" max="6168" width="10.28515625" style="265" customWidth="1"/>
    <col min="6169" max="6169" width="6.42578125" style="265" customWidth="1"/>
    <col min="6170" max="6170" width="9.7109375" style="265" customWidth="1"/>
    <col min="6171" max="6171" width="6.28515625" style="265" customWidth="1"/>
    <col min="6172" max="6172" width="13" style="265" customWidth="1"/>
    <col min="6173" max="6173" width="6.85546875" style="265" customWidth="1"/>
    <col min="6174" max="6174" width="12.28515625" style="265" customWidth="1"/>
    <col min="6175" max="6175" width="7.7109375" style="265" customWidth="1"/>
    <col min="6176" max="6176" width="10.42578125" style="265" customWidth="1"/>
    <col min="6177" max="6177" width="11.28515625" style="265" customWidth="1"/>
    <col min="6178" max="6178" width="12.28515625" style="265" customWidth="1"/>
    <col min="6179" max="6179" width="5.140625" style="265" customWidth="1"/>
    <col min="6180" max="6180" width="9" style="265" customWidth="1"/>
    <col min="6181" max="6181" width="5.140625" style="265" customWidth="1"/>
    <col min="6182" max="6182" width="9.85546875" style="265" customWidth="1"/>
    <col min="6183" max="6183" width="5.140625" style="265" customWidth="1"/>
    <col min="6184" max="6184" width="6.85546875" style="265" customWidth="1"/>
    <col min="6185" max="6185" width="5.140625" style="265" customWidth="1"/>
    <col min="6186" max="6186" width="10.7109375" style="265" customWidth="1"/>
    <col min="6187" max="6187" width="6.85546875" style="265" customWidth="1"/>
    <col min="6188" max="6188" width="12" style="265" customWidth="1"/>
    <col min="6189" max="6189" width="0" style="265" hidden="1" customWidth="1"/>
    <col min="6190" max="6190" width="8.42578125" style="265" customWidth="1"/>
    <col min="6191" max="6191" width="12" style="265" customWidth="1"/>
    <col min="6192" max="6192" width="8.28515625" style="265" customWidth="1"/>
    <col min="6193" max="6193" width="15.28515625" style="265" customWidth="1"/>
    <col min="6194" max="6194" width="13.5703125" style="265" customWidth="1"/>
    <col min="6195" max="6196" width="0" style="265" hidden="1" customWidth="1"/>
    <col min="6197" max="6198" width="15.7109375" style="265" customWidth="1"/>
    <col min="6199" max="6199" width="17.28515625" style="265" customWidth="1"/>
    <col min="6200" max="6200" width="0" style="265" hidden="1" customWidth="1"/>
    <col min="6201" max="6201" width="18.28515625" style="265" customWidth="1"/>
    <col min="6202" max="6202" width="17.42578125" style="265" customWidth="1"/>
    <col min="6203" max="6203" width="10.7109375" style="265" bestFit="1" customWidth="1"/>
    <col min="6204" max="6204" width="11" style="265" bestFit="1" customWidth="1"/>
    <col min="6205" max="6354" width="8.85546875" style="265"/>
    <col min="6355" max="6355" width="4.7109375" style="265" customWidth="1"/>
    <col min="6356" max="6358" width="16" style="265" customWidth="1"/>
    <col min="6359" max="6359" width="9.42578125" style="265" customWidth="1"/>
    <col min="6360" max="6360" width="10.28515625" style="265" customWidth="1"/>
    <col min="6361" max="6361" width="7.85546875" style="265" customWidth="1"/>
    <col min="6362" max="6362" width="9.7109375" style="265" customWidth="1"/>
    <col min="6363" max="6363" width="6" style="265" customWidth="1"/>
    <col min="6364" max="6364" width="10.7109375" style="265" customWidth="1"/>
    <col min="6365" max="6365" width="8.28515625" style="265" customWidth="1"/>
    <col min="6366" max="6366" width="12.28515625" style="265" customWidth="1"/>
    <col min="6367" max="6367" width="6" style="265" customWidth="1"/>
    <col min="6368" max="6368" width="10.7109375" style="265" customWidth="1"/>
    <col min="6369" max="6369" width="6.85546875" style="265" customWidth="1"/>
    <col min="6370" max="6370" width="12" style="265" customWidth="1"/>
    <col min="6371" max="6371" width="5.140625" style="265" customWidth="1"/>
    <col min="6372" max="6372" width="9" style="265" customWidth="1"/>
    <col min="6373" max="6373" width="5.140625" style="265" customWidth="1"/>
    <col min="6374" max="6374" width="9.85546875" style="265" customWidth="1"/>
    <col min="6375" max="6375" width="5.140625" style="265" customWidth="1"/>
    <col min="6376" max="6376" width="9" style="265" customWidth="1"/>
    <col min="6377" max="6377" width="5.140625" style="265" customWidth="1"/>
    <col min="6378" max="6380" width="9.85546875" style="265" customWidth="1"/>
    <col min="6381" max="6381" width="7.140625" style="265" customWidth="1"/>
    <col min="6382" max="6382" width="10.28515625" style="265" customWidth="1"/>
    <col min="6383" max="6383" width="6.42578125" style="265" customWidth="1"/>
    <col min="6384" max="6384" width="9.7109375" style="265" customWidth="1"/>
    <col min="6385" max="6385" width="6.28515625" style="265" customWidth="1"/>
    <col min="6386" max="6386" width="9" style="265" customWidth="1"/>
    <col min="6387" max="6387" width="8" style="265" customWidth="1"/>
    <col min="6388" max="6388" width="12.85546875" style="265" customWidth="1"/>
    <col min="6389" max="6389" width="5.140625" style="265" customWidth="1"/>
    <col min="6390" max="6390" width="9.85546875" style="265" customWidth="1"/>
    <col min="6391" max="6391" width="6.7109375" style="265" customWidth="1"/>
    <col min="6392" max="6392" width="12.42578125" style="265" customWidth="1"/>
    <col min="6393" max="6393" width="5.140625" style="265" customWidth="1"/>
    <col min="6394" max="6394" width="9" style="265" customWidth="1"/>
    <col min="6395" max="6395" width="5.140625" style="265" customWidth="1"/>
    <col min="6396" max="6396" width="9.85546875" style="265" customWidth="1"/>
    <col min="6397" max="6397" width="5.140625" style="265" customWidth="1"/>
    <col min="6398" max="6398" width="6.85546875" style="265" customWidth="1"/>
    <col min="6399" max="6399" width="5.140625" style="265" customWidth="1"/>
    <col min="6400" max="6400" width="10.5703125" style="265" customWidth="1"/>
    <col min="6401" max="6402" width="9" style="265" customWidth="1"/>
    <col min="6403" max="6403" width="7.140625" style="265" customWidth="1"/>
    <col min="6404" max="6404" width="10.28515625" style="265" customWidth="1"/>
    <col min="6405" max="6405" width="6.42578125" style="265" customWidth="1"/>
    <col min="6406" max="6406" width="9.7109375" style="265" customWidth="1"/>
    <col min="6407" max="6407" width="6.28515625" style="265" customWidth="1"/>
    <col min="6408" max="6408" width="9" style="265" customWidth="1"/>
    <col min="6409" max="6409" width="5.140625" style="265" customWidth="1"/>
    <col min="6410" max="6410" width="9.85546875" style="265" customWidth="1"/>
    <col min="6411" max="6411" width="5.140625" style="265" customWidth="1"/>
    <col min="6412" max="6412" width="9.85546875" style="265" customWidth="1"/>
    <col min="6413" max="6413" width="5.140625" style="265" customWidth="1"/>
    <col min="6414" max="6414" width="9.85546875" style="265" customWidth="1"/>
    <col min="6415" max="6415" width="5.140625" style="265" customWidth="1"/>
    <col min="6416" max="6416" width="9" style="265" customWidth="1"/>
    <col min="6417" max="6417" width="5.140625" style="265" customWidth="1"/>
    <col min="6418" max="6418" width="9.85546875" style="265" customWidth="1"/>
    <col min="6419" max="6419" width="5.140625" style="265" customWidth="1"/>
    <col min="6420" max="6420" width="6.85546875" style="265" customWidth="1"/>
    <col min="6421" max="6421" width="5.140625" style="265" customWidth="1"/>
    <col min="6422" max="6422" width="9" style="265" customWidth="1"/>
    <col min="6423" max="6423" width="7.140625" style="265" customWidth="1"/>
    <col min="6424" max="6424" width="10.28515625" style="265" customWidth="1"/>
    <col min="6425" max="6425" width="6.42578125" style="265" customWidth="1"/>
    <col min="6426" max="6426" width="9.7109375" style="265" customWidth="1"/>
    <col min="6427" max="6427" width="6.28515625" style="265" customWidth="1"/>
    <col min="6428" max="6428" width="13" style="265" customWidth="1"/>
    <col min="6429" max="6429" width="6.85546875" style="265" customWidth="1"/>
    <col min="6430" max="6430" width="12.28515625" style="265" customWidth="1"/>
    <col min="6431" max="6431" width="7.7109375" style="265" customWidth="1"/>
    <col min="6432" max="6432" width="10.42578125" style="265" customWidth="1"/>
    <col min="6433" max="6433" width="11.28515625" style="265" customWidth="1"/>
    <col min="6434" max="6434" width="12.28515625" style="265" customWidth="1"/>
    <col min="6435" max="6435" width="5.140625" style="265" customWidth="1"/>
    <col min="6436" max="6436" width="9" style="265" customWidth="1"/>
    <col min="6437" max="6437" width="5.140625" style="265" customWidth="1"/>
    <col min="6438" max="6438" width="9.85546875" style="265" customWidth="1"/>
    <col min="6439" max="6439" width="5.140625" style="265" customWidth="1"/>
    <col min="6440" max="6440" width="6.85546875" style="265" customWidth="1"/>
    <col min="6441" max="6441" width="5.140625" style="265" customWidth="1"/>
    <col min="6442" max="6442" width="10.7109375" style="265" customWidth="1"/>
    <col min="6443" max="6443" width="6.85546875" style="265" customWidth="1"/>
    <col min="6444" max="6444" width="12" style="265" customWidth="1"/>
    <col min="6445" max="6445" width="0" style="265" hidden="1" customWidth="1"/>
    <col min="6446" max="6446" width="8.42578125" style="265" customWidth="1"/>
    <col min="6447" max="6447" width="12" style="265" customWidth="1"/>
    <col min="6448" max="6448" width="8.28515625" style="265" customWidth="1"/>
    <col min="6449" max="6449" width="15.28515625" style="265" customWidth="1"/>
    <col min="6450" max="6450" width="13.5703125" style="265" customWidth="1"/>
    <col min="6451" max="6452" width="0" style="265" hidden="1" customWidth="1"/>
    <col min="6453" max="6454" width="15.7109375" style="265" customWidth="1"/>
    <col min="6455" max="6455" width="17.28515625" style="265" customWidth="1"/>
    <col min="6456" max="6456" width="0" style="265" hidden="1" customWidth="1"/>
    <col min="6457" max="6457" width="18.28515625" style="265" customWidth="1"/>
    <col min="6458" max="6458" width="17.42578125" style="265" customWidth="1"/>
    <col min="6459" max="6459" width="10.7109375" style="265" bestFit="1" customWidth="1"/>
    <col min="6460" max="6460" width="11" style="265" bestFit="1" customWidth="1"/>
    <col min="6461" max="6610" width="8.85546875" style="265"/>
    <col min="6611" max="6611" width="4.7109375" style="265" customWidth="1"/>
    <col min="6612" max="6614" width="16" style="265" customWidth="1"/>
    <col min="6615" max="6615" width="9.42578125" style="265" customWidth="1"/>
    <col min="6616" max="6616" width="10.28515625" style="265" customWidth="1"/>
    <col min="6617" max="6617" width="7.85546875" style="265" customWidth="1"/>
    <col min="6618" max="6618" width="9.7109375" style="265" customWidth="1"/>
    <col min="6619" max="6619" width="6" style="265" customWidth="1"/>
    <col min="6620" max="6620" width="10.7109375" style="265" customWidth="1"/>
    <col min="6621" max="6621" width="8.28515625" style="265" customWidth="1"/>
    <col min="6622" max="6622" width="12.28515625" style="265" customWidth="1"/>
    <col min="6623" max="6623" width="6" style="265" customWidth="1"/>
    <col min="6624" max="6624" width="10.7109375" style="265" customWidth="1"/>
    <col min="6625" max="6625" width="6.85546875" style="265" customWidth="1"/>
    <col min="6626" max="6626" width="12" style="265" customWidth="1"/>
    <col min="6627" max="6627" width="5.140625" style="265" customWidth="1"/>
    <col min="6628" max="6628" width="9" style="265" customWidth="1"/>
    <col min="6629" max="6629" width="5.140625" style="265" customWidth="1"/>
    <col min="6630" max="6630" width="9.85546875" style="265" customWidth="1"/>
    <col min="6631" max="6631" width="5.140625" style="265" customWidth="1"/>
    <col min="6632" max="6632" width="9" style="265" customWidth="1"/>
    <col min="6633" max="6633" width="5.140625" style="265" customWidth="1"/>
    <col min="6634" max="6636" width="9.85546875" style="265" customWidth="1"/>
    <col min="6637" max="6637" width="7.140625" style="265" customWidth="1"/>
    <col min="6638" max="6638" width="10.28515625" style="265" customWidth="1"/>
    <col min="6639" max="6639" width="6.42578125" style="265" customWidth="1"/>
    <col min="6640" max="6640" width="9.7109375" style="265" customWidth="1"/>
    <col min="6641" max="6641" width="6.28515625" style="265" customWidth="1"/>
    <col min="6642" max="6642" width="9" style="265" customWidth="1"/>
    <col min="6643" max="6643" width="8" style="265" customWidth="1"/>
    <col min="6644" max="6644" width="12.85546875" style="265" customWidth="1"/>
    <col min="6645" max="6645" width="5.140625" style="265" customWidth="1"/>
    <col min="6646" max="6646" width="9.85546875" style="265" customWidth="1"/>
    <col min="6647" max="6647" width="6.7109375" style="265" customWidth="1"/>
    <col min="6648" max="6648" width="12.42578125" style="265" customWidth="1"/>
    <col min="6649" max="6649" width="5.140625" style="265" customWidth="1"/>
    <col min="6650" max="6650" width="9" style="265" customWidth="1"/>
    <col min="6651" max="6651" width="5.140625" style="265" customWidth="1"/>
    <col min="6652" max="6652" width="9.85546875" style="265" customWidth="1"/>
    <col min="6653" max="6653" width="5.140625" style="265" customWidth="1"/>
    <col min="6654" max="6654" width="6.85546875" style="265" customWidth="1"/>
    <col min="6655" max="6655" width="5.140625" style="265" customWidth="1"/>
    <col min="6656" max="6656" width="10.5703125" style="265" customWidth="1"/>
    <col min="6657" max="6658" width="9" style="265" customWidth="1"/>
    <col min="6659" max="6659" width="7.140625" style="265" customWidth="1"/>
    <col min="6660" max="6660" width="10.28515625" style="265" customWidth="1"/>
    <col min="6661" max="6661" width="6.42578125" style="265" customWidth="1"/>
    <col min="6662" max="6662" width="9.7109375" style="265" customWidth="1"/>
    <col min="6663" max="6663" width="6.28515625" style="265" customWidth="1"/>
    <col min="6664" max="6664" width="9" style="265" customWidth="1"/>
    <col min="6665" max="6665" width="5.140625" style="265" customWidth="1"/>
    <col min="6666" max="6666" width="9.85546875" style="265" customWidth="1"/>
    <col min="6667" max="6667" width="5.140625" style="265" customWidth="1"/>
    <col min="6668" max="6668" width="9.85546875" style="265" customWidth="1"/>
    <col min="6669" max="6669" width="5.140625" style="265" customWidth="1"/>
    <col min="6670" max="6670" width="9.85546875" style="265" customWidth="1"/>
    <col min="6671" max="6671" width="5.140625" style="265" customWidth="1"/>
    <col min="6672" max="6672" width="9" style="265" customWidth="1"/>
    <col min="6673" max="6673" width="5.140625" style="265" customWidth="1"/>
    <col min="6674" max="6674" width="9.85546875" style="265" customWidth="1"/>
    <col min="6675" max="6675" width="5.140625" style="265" customWidth="1"/>
    <col min="6676" max="6676" width="6.85546875" style="265" customWidth="1"/>
    <col min="6677" max="6677" width="5.140625" style="265" customWidth="1"/>
    <col min="6678" max="6678" width="9" style="265" customWidth="1"/>
    <col min="6679" max="6679" width="7.140625" style="265" customWidth="1"/>
    <col min="6680" max="6680" width="10.28515625" style="265" customWidth="1"/>
    <col min="6681" max="6681" width="6.42578125" style="265" customWidth="1"/>
    <col min="6682" max="6682" width="9.7109375" style="265" customWidth="1"/>
    <col min="6683" max="6683" width="6.28515625" style="265" customWidth="1"/>
    <col min="6684" max="6684" width="13" style="265" customWidth="1"/>
    <col min="6685" max="6685" width="6.85546875" style="265" customWidth="1"/>
    <col min="6686" max="6686" width="12.28515625" style="265" customWidth="1"/>
    <col min="6687" max="6687" width="7.7109375" style="265" customWidth="1"/>
    <col min="6688" max="6688" width="10.42578125" style="265" customWidth="1"/>
    <col min="6689" max="6689" width="11.28515625" style="265" customWidth="1"/>
    <col min="6690" max="6690" width="12.28515625" style="265" customWidth="1"/>
    <col min="6691" max="6691" width="5.140625" style="265" customWidth="1"/>
    <col min="6692" max="6692" width="9" style="265" customWidth="1"/>
    <col min="6693" max="6693" width="5.140625" style="265" customWidth="1"/>
    <col min="6694" max="6694" width="9.85546875" style="265" customWidth="1"/>
    <col min="6695" max="6695" width="5.140625" style="265" customWidth="1"/>
    <col min="6696" max="6696" width="6.85546875" style="265" customWidth="1"/>
    <col min="6697" max="6697" width="5.140625" style="265" customWidth="1"/>
    <col min="6698" max="6698" width="10.7109375" style="265" customWidth="1"/>
    <col min="6699" max="6699" width="6.85546875" style="265" customWidth="1"/>
    <col min="6700" max="6700" width="12" style="265" customWidth="1"/>
    <col min="6701" max="6701" width="0" style="265" hidden="1" customWidth="1"/>
    <col min="6702" max="6702" width="8.42578125" style="265" customWidth="1"/>
    <col min="6703" max="6703" width="12" style="265" customWidth="1"/>
    <col min="6704" max="6704" width="8.28515625" style="265" customWidth="1"/>
    <col min="6705" max="6705" width="15.28515625" style="265" customWidth="1"/>
    <col min="6706" max="6706" width="13.5703125" style="265" customWidth="1"/>
    <col min="6707" max="6708" width="0" style="265" hidden="1" customWidth="1"/>
    <col min="6709" max="6710" width="15.7109375" style="265" customWidth="1"/>
    <col min="6711" max="6711" width="17.28515625" style="265" customWidth="1"/>
    <col min="6712" max="6712" width="0" style="265" hidden="1" customWidth="1"/>
    <col min="6713" max="6713" width="18.28515625" style="265" customWidth="1"/>
    <col min="6714" max="6714" width="17.42578125" style="265" customWidth="1"/>
    <col min="6715" max="6715" width="10.7109375" style="265" bestFit="1" customWidth="1"/>
    <col min="6716" max="6716" width="11" style="265" bestFit="1" customWidth="1"/>
    <col min="6717" max="6866" width="8.85546875" style="265"/>
    <col min="6867" max="6867" width="4.7109375" style="265" customWidth="1"/>
    <col min="6868" max="6870" width="16" style="265" customWidth="1"/>
    <col min="6871" max="6871" width="9.42578125" style="265" customWidth="1"/>
    <col min="6872" max="6872" width="10.28515625" style="265" customWidth="1"/>
    <col min="6873" max="6873" width="7.85546875" style="265" customWidth="1"/>
    <col min="6874" max="6874" width="9.7109375" style="265" customWidth="1"/>
    <col min="6875" max="6875" width="6" style="265" customWidth="1"/>
    <col min="6876" max="6876" width="10.7109375" style="265" customWidth="1"/>
    <col min="6877" max="6877" width="8.28515625" style="265" customWidth="1"/>
    <col min="6878" max="6878" width="12.28515625" style="265" customWidth="1"/>
    <col min="6879" max="6879" width="6" style="265" customWidth="1"/>
    <col min="6880" max="6880" width="10.7109375" style="265" customWidth="1"/>
    <col min="6881" max="6881" width="6.85546875" style="265" customWidth="1"/>
    <col min="6882" max="6882" width="12" style="265" customWidth="1"/>
    <col min="6883" max="6883" width="5.140625" style="265" customWidth="1"/>
    <col min="6884" max="6884" width="9" style="265" customWidth="1"/>
    <col min="6885" max="6885" width="5.140625" style="265" customWidth="1"/>
    <col min="6886" max="6886" width="9.85546875" style="265" customWidth="1"/>
    <col min="6887" max="6887" width="5.140625" style="265" customWidth="1"/>
    <col min="6888" max="6888" width="9" style="265" customWidth="1"/>
    <col min="6889" max="6889" width="5.140625" style="265" customWidth="1"/>
    <col min="6890" max="6892" width="9.85546875" style="265" customWidth="1"/>
    <col min="6893" max="6893" width="7.140625" style="265" customWidth="1"/>
    <col min="6894" max="6894" width="10.28515625" style="265" customWidth="1"/>
    <col min="6895" max="6895" width="6.42578125" style="265" customWidth="1"/>
    <col min="6896" max="6896" width="9.7109375" style="265" customWidth="1"/>
    <col min="6897" max="6897" width="6.28515625" style="265" customWidth="1"/>
    <col min="6898" max="6898" width="9" style="265" customWidth="1"/>
    <col min="6899" max="6899" width="8" style="265" customWidth="1"/>
    <col min="6900" max="6900" width="12.85546875" style="265" customWidth="1"/>
    <col min="6901" max="6901" width="5.140625" style="265" customWidth="1"/>
    <col min="6902" max="6902" width="9.85546875" style="265" customWidth="1"/>
    <col min="6903" max="6903" width="6.7109375" style="265" customWidth="1"/>
    <col min="6904" max="6904" width="12.42578125" style="265" customWidth="1"/>
    <col min="6905" max="6905" width="5.140625" style="265" customWidth="1"/>
    <col min="6906" max="6906" width="9" style="265" customWidth="1"/>
    <col min="6907" max="6907" width="5.140625" style="265" customWidth="1"/>
    <col min="6908" max="6908" width="9.85546875" style="265" customWidth="1"/>
    <col min="6909" max="6909" width="5.140625" style="265" customWidth="1"/>
    <col min="6910" max="6910" width="6.85546875" style="265" customWidth="1"/>
    <col min="6911" max="6911" width="5.140625" style="265" customWidth="1"/>
    <col min="6912" max="6912" width="10.5703125" style="265" customWidth="1"/>
    <col min="6913" max="6914" width="9" style="265" customWidth="1"/>
    <col min="6915" max="6915" width="7.140625" style="265" customWidth="1"/>
    <col min="6916" max="6916" width="10.28515625" style="265" customWidth="1"/>
    <col min="6917" max="6917" width="6.42578125" style="265" customWidth="1"/>
    <col min="6918" max="6918" width="9.7109375" style="265" customWidth="1"/>
    <col min="6919" max="6919" width="6.28515625" style="265" customWidth="1"/>
    <col min="6920" max="6920" width="9" style="265" customWidth="1"/>
    <col min="6921" max="6921" width="5.140625" style="265" customWidth="1"/>
    <col min="6922" max="6922" width="9.85546875" style="265" customWidth="1"/>
    <col min="6923" max="6923" width="5.140625" style="265" customWidth="1"/>
    <col min="6924" max="6924" width="9.85546875" style="265" customWidth="1"/>
    <col min="6925" max="6925" width="5.140625" style="265" customWidth="1"/>
    <col min="6926" max="6926" width="9.85546875" style="265" customWidth="1"/>
    <col min="6927" max="6927" width="5.140625" style="265" customWidth="1"/>
    <col min="6928" max="6928" width="9" style="265" customWidth="1"/>
    <col min="6929" max="6929" width="5.140625" style="265" customWidth="1"/>
    <col min="6930" max="6930" width="9.85546875" style="265" customWidth="1"/>
    <col min="6931" max="6931" width="5.140625" style="265" customWidth="1"/>
    <col min="6932" max="6932" width="6.85546875" style="265" customWidth="1"/>
    <col min="6933" max="6933" width="5.140625" style="265" customWidth="1"/>
    <col min="6934" max="6934" width="9" style="265" customWidth="1"/>
    <col min="6935" max="6935" width="7.140625" style="265" customWidth="1"/>
    <col min="6936" max="6936" width="10.28515625" style="265" customWidth="1"/>
    <col min="6937" max="6937" width="6.42578125" style="265" customWidth="1"/>
    <col min="6938" max="6938" width="9.7109375" style="265" customWidth="1"/>
    <col min="6939" max="6939" width="6.28515625" style="265" customWidth="1"/>
    <col min="6940" max="6940" width="13" style="265" customWidth="1"/>
    <col min="6941" max="6941" width="6.85546875" style="265" customWidth="1"/>
    <col min="6942" max="6942" width="12.28515625" style="265" customWidth="1"/>
    <col min="6943" max="6943" width="7.7109375" style="265" customWidth="1"/>
    <col min="6944" max="6944" width="10.42578125" style="265" customWidth="1"/>
    <col min="6945" max="6945" width="11.28515625" style="265" customWidth="1"/>
    <col min="6946" max="6946" width="12.28515625" style="265" customWidth="1"/>
    <col min="6947" max="6947" width="5.140625" style="265" customWidth="1"/>
    <col min="6948" max="6948" width="9" style="265" customWidth="1"/>
    <col min="6949" max="6949" width="5.140625" style="265" customWidth="1"/>
    <col min="6950" max="6950" width="9.85546875" style="265" customWidth="1"/>
    <col min="6951" max="6951" width="5.140625" style="265" customWidth="1"/>
    <col min="6952" max="6952" width="6.85546875" style="265" customWidth="1"/>
    <col min="6953" max="6953" width="5.140625" style="265" customWidth="1"/>
    <col min="6954" max="6954" width="10.7109375" style="265" customWidth="1"/>
    <col min="6955" max="6955" width="6.85546875" style="265" customWidth="1"/>
    <col min="6956" max="6956" width="12" style="265" customWidth="1"/>
    <col min="6957" max="6957" width="0" style="265" hidden="1" customWidth="1"/>
    <col min="6958" max="6958" width="8.42578125" style="265" customWidth="1"/>
    <col min="6959" max="6959" width="12" style="265" customWidth="1"/>
    <col min="6960" max="6960" width="8.28515625" style="265" customWidth="1"/>
    <col min="6961" max="6961" width="15.28515625" style="265" customWidth="1"/>
    <col min="6962" max="6962" width="13.5703125" style="265" customWidth="1"/>
    <col min="6963" max="6964" width="0" style="265" hidden="1" customWidth="1"/>
    <col min="6965" max="6966" width="15.7109375" style="265" customWidth="1"/>
    <col min="6967" max="6967" width="17.28515625" style="265" customWidth="1"/>
    <col min="6968" max="6968" width="0" style="265" hidden="1" customWidth="1"/>
    <col min="6969" max="6969" width="18.28515625" style="265" customWidth="1"/>
    <col min="6970" max="6970" width="17.42578125" style="265" customWidth="1"/>
    <col min="6971" max="6971" width="10.7109375" style="265" bestFit="1" customWidth="1"/>
    <col min="6972" max="6972" width="11" style="265" bestFit="1" customWidth="1"/>
    <col min="6973" max="7122" width="8.85546875" style="265"/>
    <col min="7123" max="7123" width="4.7109375" style="265" customWidth="1"/>
    <col min="7124" max="7126" width="16" style="265" customWidth="1"/>
    <col min="7127" max="7127" width="9.42578125" style="265" customWidth="1"/>
    <col min="7128" max="7128" width="10.28515625" style="265" customWidth="1"/>
    <col min="7129" max="7129" width="7.85546875" style="265" customWidth="1"/>
    <col min="7130" max="7130" width="9.7109375" style="265" customWidth="1"/>
    <col min="7131" max="7131" width="6" style="265" customWidth="1"/>
    <col min="7132" max="7132" width="10.7109375" style="265" customWidth="1"/>
    <col min="7133" max="7133" width="8.28515625" style="265" customWidth="1"/>
    <col min="7134" max="7134" width="12.28515625" style="265" customWidth="1"/>
    <col min="7135" max="7135" width="6" style="265" customWidth="1"/>
    <col min="7136" max="7136" width="10.7109375" style="265" customWidth="1"/>
    <col min="7137" max="7137" width="6.85546875" style="265" customWidth="1"/>
    <col min="7138" max="7138" width="12" style="265" customWidth="1"/>
    <col min="7139" max="7139" width="5.140625" style="265" customWidth="1"/>
    <col min="7140" max="7140" width="9" style="265" customWidth="1"/>
    <col min="7141" max="7141" width="5.140625" style="265" customWidth="1"/>
    <col min="7142" max="7142" width="9.85546875" style="265" customWidth="1"/>
    <col min="7143" max="7143" width="5.140625" style="265" customWidth="1"/>
    <col min="7144" max="7144" width="9" style="265" customWidth="1"/>
    <col min="7145" max="7145" width="5.140625" style="265" customWidth="1"/>
    <col min="7146" max="7148" width="9.85546875" style="265" customWidth="1"/>
    <col min="7149" max="7149" width="7.140625" style="265" customWidth="1"/>
    <col min="7150" max="7150" width="10.28515625" style="265" customWidth="1"/>
    <col min="7151" max="7151" width="6.42578125" style="265" customWidth="1"/>
    <col min="7152" max="7152" width="9.7109375" style="265" customWidth="1"/>
    <col min="7153" max="7153" width="6.28515625" style="265" customWidth="1"/>
    <col min="7154" max="7154" width="9" style="265" customWidth="1"/>
    <col min="7155" max="7155" width="8" style="265" customWidth="1"/>
    <col min="7156" max="7156" width="12.85546875" style="265" customWidth="1"/>
    <col min="7157" max="7157" width="5.140625" style="265" customWidth="1"/>
    <col min="7158" max="7158" width="9.85546875" style="265" customWidth="1"/>
    <col min="7159" max="7159" width="6.7109375" style="265" customWidth="1"/>
    <col min="7160" max="7160" width="12.42578125" style="265" customWidth="1"/>
    <col min="7161" max="7161" width="5.140625" style="265" customWidth="1"/>
    <col min="7162" max="7162" width="9" style="265" customWidth="1"/>
    <col min="7163" max="7163" width="5.140625" style="265" customWidth="1"/>
    <col min="7164" max="7164" width="9.85546875" style="265" customWidth="1"/>
    <col min="7165" max="7165" width="5.140625" style="265" customWidth="1"/>
    <col min="7166" max="7166" width="6.85546875" style="265" customWidth="1"/>
    <col min="7167" max="7167" width="5.140625" style="265" customWidth="1"/>
    <col min="7168" max="7168" width="10.5703125" style="265" customWidth="1"/>
    <col min="7169" max="7170" width="9" style="265" customWidth="1"/>
    <col min="7171" max="7171" width="7.140625" style="265" customWidth="1"/>
    <col min="7172" max="7172" width="10.28515625" style="265" customWidth="1"/>
    <col min="7173" max="7173" width="6.42578125" style="265" customWidth="1"/>
    <col min="7174" max="7174" width="9.7109375" style="265" customWidth="1"/>
    <col min="7175" max="7175" width="6.28515625" style="265" customWidth="1"/>
    <col min="7176" max="7176" width="9" style="265" customWidth="1"/>
    <col min="7177" max="7177" width="5.140625" style="265" customWidth="1"/>
    <col min="7178" max="7178" width="9.85546875" style="265" customWidth="1"/>
    <col min="7179" max="7179" width="5.140625" style="265" customWidth="1"/>
    <col min="7180" max="7180" width="9.85546875" style="265" customWidth="1"/>
    <col min="7181" max="7181" width="5.140625" style="265" customWidth="1"/>
    <col min="7182" max="7182" width="9.85546875" style="265" customWidth="1"/>
    <col min="7183" max="7183" width="5.140625" style="265" customWidth="1"/>
    <col min="7184" max="7184" width="9" style="265" customWidth="1"/>
    <col min="7185" max="7185" width="5.140625" style="265" customWidth="1"/>
    <col min="7186" max="7186" width="9.85546875" style="265" customWidth="1"/>
    <col min="7187" max="7187" width="5.140625" style="265" customWidth="1"/>
    <col min="7188" max="7188" width="6.85546875" style="265" customWidth="1"/>
    <col min="7189" max="7189" width="5.140625" style="265" customWidth="1"/>
    <col min="7190" max="7190" width="9" style="265" customWidth="1"/>
    <col min="7191" max="7191" width="7.140625" style="265" customWidth="1"/>
    <col min="7192" max="7192" width="10.28515625" style="265" customWidth="1"/>
    <col min="7193" max="7193" width="6.42578125" style="265" customWidth="1"/>
    <col min="7194" max="7194" width="9.7109375" style="265" customWidth="1"/>
    <col min="7195" max="7195" width="6.28515625" style="265" customWidth="1"/>
    <col min="7196" max="7196" width="13" style="265" customWidth="1"/>
    <col min="7197" max="7197" width="6.85546875" style="265" customWidth="1"/>
    <col min="7198" max="7198" width="12.28515625" style="265" customWidth="1"/>
    <col min="7199" max="7199" width="7.7109375" style="265" customWidth="1"/>
    <col min="7200" max="7200" width="10.42578125" style="265" customWidth="1"/>
    <col min="7201" max="7201" width="11.28515625" style="265" customWidth="1"/>
    <col min="7202" max="7202" width="12.28515625" style="265" customWidth="1"/>
    <col min="7203" max="7203" width="5.140625" style="265" customWidth="1"/>
    <col min="7204" max="7204" width="9" style="265" customWidth="1"/>
    <col min="7205" max="7205" width="5.140625" style="265" customWidth="1"/>
    <col min="7206" max="7206" width="9.85546875" style="265" customWidth="1"/>
    <col min="7207" max="7207" width="5.140625" style="265" customWidth="1"/>
    <col min="7208" max="7208" width="6.85546875" style="265" customWidth="1"/>
    <col min="7209" max="7209" width="5.140625" style="265" customWidth="1"/>
    <col min="7210" max="7210" width="10.7109375" style="265" customWidth="1"/>
    <col min="7211" max="7211" width="6.85546875" style="265" customWidth="1"/>
    <col min="7212" max="7212" width="12" style="265" customWidth="1"/>
    <col min="7213" max="7213" width="0" style="265" hidden="1" customWidth="1"/>
    <col min="7214" max="7214" width="8.42578125" style="265" customWidth="1"/>
    <col min="7215" max="7215" width="12" style="265" customWidth="1"/>
    <col min="7216" max="7216" width="8.28515625" style="265" customWidth="1"/>
    <col min="7217" max="7217" width="15.28515625" style="265" customWidth="1"/>
    <col min="7218" max="7218" width="13.5703125" style="265" customWidth="1"/>
    <col min="7219" max="7220" width="0" style="265" hidden="1" customWidth="1"/>
    <col min="7221" max="7222" width="15.7109375" style="265" customWidth="1"/>
    <col min="7223" max="7223" width="17.28515625" style="265" customWidth="1"/>
    <col min="7224" max="7224" width="0" style="265" hidden="1" customWidth="1"/>
    <col min="7225" max="7225" width="18.28515625" style="265" customWidth="1"/>
    <col min="7226" max="7226" width="17.42578125" style="265" customWidth="1"/>
    <col min="7227" max="7227" width="10.7109375" style="265" bestFit="1" customWidth="1"/>
    <col min="7228" max="7228" width="11" style="265" bestFit="1" customWidth="1"/>
    <col min="7229" max="7378" width="8.85546875" style="265"/>
    <col min="7379" max="7379" width="4.7109375" style="265" customWidth="1"/>
    <col min="7380" max="7382" width="16" style="265" customWidth="1"/>
    <col min="7383" max="7383" width="9.42578125" style="265" customWidth="1"/>
    <col min="7384" max="7384" width="10.28515625" style="265" customWidth="1"/>
    <col min="7385" max="7385" width="7.85546875" style="265" customWidth="1"/>
    <col min="7386" max="7386" width="9.7109375" style="265" customWidth="1"/>
    <col min="7387" max="7387" width="6" style="265" customWidth="1"/>
    <col min="7388" max="7388" width="10.7109375" style="265" customWidth="1"/>
    <col min="7389" max="7389" width="8.28515625" style="265" customWidth="1"/>
    <col min="7390" max="7390" width="12.28515625" style="265" customWidth="1"/>
    <col min="7391" max="7391" width="6" style="265" customWidth="1"/>
    <col min="7392" max="7392" width="10.7109375" style="265" customWidth="1"/>
    <col min="7393" max="7393" width="6.85546875" style="265" customWidth="1"/>
    <col min="7394" max="7394" width="12" style="265" customWidth="1"/>
    <col min="7395" max="7395" width="5.140625" style="265" customWidth="1"/>
    <col min="7396" max="7396" width="9" style="265" customWidth="1"/>
    <col min="7397" max="7397" width="5.140625" style="265" customWidth="1"/>
    <col min="7398" max="7398" width="9.85546875" style="265" customWidth="1"/>
    <col min="7399" max="7399" width="5.140625" style="265" customWidth="1"/>
    <col min="7400" max="7400" width="9" style="265" customWidth="1"/>
    <col min="7401" max="7401" width="5.140625" style="265" customWidth="1"/>
    <col min="7402" max="7404" width="9.85546875" style="265" customWidth="1"/>
    <col min="7405" max="7405" width="7.140625" style="265" customWidth="1"/>
    <col min="7406" max="7406" width="10.28515625" style="265" customWidth="1"/>
    <col min="7407" max="7407" width="6.42578125" style="265" customWidth="1"/>
    <col min="7408" max="7408" width="9.7109375" style="265" customWidth="1"/>
    <col min="7409" max="7409" width="6.28515625" style="265" customWidth="1"/>
    <col min="7410" max="7410" width="9" style="265" customWidth="1"/>
    <col min="7411" max="7411" width="8" style="265" customWidth="1"/>
    <col min="7412" max="7412" width="12.85546875" style="265" customWidth="1"/>
    <col min="7413" max="7413" width="5.140625" style="265" customWidth="1"/>
    <col min="7414" max="7414" width="9.85546875" style="265" customWidth="1"/>
    <col min="7415" max="7415" width="6.7109375" style="265" customWidth="1"/>
    <col min="7416" max="7416" width="12.42578125" style="265" customWidth="1"/>
    <col min="7417" max="7417" width="5.140625" style="265" customWidth="1"/>
    <col min="7418" max="7418" width="9" style="265" customWidth="1"/>
    <col min="7419" max="7419" width="5.140625" style="265" customWidth="1"/>
    <col min="7420" max="7420" width="9.85546875" style="265" customWidth="1"/>
    <col min="7421" max="7421" width="5.140625" style="265" customWidth="1"/>
    <col min="7422" max="7422" width="6.85546875" style="265" customWidth="1"/>
    <col min="7423" max="7423" width="5.140625" style="265" customWidth="1"/>
    <col min="7424" max="7424" width="10.5703125" style="265" customWidth="1"/>
    <col min="7425" max="7426" width="9" style="265" customWidth="1"/>
    <col min="7427" max="7427" width="7.140625" style="265" customWidth="1"/>
    <col min="7428" max="7428" width="10.28515625" style="265" customWidth="1"/>
    <col min="7429" max="7429" width="6.42578125" style="265" customWidth="1"/>
    <col min="7430" max="7430" width="9.7109375" style="265" customWidth="1"/>
    <col min="7431" max="7431" width="6.28515625" style="265" customWidth="1"/>
    <col min="7432" max="7432" width="9" style="265" customWidth="1"/>
    <col min="7433" max="7433" width="5.140625" style="265" customWidth="1"/>
    <col min="7434" max="7434" width="9.85546875" style="265" customWidth="1"/>
    <col min="7435" max="7435" width="5.140625" style="265" customWidth="1"/>
    <col min="7436" max="7436" width="9.85546875" style="265" customWidth="1"/>
    <col min="7437" max="7437" width="5.140625" style="265" customWidth="1"/>
    <col min="7438" max="7438" width="9.85546875" style="265" customWidth="1"/>
    <col min="7439" max="7439" width="5.140625" style="265" customWidth="1"/>
    <col min="7440" max="7440" width="9" style="265" customWidth="1"/>
    <col min="7441" max="7441" width="5.140625" style="265" customWidth="1"/>
    <col min="7442" max="7442" width="9.85546875" style="265" customWidth="1"/>
    <col min="7443" max="7443" width="5.140625" style="265" customWidth="1"/>
    <col min="7444" max="7444" width="6.85546875" style="265" customWidth="1"/>
    <col min="7445" max="7445" width="5.140625" style="265" customWidth="1"/>
    <col min="7446" max="7446" width="9" style="265" customWidth="1"/>
    <col min="7447" max="7447" width="7.140625" style="265" customWidth="1"/>
    <col min="7448" max="7448" width="10.28515625" style="265" customWidth="1"/>
    <col min="7449" max="7449" width="6.42578125" style="265" customWidth="1"/>
    <col min="7450" max="7450" width="9.7109375" style="265" customWidth="1"/>
    <col min="7451" max="7451" width="6.28515625" style="265" customWidth="1"/>
    <col min="7452" max="7452" width="13" style="265" customWidth="1"/>
    <col min="7453" max="7453" width="6.85546875" style="265" customWidth="1"/>
    <col min="7454" max="7454" width="12.28515625" style="265" customWidth="1"/>
    <col min="7455" max="7455" width="7.7109375" style="265" customWidth="1"/>
    <col min="7456" max="7456" width="10.42578125" style="265" customWidth="1"/>
    <col min="7457" max="7457" width="11.28515625" style="265" customWidth="1"/>
    <col min="7458" max="7458" width="12.28515625" style="265" customWidth="1"/>
    <col min="7459" max="7459" width="5.140625" style="265" customWidth="1"/>
    <col min="7460" max="7460" width="9" style="265" customWidth="1"/>
    <col min="7461" max="7461" width="5.140625" style="265" customWidth="1"/>
    <col min="7462" max="7462" width="9.85546875" style="265" customWidth="1"/>
    <col min="7463" max="7463" width="5.140625" style="265" customWidth="1"/>
    <col min="7464" max="7464" width="6.85546875" style="265" customWidth="1"/>
    <col min="7465" max="7465" width="5.140625" style="265" customWidth="1"/>
    <col min="7466" max="7466" width="10.7109375" style="265" customWidth="1"/>
    <col min="7467" max="7467" width="6.85546875" style="265" customWidth="1"/>
    <col min="7468" max="7468" width="12" style="265" customWidth="1"/>
    <col min="7469" max="7469" width="0" style="265" hidden="1" customWidth="1"/>
    <col min="7470" max="7470" width="8.42578125" style="265" customWidth="1"/>
    <col min="7471" max="7471" width="12" style="265" customWidth="1"/>
    <col min="7472" max="7472" width="8.28515625" style="265" customWidth="1"/>
    <col min="7473" max="7473" width="15.28515625" style="265" customWidth="1"/>
    <col min="7474" max="7474" width="13.5703125" style="265" customWidth="1"/>
    <col min="7475" max="7476" width="0" style="265" hidden="1" customWidth="1"/>
    <col min="7477" max="7478" width="15.7109375" style="265" customWidth="1"/>
    <col min="7479" max="7479" width="17.28515625" style="265" customWidth="1"/>
    <col min="7480" max="7480" width="0" style="265" hidden="1" customWidth="1"/>
    <col min="7481" max="7481" width="18.28515625" style="265" customWidth="1"/>
    <col min="7482" max="7482" width="17.42578125" style="265" customWidth="1"/>
    <col min="7483" max="7483" width="10.7109375" style="265" bestFit="1" customWidth="1"/>
    <col min="7484" max="7484" width="11" style="265" bestFit="1" customWidth="1"/>
    <col min="7485" max="7634" width="8.85546875" style="265"/>
    <col min="7635" max="7635" width="4.7109375" style="265" customWidth="1"/>
    <col min="7636" max="7638" width="16" style="265" customWidth="1"/>
    <col min="7639" max="7639" width="9.42578125" style="265" customWidth="1"/>
    <col min="7640" max="7640" width="10.28515625" style="265" customWidth="1"/>
    <col min="7641" max="7641" width="7.85546875" style="265" customWidth="1"/>
    <col min="7642" max="7642" width="9.7109375" style="265" customWidth="1"/>
    <col min="7643" max="7643" width="6" style="265" customWidth="1"/>
    <col min="7644" max="7644" width="10.7109375" style="265" customWidth="1"/>
    <col min="7645" max="7645" width="8.28515625" style="265" customWidth="1"/>
    <col min="7646" max="7646" width="12.28515625" style="265" customWidth="1"/>
    <col min="7647" max="7647" width="6" style="265" customWidth="1"/>
    <col min="7648" max="7648" width="10.7109375" style="265" customWidth="1"/>
    <col min="7649" max="7649" width="6.85546875" style="265" customWidth="1"/>
    <col min="7650" max="7650" width="12" style="265" customWidth="1"/>
    <col min="7651" max="7651" width="5.140625" style="265" customWidth="1"/>
    <col min="7652" max="7652" width="9" style="265" customWidth="1"/>
    <col min="7653" max="7653" width="5.140625" style="265" customWidth="1"/>
    <col min="7654" max="7654" width="9.85546875" style="265" customWidth="1"/>
    <col min="7655" max="7655" width="5.140625" style="265" customWidth="1"/>
    <col min="7656" max="7656" width="9" style="265" customWidth="1"/>
    <col min="7657" max="7657" width="5.140625" style="265" customWidth="1"/>
    <col min="7658" max="7660" width="9.85546875" style="265" customWidth="1"/>
    <col min="7661" max="7661" width="7.140625" style="265" customWidth="1"/>
    <col min="7662" max="7662" width="10.28515625" style="265" customWidth="1"/>
    <col min="7663" max="7663" width="6.42578125" style="265" customWidth="1"/>
    <col min="7664" max="7664" width="9.7109375" style="265" customWidth="1"/>
    <col min="7665" max="7665" width="6.28515625" style="265" customWidth="1"/>
    <col min="7666" max="7666" width="9" style="265" customWidth="1"/>
    <col min="7667" max="7667" width="8" style="265" customWidth="1"/>
    <col min="7668" max="7668" width="12.85546875" style="265" customWidth="1"/>
    <col min="7669" max="7669" width="5.140625" style="265" customWidth="1"/>
    <col min="7670" max="7670" width="9.85546875" style="265" customWidth="1"/>
    <col min="7671" max="7671" width="6.7109375" style="265" customWidth="1"/>
    <col min="7672" max="7672" width="12.42578125" style="265" customWidth="1"/>
    <col min="7673" max="7673" width="5.140625" style="265" customWidth="1"/>
    <col min="7674" max="7674" width="9" style="265" customWidth="1"/>
    <col min="7675" max="7675" width="5.140625" style="265" customWidth="1"/>
    <col min="7676" max="7676" width="9.85546875" style="265" customWidth="1"/>
    <col min="7677" max="7677" width="5.140625" style="265" customWidth="1"/>
    <col min="7678" max="7678" width="6.85546875" style="265" customWidth="1"/>
    <col min="7679" max="7679" width="5.140625" style="265" customWidth="1"/>
    <col min="7680" max="7680" width="10.5703125" style="265" customWidth="1"/>
    <col min="7681" max="7682" width="9" style="265" customWidth="1"/>
    <col min="7683" max="7683" width="7.140625" style="265" customWidth="1"/>
    <col min="7684" max="7684" width="10.28515625" style="265" customWidth="1"/>
    <col min="7685" max="7685" width="6.42578125" style="265" customWidth="1"/>
    <col min="7686" max="7686" width="9.7109375" style="265" customWidth="1"/>
    <col min="7687" max="7687" width="6.28515625" style="265" customWidth="1"/>
    <col min="7688" max="7688" width="9" style="265" customWidth="1"/>
    <col min="7689" max="7689" width="5.140625" style="265" customWidth="1"/>
    <col min="7690" max="7690" width="9.85546875" style="265" customWidth="1"/>
    <col min="7691" max="7691" width="5.140625" style="265" customWidth="1"/>
    <col min="7692" max="7692" width="9.85546875" style="265" customWidth="1"/>
    <col min="7693" max="7693" width="5.140625" style="265" customWidth="1"/>
    <col min="7694" max="7694" width="9.85546875" style="265" customWidth="1"/>
    <col min="7695" max="7695" width="5.140625" style="265" customWidth="1"/>
    <col min="7696" max="7696" width="9" style="265" customWidth="1"/>
    <col min="7697" max="7697" width="5.140625" style="265" customWidth="1"/>
    <col min="7698" max="7698" width="9.85546875" style="265" customWidth="1"/>
    <col min="7699" max="7699" width="5.140625" style="265" customWidth="1"/>
    <col min="7700" max="7700" width="6.85546875" style="265" customWidth="1"/>
    <col min="7701" max="7701" width="5.140625" style="265" customWidth="1"/>
    <col min="7702" max="7702" width="9" style="265" customWidth="1"/>
    <col min="7703" max="7703" width="7.140625" style="265" customWidth="1"/>
    <col min="7704" max="7704" width="10.28515625" style="265" customWidth="1"/>
    <col min="7705" max="7705" width="6.42578125" style="265" customWidth="1"/>
    <col min="7706" max="7706" width="9.7109375" style="265" customWidth="1"/>
    <col min="7707" max="7707" width="6.28515625" style="265" customWidth="1"/>
    <col min="7708" max="7708" width="13" style="265" customWidth="1"/>
    <col min="7709" max="7709" width="6.85546875" style="265" customWidth="1"/>
    <col min="7710" max="7710" width="12.28515625" style="265" customWidth="1"/>
    <col min="7711" max="7711" width="7.7109375" style="265" customWidth="1"/>
    <col min="7712" max="7712" width="10.42578125" style="265" customWidth="1"/>
    <col min="7713" max="7713" width="11.28515625" style="265" customWidth="1"/>
    <col min="7714" max="7714" width="12.28515625" style="265" customWidth="1"/>
    <col min="7715" max="7715" width="5.140625" style="265" customWidth="1"/>
    <col min="7716" max="7716" width="9" style="265" customWidth="1"/>
    <col min="7717" max="7717" width="5.140625" style="265" customWidth="1"/>
    <col min="7718" max="7718" width="9.85546875" style="265" customWidth="1"/>
    <col min="7719" max="7719" width="5.140625" style="265" customWidth="1"/>
    <col min="7720" max="7720" width="6.85546875" style="265" customWidth="1"/>
    <col min="7721" max="7721" width="5.140625" style="265" customWidth="1"/>
    <col min="7722" max="7722" width="10.7109375" style="265" customWidth="1"/>
    <col min="7723" max="7723" width="6.85546875" style="265" customWidth="1"/>
    <col min="7724" max="7724" width="12" style="265" customWidth="1"/>
    <col min="7725" max="7725" width="0" style="265" hidden="1" customWidth="1"/>
    <col min="7726" max="7726" width="8.42578125" style="265" customWidth="1"/>
    <col min="7727" max="7727" width="12" style="265" customWidth="1"/>
    <col min="7728" max="7728" width="8.28515625" style="265" customWidth="1"/>
    <col min="7729" max="7729" width="15.28515625" style="265" customWidth="1"/>
    <col min="7730" max="7730" width="13.5703125" style="265" customWidth="1"/>
    <col min="7731" max="7732" width="0" style="265" hidden="1" customWidth="1"/>
    <col min="7733" max="7734" width="15.7109375" style="265" customWidth="1"/>
    <col min="7735" max="7735" width="17.28515625" style="265" customWidth="1"/>
    <col min="7736" max="7736" width="0" style="265" hidden="1" customWidth="1"/>
    <col min="7737" max="7737" width="18.28515625" style="265" customWidth="1"/>
    <col min="7738" max="7738" width="17.42578125" style="265" customWidth="1"/>
    <col min="7739" max="7739" width="10.7109375" style="265" bestFit="1" customWidth="1"/>
    <col min="7740" max="7740" width="11" style="265" bestFit="1" customWidth="1"/>
    <col min="7741" max="7890" width="8.85546875" style="265"/>
    <col min="7891" max="7891" width="4.7109375" style="265" customWidth="1"/>
    <col min="7892" max="7894" width="16" style="265" customWidth="1"/>
    <col min="7895" max="7895" width="9.42578125" style="265" customWidth="1"/>
    <col min="7896" max="7896" width="10.28515625" style="265" customWidth="1"/>
    <col min="7897" max="7897" width="7.85546875" style="265" customWidth="1"/>
    <col min="7898" max="7898" width="9.7109375" style="265" customWidth="1"/>
    <col min="7899" max="7899" width="6" style="265" customWidth="1"/>
    <col min="7900" max="7900" width="10.7109375" style="265" customWidth="1"/>
    <col min="7901" max="7901" width="8.28515625" style="265" customWidth="1"/>
    <col min="7902" max="7902" width="12.28515625" style="265" customWidth="1"/>
    <col min="7903" max="7903" width="6" style="265" customWidth="1"/>
    <col min="7904" max="7904" width="10.7109375" style="265" customWidth="1"/>
    <col min="7905" max="7905" width="6.85546875" style="265" customWidth="1"/>
    <col min="7906" max="7906" width="12" style="265" customWidth="1"/>
    <col min="7907" max="7907" width="5.140625" style="265" customWidth="1"/>
    <col min="7908" max="7908" width="9" style="265" customWidth="1"/>
    <col min="7909" max="7909" width="5.140625" style="265" customWidth="1"/>
    <col min="7910" max="7910" width="9.85546875" style="265" customWidth="1"/>
    <col min="7911" max="7911" width="5.140625" style="265" customWidth="1"/>
    <col min="7912" max="7912" width="9" style="265" customWidth="1"/>
    <col min="7913" max="7913" width="5.140625" style="265" customWidth="1"/>
    <col min="7914" max="7916" width="9.85546875" style="265" customWidth="1"/>
    <col min="7917" max="7917" width="7.140625" style="265" customWidth="1"/>
    <col min="7918" max="7918" width="10.28515625" style="265" customWidth="1"/>
    <col min="7919" max="7919" width="6.42578125" style="265" customWidth="1"/>
    <col min="7920" max="7920" width="9.7109375" style="265" customWidth="1"/>
    <col min="7921" max="7921" width="6.28515625" style="265" customWidth="1"/>
    <col min="7922" max="7922" width="9" style="265" customWidth="1"/>
    <col min="7923" max="7923" width="8" style="265" customWidth="1"/>
    <col min="7924" max="7924" width="12.85546875" style="265" customWidth="1"/>
    <col min="7925" max="7925" width="5.140625" style="265" customWidth="1"/>
    <col min="7926" max="7926" width="9.85546875" style="265" customWidth="1"/>
    <col min="7927" max="7927" width="6.7109375" style="265" customWidth="1"/>
    <col min="7928" max="7928" width="12.42578125" style="265" customWidth="1"/>
    <col min="7929" max="7929" width="5.140625" style="265" customWidth="1"/>
    <col min="7930" max="7930" width="9" style="265" customWidth="1"/>
    <col min="7931" max="7931" width="5.140625" style="265" customWidth="1"/>
    <col min="7932" max="7932" width="9.85546875" style="265" customWidth="1"/>
    <col min="7933" max="7933" width="5.140625" style="265" customWidth="1"/>
    <col min="7934" max="7934" width="6.85546875" style="265" customWidth="1"/>
    <col min="7935" max="7935" width="5.140625" style="265" customWidth="1"/>
    <col min="7936" max="7936" width="10.5703125" style="265" customWidth="1"/>
    <col min="7937" max="7938" width="9" style="265" customWidth="1"/>
    <col min="7939" max="7939" width="7.140625" style="265" customWidth="1"/>
    <col min="7940" max="7940" width="10.28515625" style="265" customWidth="1"/>
    <col min="7941" max="7941" width="6.42578125" style="265" customWidth="1"/>
    <col min="7942" max="7942" width="9.7109375" style="265" customWidth="1"/>
    <col min="7943" max="7943" width="6.28515625" style="265" customWidth="1"/>
    <col min="7944" max="7944" width="9" style="265" customWidth="1"/>
    <col min="7945" max="7945" width="5.140625" style="265" customWidth="1"/>
    <col min="7946" max="7946" width="9.85546875" style="265" customWidth="1"/>
    <col min="7947" max="7947" width="5.140625" style="265" customWidth="1"/>
    <col min="7948" max="7948" width="9.85546875" style="265" customWidth="1"/>
    <col min="7949" max="7949" width="5.140625" style="265" customWidth="1"/>
    <col min="7950" max="7950" width="9.85546875" style="265" customWidth="1"/>
    <col min="7951" max="7951" width="5.140625" style="265" customWidth="1"/>
    <col min="7952" max="7952" width="9" style="265" customWidth="1"/>
    <col min="7953" max="7953" width="5.140625" style="265" customWidth="1"/>
    <col min="7954" max="7954" width="9.85546875" style="265" customWidth="1"/>
    <col min="7955" max="7955" width="5.140625" style="265" customWidth="1"/>
    <col min="7956" max="7956" width="6.85546875" style="265" customWidth="1"/>
    <col min="7957" max="7957" width="5.140625" style="265" customWidth="1"/>
    <col min="7958" max="7958" width="9" style="265" customWidth="1"/>
    <col min="7959" max="7959" width="7.140625" style="265" customWidth="1"/>
    <col min="7960" max="7960" width="10.28515625" style="265" customWidth="1"/>
    <col min="7961" max="7961" width="6.42578125" style="265" customWidth="1"/>
    <col min="7962" max="7962" width="9.7109375" style="265" customWidth="1"/>
    <col min="7963" max="7963" width="6.28515625" style="265" customWidth="1"/>
    <col min="7964" max="7964" width="13" style="265" customWidth="1"/>
    <col min="7965" max="7965" width="6.85546875" style="265" customWidth="1"/>
    <col min="7966" max="7966" width="12.28515625" style="265" customWidth="1"/>
    <col min="7967" max="7967" width="7.7109375" style="265" customWidth="1"/>
    <col min="7968" max="7968" width="10.42578125" style="265" customWidth="1"/>
    <col min="7969" max="7969" width="11.28515625" style="265" customWidth="1"/>
    <col min="7970" max="7970" width="12.28515625" style="265" customWidth="1"/>
    <col min="7971" max="7971" width="5.140625" style="265" customWidth="1"/>
    <col min="7972" max="7972" width="9" style="265" customWidth="1"/>
    <col min="7973" max="7973" width="5.140625" style="265" customWidth="1"/>
    <col min="7974" max="7974" width="9.85546875" style="265" customWidth="1"/>
    <col min="7975" max="7975" width="5.140625" style="265" customWidth="1"/>
    <col min="7976" max="7976" width="6.85546875" style="265" customWidth="1"/>
    <col min="7977" max="7977" width="5.140625" style="265" customWidth="1"/>
    <col min="7978" max="7978" width="10.7109375" style="265" customWidth="1"/>
    <col min="7979" max="7979" width="6.85546875" style="265" customWidth="1"/>
    <col min="7980" max="7980" width="12" style="265" customWidth="1"/>
    <col min="7981" max="7981" width="0" style="265" hidden="1" customWidth="1"/>
    <col min="7982" max="7982" width="8.42578125" style="265" customWidth="1"/>
    <col min="7983" max="7983" width="12" style="265" customWidth="1"/>
    <col min="7984" max="7984" width="8.28515625" style="265" customWidth="1"/>
    <col min="7985" max="7985" width="15.28515625" style="265" customWidth="1"/>
    <col min="7986" max="7986" width="13.5703125" style="265" customWidth="1"/>
    <col min="7987" max="7988" width="0" style="265" hidden="1" customWidth="1"/>
    <col min="7989" max="7990" width="15.7109375" style="265" customWidth="1"/>
    <col min="7991" max="7991" width="17.28515625" style="265" customWidth="1"/>
    <col min="7992" max="7992" width="0" style="265" hidden="1" customWidth="1"/>
    <col min="7993" max="7993" width="18.28515625" style="265" customWidth="1"/>
    <col min="7994" max="7994" width="17.42578125" style="265" customWidth="1"/>
    <col min="7995" max="7995" width="10.7109375" style="265" bestFit="1" customWidth="1"/>
    <col min="7996" max="7996" width="11" style="265" bestFit="1" customWidth="1"/>
    <col min="7997" max="8146" width="8.85546875" style="265"/>
    <col min="8147" max="8147" width="4.7109375" style="265" customWidth="1"/>
    <col min="8148" max="8150" width="16" style="265" customWidth="1"/>
    <col min="8151" max="8151" width="9.42578125" style="265" customWidth="1"/>
    <col min="8152" max="8152" width="10.28515625" style="265" customWidth="1"/>
    <col min="8153" max="8153" width="7.85546875" style="265" customWidth="1"/>
    <col min="8154" max="8154" width="9.7109375" style="265" customWidth="1"/>
    <col min="8155" max="8155" width="6" style="265" customWidth="1"/>
    <col min="8156" max="8156" width="10.7109375" style="265" customWidth="1"/>
    <col min="8157" max="8157" width="8.28515625" style="265" customWidth="1"/>
    <col min="8158" max="8158" width="12.28515625" style="265" customWidth="1"/>
    <col min="8159" max="8159" width="6" style="265" customWidth="1"/>
    <col min="8160" max="8160" width="10.7109375" style="265" customWidth="1"/>
    <col min="8161" max="8161" width="6.85546875" style="265" customWidth="1"/>
    <col min="8162" max="8162" width="12" style="265" customWidth="1"/>
    <col min="8163" max="8163" width="5.140625" style="265" customWidth="1"/>
    <col min="8164" max="8164" width="9" style="265" customWidth="1"/>
    <col min="8165" max="8165" width="5.140625" style="265" customWidth="1"/>
    <col min="8166" max="8166" width="9.85546875" style="265" customWidth="1"/>
    <col min="8167" max="8167" width="5.140625" style="265" customWidth="1"/>
    <col min="8168" max="8168" width="9" style="265" customWidth="1"/>
    <col min="8169" max="8169" width="5.140625" style="265" customWidth="1"/>
    <col min="8170" max="8172" width="9.85546875" style="265" customWidth="1"/>
    <col min="8173" max="8173" width="7.140625" style="265" customWidth="1"/>
    <col min="8174" max="8174" width="10.28515625" style="265" customWidth="1"/>
    <col min="8175" max="8175" width="6.42578125" style="265" customWidth="1"/>
    <col min="8176" max="8176" width="9.7109375" style="265" customWidth="1"/>
    <col min="8177" max="8177" width="6.28515625" style="265" customWidth="1"/>
    <col min="8178" max="8178" width="9" style="265" customWidth="1"/>
    <col min="8179" max="8179" width="8" style="265" customWidth="1"/>
    <col min="8180" max="8180" width="12.85546875" style="265" customWidth="1"/>
    <col min="8181" max="8181" width="5.140625" style="265" customWidth="1"/>
    <col min="8182" max="8182" width="9.85546875" style="265" customWidth="1"/>
    <col min="8183" max="8183" width="6.7109375" style="265" customWidth="1"/>
    <col min="8184" max="8184" width="12.42578125" style="265" customWidth="1"/>
    <col min="8185" max="8185" width="5.140625" style="265" customWidth="1"/>
    <col min="8186" max="8186" width="9" style="265" customWidth="1"/>
    <col min="8187" max="8187" width="5.140625" style="265" customWidth="1"/>
    <col min="8188" max="8188" width="9.85546875" style="265" customWidth="1"/>
    <col min="8189" max="8189" width="5.140625" style="265" customWidth="1"/>
    <col min="8190" max="8190" width="6.85546875" style="265" customWidth="1"/>
    <col min="8191" max="8191" width="5.140625" style="265" customWidth="1"/>
    <col min="8192" max="8192" width="10.5703125" style="265" customWidth="1"/>
    <col min="8193" max="8194" width="9" style="265" customWidth="1"/>
    <col min="8195" max="8195" width="7.140625" style="265" customWidth="1"/>
    <col min="8196" max="8196" width="10.28515625" style="265" customWidth="1"/>
    <col min="8197" max="8197" width="6.42578125" style="265" customWidth="1"/>
    <col min="8198" max="8198" width="9.7109375" style="265" customWidth="1"/>
    <col min="8199" max="8199" width="6.28515625" style="265" customWidth="1"/>
    <col min="8200" max="8200" width="9" style="265" customWidth="1"/>
    <col min="8201" max="8201" width="5.140625" style="265" customWidth="1"/>
    <col min="8202" max="8202" width="9.85546875" style="265" customWidth="1"/>
    <col min="8203" max="8203" width="5.140625" style="265" customWidth="1"/>
    <col min="8204" max="8204" width="9.85546875" style="265" customWidth="1"/>
    <col min="8205" max="8205" width="5.140625" style="265" customWidth="1"/>
    <col min="8206" max="8206" width="9.85546875" style="265" customWidth="1"/>
    <col min="8207" max="8207" width="5.140625" style="265" customWidth="1"/>
    <col min="8208" max="8208" width="9" style="265" customWidth="1"/>
    <col min="8209" max="8209" width="5.140625" style="265" customWidth="1"/>
    <col min="8210" max="8210" width="9.85546875" style="265" customWidth="1"/>
    <col min="8211" max="8211" width="5.140625" style="265" customWidth="1"/>
    <col min="8212" max="8212" width="6.85546875" style="265" customWidth="1"/>
    <col min="8213" max="8213" width="5.140625" style="265" customWidth="1"/>
    <col min="8214" max="8214" width="9" style="265" customWidth="1"/>
    <col min="8215" max="8215" width="7.140625" style="265" customWidth="1"/>
    <col min="8216" max="8216" width="10.28515625" style="265" customWidth="1"/>
    <col min="8217" max="8217" width="6.42578125" style="265" customWidth="1"/>
    <col min="8218" max="8218" width="9.7109375" style="265" customWidth="1"/>
    <col min="8219" max="8219" width="6.28515625" style="265" customWidth="1"/>
    <col min="8220" max="8220" width="13" style="265" customWidth="1"/>
    <col min="8221" max="8221" width="6.85546875" style="265" customWidth="1"/>
    <col min="8222" max="8222" width="12.28515625" style="265" customWidth="1"/>
    <col min="8223" max="8223" width="7.7109375" style="265" customWidth="1"/>
    <col min="8224" max="8224" width="10.42578125" style="265" customWidth="1"/>
    <col min="8225" max="8225" width="11.28515625" style="265" customWidth="1"/>
    <col min="8226" max="8226" width="12.28515625" style="265" customWidth="1"/>
    <col min="8227" max="8227" width="5.140625" style="265" customWidth="1"/>
    <col min="8228" max="8228" width="9" style="265" customWidth="1"/>
    <col min="8229" max="8229" width="5.140625" style="265" customWidth="1"/>
    <col min="8230" max="8230" width="9.85546875" style="265" customWidth="1"/>
    <col min="8231" max="8231" width="5.140625" style="265" customWidth="1"/>
    <col min="8232" max="8232" width="6.85546875" style="265" customWidth="1"/>
    <col min="8233" max="8233" width="5.140625" style="265" customWidth="1"/>
    <col min="8234" max="8234" width="10.7109375" style="265" customWidth="1"/>
    <col min="8235" max="8235" width="6.85546875" style="265" customWidth="1"/>
    <col min="8236" max="8236" width="12" style="265" customWidth="1"/>
    <col min="8237" max="8237" width="0" style="265" hidden="1" customWidth="1"/>
    <col min="8238" max="8238" width="8.42578125" style="265" customWidth="1"/>
    <col min="8239" max="8239" width="12" style="265" customWidth="1"/>
    <col min="8240" max="8240" width="8.28515625" style="265" customWidth="1"/>
    <col min="8241" max="8241" width="15.28515625" style="265" customWidth="1"/>
    <col min="8242" max="8242" width="13.5703125" style="265" customWidth="1"/>
    <col min="8243" max="8244" width="0" style="265" hidden="1" customWidth="1"/>
    <col min="8245" max="8246" width="15.7109375" style="265" customWidth="1"/>
    <col min="8247" max="8247" width="17.28515625" style="265" customWidth="1"/>
    <col min="8248" max="8248" width="0" style="265" hidden="1" customWidth="1"/>
    <col min="8249" max="8249" width="18.28515625" style="265" customWidth="1"/>
    <col min="8250" max="8250" width="17.42578125" style="265" customWidth="1"/>
    <col min="8251" max="8251" width="10.7109375" style="265" bestFit="1" customWidth="1"/>
    <col min="8252" max="8252" width="11" style="265" bestFit="1" customWidth="1"/>
    <col min="8253" max="8402" width="8.85546875" style="265"/>
    <col min="8403" max="8403" width="4.7109375" style="265" customWidth="1"/>
    <col min="8404" max="8406" width="16" style="265" customWidth="1"/>
    <col min="8407" max="8407" width="9.42578125" style="265" customWidth="1"/>
    <col min="8408" max="8408" width="10.28515625" style="265" customWidth="1"/>
    <col min="8409" max="8409" width="7.85546875" style="265" customWidth="1"/>
    <col min="8410" max="8410" width="9.7109375" style="265" customWidth="1"/>
    <col min="8411" max="8411" width="6" style="265" customWidth="1"/>
    <col min="8412" max="8412" width="10.7109375" style="265" customWidth="1"/>
    <col min="8413" max="8413" width="8.28515625" style="265" customWidth="1"/>
    <col min="8414" max="8414" width="12.28515625" style="265" customWidth="1"/>
    <col min="8415" max="8415" width="6" style="265" customWidth="1"/>
    <col min="8416" max="8416" width="10.7109375" style="265" customWidth="1"/>
    <col min="8417" max="8417" width="6.85546875" style="265" customWidth="1"/>
    <col min="8418" max="8418" width="12" style="265" customWidth="1"/>
    <col min="8419" max="8419" width="5.140625" style="265" customWidth="1"/>
    <col min="8420" max="8420" width="9" style="265" customWidth="1"/>
    <col min="8421" max="8421" width="5.140625" style="265" customWidth="1"/>
    <col min="8422" max="8422" width="9.85546875" style="265" customWidth="1"/>
    <col min="8423" max="8423" width="5.140625" style="265" customWidth="1"/>
    <col min="8424" max="8424" width="9" style="265" customWidth="1"/>
    <col min="8425" max="8425" width="5.140625" style="265" customWidth="1"/>
    <col min="8426" max="8428" width="9.85546875" style="265" customWidth="1"/>
    <col min="8429" max="8429" width="7.140625" style="265" customWidth="1"/>
    <col min="8430" max="8430" width="10.28515625" style="265" customWidth="1"/>
    <col min="8431" max="8431" width="6.42578125" style="265" customWidth="1"/>
    <col min="8432" max="8432" width="9.7109375" style="265" customWidth="1"/>
    <col min="8433" max="8433" width="6.28515625" style="265" customWidth="1"/>
    <col min="8434" max="8434" width="9" style="265" customWidth="1"/>
    <col min="8435" max="8435" width="8" style="265" customWidth="1"/>
    <col min="8436" max="8436" width="12.85546875" style="265" customWidth="1"/>
    <col min="8437" max="8437" width="5.140625" style="265" customWidth="1"/>
    <col min="8438" max="8438" width="9.85546875" style="265" customWidth="1"/>
    <col min="8439" max="8439" width="6.7109375" style="265" customWidth="1"/>
    <col min="8440" max="8440" width="12.42578125" style="265" customWidth="1"/>
    <col min="8441" max="8441" width="5.140625" style="265" customWidth="1"/>
    <col min="8442" max="8442" width="9" style="265" customWidth="1"/>
    <col min="8443" max="8443" width="5.140625" style="265" customWidth="1"/>
    <col min="8444" max="8444" width="9.85546875" style="265" customWidth="1"/>
    <col min="8445" max="8445" width="5.140625" style="265" customWidth="1"/>
    <col min="8446" max="8446" width="6.85546875" style="265" customWidth="1"/>
    <col min="8447" max="8447" width="5.140625" style="265" customWidth="1"/>
    <col min="8448" max="8448" width="10.5703125" style="265" customWidth="1"/>
    <col min="8449" max="8450" width="9" style="265" customWidth="1"/>
    <col min="8451" max="8451" width="7.140625" style="265" customWidth="1"/>
    <col min="8452" max="8452" width="10.28515625" style="265" customWidth="1"/>
    <col min="8453" max="8453" width="6.42578125" style="265" customWidth="1"/>
    <col min="8454" max="8454" width="9.7109375" style="265" customWidth="1"/>
    <col min="8455" max="8455" width="6.28515625" style="265" customWidth="1"/>
    <col min="8456" max="8456" width="9" style="265" customWidth="1"/>
    <col min="8457" max="8457" width="5.140625" style="265" customWidth="1"/>
    <col min="8458" max="8458" width="9.85546875" style="265" customWidth="1"/>
    <col min="8459" max="8459" width="5.140625" style="265" customWidth="1"/>
    <col min="8460" max="8460" width="9.85546875" style="265" customWidth="1"/>
    <col min="8461" max="8461" width="5.140625" style="265" customWidth="1"/>
    <col min="8462" max="8462" width="9.85546875" style="265" customWidth="1"/>
    <col min="8463" max="8463" width="5.140625" style="265" customWidth="1"/>
    <col min="8464" max="8464" width="9" style="265" customWidth="1"/>
    <col min="8465" max="8465" width="5.140625" style="265" customWidth="1"/>
    <col min="8466" max="8466" width="9.85546875" style="265" customWidth="1"/>
    <col min="8467" max="8467" width="5.140625" style="265" customWidth="1"/>
    <col min="8468" max="8468" width="6.85546875" style="265" customWidth="1"/>
    <col min="8469" max="8469" width="5.140625" style="265" customWidth="1"/>
    <col min="8470" max="8470" width="9" style="265" customWidth="1"/>
    <col min="8471" max="8471" width="7.140625" style="265" customWidth="1"/>
    <col min="8472" max="8472" width="10.28515625" style="265" customWidth="1"/>
    <col min="8473" max="8473" width="6.42578125" style="265" customWidth="1"/>
    <col min="8474" max="8474" width="9.7109375" style="265" customWidth="1"/>
    <col min="8475" max="8475" width="6.28515625" style="265" customWidth="1"/>
    <col min="8476" max="8476" width="13" style="265" customWidth="1"/>
    <col min="8477" max="8477" width="6.85546875" style="265" customWidth="1"/>
    <col min="8478" max="8478" width="12.28515625" style="265" customWidth="1"/>
    <col min="8479" max="8479" width="7.7109375" style="265" customWidth="1"/>
    <col min="8480" max="8480" width="10.42578125" style="265" customWidth="1"/>
    <col min="8481" max="8481" width="11.28515625" style="265" customWidth="1"/>
    <col min="8482" max="8482" width="12.28515625" style="265" customWidth="1"/>
    <col min="8483" max="8483" width="5.140625" style="265" customWidth="1"/>
    <col min="8484" max="8484" width="9" style="265" customWidth="1"/>
    <col min="8485" max="8485" width="5.140625" style="265" customWidth="1"/>
    <col min="8486" max="8486" width="9.85546875" style="265" customWidth="1"/>
    <col min="8487" max="8487" width="5.140625" style="265" customWidth="1"/>
    <col min="8488" max="8488" width="6.85546875" style="265" customWidth="1"/>
    <col min="8489" max="8489" width="5.140625" style="265" customWidth="1"/>
    <col min="8490" max="8490" width="10.7109375" style="265" customWidth="1"/>
    <col min="8491" max="8491" width="6.85546875" style="265" customWidth="1"/>
    <col min="8492" max="8492" width="12" style="265" customWidth="1"/>
    <col min="8493" max="8493" width="0" style="265" hidden="1" customWidth="1"/>
    <col min="8494" max="8494" width="8.42578125" style="265" customWidth="1"/>
    <col min="8495" max="8495" width="12" style="265" customWidth="1"/>
    <col min="8496" max="8496" width="8.28515625" style="265" customWidth="1"/>
    <col min="8497" max="8497" width="15.28515625" style="265" customWidth="1"/>
    <col min="8498" max="8498" width="13.5703125" style="265" customWidth="1"/>
    <col min="8499" max="8500" width="0" style="265" hidden="1" customWidth="1"/>
    <col min="8501" max="8502" width="15.7109375" style="265" customWidth="1"/>
    <col min="8503" max="8503" width="17.28515625" style="265" customWidth="1"/>
    <col min="8504" max="8504" width="0" style="265" hidden="1" customWidth="1"/>
    <col min="8505" max="8505" width="18.28515625" style="265" customWidth="1"/>
    <col min="8506" max="8506" width="17.42578125" style="265" customWidth="1"/>
    <col min="8507" max="8507" width="10.7109375" style="265" bestFit="1" customWidth="1"/>
    <col min="8508" max="8508" width="11" style="265" bestFit="1" customWidth="1"/>
    <col min="8509" max="8658" width="8.85546875" style="265"/>
    <col min="8659" max="8659" width="4.7109375" style="265" customWidth="1"/>
    <col min="8660" max="8662" width="16" style="265" customWidth="1"/>
    <col min="8663" max="8663" width="9.42578125" style="265" customWidth="1"/>
    <col min="8664" max="8664" width="10.28515625" style="265" customWidth="1"/>
    <col min="8665" max="8665" width="7.85546875" style="265" customWidth="1"/>
    <col min="8666" max="8666" width="9.7109375" style="265" customWidth="1"/>
    <col min="8667" max="8667" width="6" style="265" customWidth="1"/>
    <col min="8668" max="8668" width="10.7109375" style="265" customWidth="1"/>
    <col min="8669" max="8669" width="8.28515625" style="265" customWidth="1"/>
    <col min="8670" max="8670" width="12.28515625" style="265" customWidth="1"/>
    <col min="8671" max="8671" width="6" style="265" customWidth="1"/>
    <col min="8672" max="8672" width="10.7109375" style="265" customWidth="1"/>
    <col min="8673" max="8673" width="6.85546875" style="265" customWidth="1"/>
    <col min="8674" max="8674" width="12" style="265" customWidth="1"/>
    <col min="8675" max="8675" width="5.140625" style="265" customWidth="1"/>
    <col min="8676" max="8676" width="9" style="265" customWidth="1"/>
    <col min="8677" max="8677" width="5.140625" style="265" customWidth="1"/>
    <col min="8678" max="8678" width="9.85546875" style="265" customWidth="1"/>
    <col min="8679" max="8679" width="5.140625" style="265" customWidth="1"/>
    <col min="8680" max="8680" width="9" style="265" customWidth="1"/>
    <col min="8681" max="8681" width="5.140625" style="265" customWidth="1"/>
    <col min="8682" max="8684" width="9.85546875" style="265" customWidth="1"/>
    <col min="8685" max="8685" width="7.140625" style="265" customWidth="1"/>
    <col min="8686" max="8686" width="10.28515625" style="265" customWidth="1"/>
    <col min="8687" max="8687" width="6.42578125" style="265" customWidth="1"/>
    <col min="8688" max="8688" width="9.7109375" style="265" customWidth="1"/>
    <col min="8689" max="8689" width="6.28515625" style="265" customWidth="1"/>
    <col min="8690" max="8690" width="9" style="265" customWidth="1"/>
    <col min="8691" max="8691" width="8" style="265" customWidth="1"/>
    <col min="8692" max="8692" width="12.85546875" style="265" customWidth="1"/>
    <col min="8693" max="8693" width="5.140625" style="265" customWidth="1"/>
    <col min="8694" max="8694" width="9.85546875" style="265" customWidth="1"/>
    <col min="8695" max="8695" width="6.7109375" style="265" customWidth="1"/>
    <col min="8696" max="8696" width="12.42578125" style="265" customWidth="1"/>
    <col min="8697" max="8697" width="5.140625" style="265" customWidth="1"/>
    <col min="8698" max="8698" width="9" style="265" customWidth="1"/>
    <col min="8699" max="8699" width="5.140625" style="265" customWidth="1"/>
    <col min="8700" max="8700" width="9.85546875" style="265" customWidth="1"/>
    <col min="8701" max="8701" width="5.140625" style="265" customWidth="1"/>
    <col min="8702" max="8702" width="6.85546875" style="265" customWidth="1"/>
    <col min="8703" max="8703" width="5.140625" style="265" customWidth="1"/>
    <col min="8704" max="8704" width="10.5703125" style="265" customWidth="1"/>
    <col min="8705" max="8706" width="9" style="265" customWidth="1"/>
    <col min="8707" max="8707" width="7.140625" style="265" customWidth="1"/>
    <col min="8708" max="8708" width="10.28515625" style="265" customWidth="1"/>
    <col min="8709" max="8709" width="6.42578125" style="265" customWidth="1"/>
    <col min="8710" max="8710" width="9.7109375" style="265" customWidth="1"/>
    <col min="8711" max="8711" width="6.28515625" style="265" customWidth="1"/>
    <col min="8712" max="8712" width="9" style="265" customWidth="1"/>
    <col min="8713" max="8713" width="5.140625" style="265" customWidth="1"/>
    <col min="8714" max="8714" width="9.85546875" style="265" customWidth="1"/>
    <col min="8715" max="8715" width="5.140625" style="265" customWidth="1"/>
    <col min="8716" max="8716" width="9.85546875" style="265" customWidth="1"/>
    <col min="8717" max="8717" width="5.140625" style="265" customWidth="1"/>
    <col min="8718" max="8718" width="9.85546875" style="265" customWidth="1"/>
    <col min="8719" max="8719" width="5.140625" style="265" customWidth="1"/>
    <col min="8720" max="8720" width="9" style="265" customWidth="1"/>
    <col min="8721" max="8721" width="5.140625" style="265" customWidth="1"/>
    <col min="8722" max="8722" width="9.85546875" style="265" customWidth="1"/>
    <col min="8723" max="8723" width="5.140625" style="265" customWidth="1"/>
    <col min="8724" max="8724" width="6.85546875" style="265" customWidth="1"/>
    <col min="8725" max="8725" width="5.140625" style="265" customWidth="1"/>
    <col min="8726" max="8726" width="9" style="265" customWidth="1"/>
    <col min="8727" max="8727" width="7.140625" style="265" customWidth="1"/>
    <col min="8728" max="8728" width="10.28515625" style="265" customWidth="1"/>
    <col min="8729" max="8729" width="6.42578125" style="265" customWidth="1"/>
    <col min="8730" max="8730" width="9.7109375" style="265" customWidth="1"/>
    <col min="8731" max="8731" width="6.28515625" style="265" customWidth="1"/>
    <col min="8732" max="8732" width="13" style="265" customWidth="1"/>
    <col min="8733" max="8733" width="6.85546875" style="265" customWidth="1"/>
    <col min="8734" max="8734" width="12.28515625" style="265" customWidth="1"/>
    <col min="8735" max="8735" width="7.7109375" style="265" customWidth="1"/>
    <col min="8736" max="8736" width="10.42578125" style="265" customWidth="1"/>
    <col min="8737" max="8737" width="11.28515625" style="265" customWidth="1"/>
    <col min="8738" max="8738" width="12.28515625" style="265" customWidth="1"/>
    <col min="8739" max="8739" width="5.140625" style="265" customWidth="1"/>
    <col min="8740" max="8740" width="9" style="265" customWidth="1"/>
    <col min="8741" max="8741" width="5.140625" style="265" customWidth="1"/>
    <col min="8742" max="8742" width="9.85546875" style="265" customWidth="1"/>
    <col min="8743" max="8743" width="5.140625" style="265" customWidth="1"/>
    <col min="8744" max="8744" width="6.85546875" style="265" customWidth="1"/>
    <col min="8745" max="8745" width="5.140625" style="265" customWidth="1"/>
    <col min="8746" max="8746" width="10.7109375" style="265" customWidth="1"/>
    <col min="8747" max="8747" width="6.85546875" style="265" customWidth="1"/>
    <col min="8748" max="8748" width="12" style="265" customWidth="1"/>
    <col min="8749" max="8749" width="0" style="265" hidden="1" customWidth="1"/>
    <col min="8750" max="8750" width="8.42578125" style="265" customWidth="1"/>
    <col min="8751" max="8751" width="12" style="265" customWidth="1"/>
    <col min="8752" max="8752" width="8.28515625" style="265" customWidth="1"/>
    <col min="8753" max="8753" width="15.28515625" style="265" customWidth="1"/>
    <col min="8754" max="8754" width="13.5703125" style="265" customWidth="1"/>
    <col min="8755" max="8756" width="0" style="265" hidden="1" customWidth="1"/>
    <col min="8757" max="8758" width="15.7109375" style="265" customWidth="1"/>
    <col min="8759" max="8759" width="17.28515625" style="265" customWidth="1"/>
    <col min="8760" max="8760" width="0" style="265" hidden="1" customWidth="1"/>
    <col min="8761" max="8761" width="18.28515625" style="265" customWidth="1"/>
    <col min="8762" max="8762" width="17.42578125" style="265" customWidth="1"/>
    <col min="8763" max="8763" width="10.7109375" style="265" bestFit="1" customWidth="1"/>
    <col min="8764" max="8764" width="11" style="265" bestFit="1" customWidth="1"/>
    <col min="8765" max="8914" width="8.85546875" style="265"/>
    <col min="8915" max="8915" width="4.7109375" style="265" customWidth="1"/>
    <col min="8916" max="8918" width="16" style="265" customWidth="1"/>
    <col min="8919" max="8919" width="9.42578125" style="265" customWidth="1"/>
    <col min="8920" max="8920" width="10.28515625" style="265" customWidth="1"/>
    <col min="8921" max="8921" width="7.85546875" style="265" customWidth="1"/>
    <col min="8922" max="8922" width="9.7109375" style="265" customWidth="1"/>
    <col min="8923" max="8923" width="6" style="265" customWidth="1"/>
    <col min="8924" max="8924" width="10.7109375" style="265" customWidth="1"/>
    <col min="8925" max="8925" width="8.28515625" style="265" customWidth="1"/>
    <col min="8926" max="8926" width="12.28515625" style="265" customWidth="1"/>
    <col min="8927" max="8927" width="6" style="265" customWidth="1"/>
    <col min="8928" max="8928" width="10.7109375" style="265" customWidth="1"/>
    <col min="8929" max="8929" width="6.85546875" style="265" customWidth="1"/>
    <col min="8930" max="8930" width="12" style="265" customWidth="1"/>
    <col min="8931" max="8931" width="5.140625" style="265" customWidth="1"/>
    <col min="8932" max="8932" width="9" style="265" customWidth="1"/>
    <col min="8933" max="8933" width="5.140625" style="265" customWidth="1"/>
    <col min="8934" max="8934" width="9.85546875" style="265" customWidth="1"/>
    <col min="8935" max="8935" width="5.140625" style="265" customWidth="1"/>
    <col min="8936" max="8936" width="9" style="265" customWidth="1"/>
    <col min="8937" max="8937" width="5.140625" style="265" customWidth="1"/>
    <col min="8938" max="8940" width="9.85546875" style="265" customWidth="1"/>
    <col min="8941" max="8941" width="7.140625" style="265" customWidth="1"/>
    <col min="8942" max="8942" width="10.28515625" style="265" customWidth="1"/>
    <col min="8943" max="8943" width="6.42578125" style="265" customWidth="1"/>
    <col min="8944" max="8944" width="9.7109375" style="265" customWidth="1"/>
    <col min="8945" max="8945" width="6.28515625" style="265" customWidth="1"/>
    <col min="8946" max="8946" width="9" style="265" customWidth="1"/>
    <col min="8947" max="8947" width="8" style="265" customWidth="1"/>
    <col min="8948" max="8948" width="12.85546875" style="265" customWidth="1"/>
    <col min="8949" max="8949" width="5.140625" style="265" customWidth="1"/>
    <col min="8950" max="8950" width="9.85546875" style="265" customWidth="1"/>
    <col min="8951" max="8951" width="6.7109375" style="265" customWidth="1"/>
    <col min="8952" max="8952" width="12.42578125" style="265" customWidth="1"/>
    <col min="8953" max="8953" width="5.140625" style="265" customWidth="1"/>
    <col min="8954" max="8954" width="9" style="265" customWidth="1"/>
    <col min="8955" max="8955" width="5.140625" style="265" customWidth="1"/>
    <col min="8956" max="8956" width="9.85546875" style="265" customWidth="1"/>
    <col min="8957" max="8957" width="5.140625" style="265" customWidth="1"/>
    <col min="8958" max="8958" width="6.85546875" style="265" customWidth="1"/>
    <col min="8959" max="8959" width="5.140625" style="265" customWidth="1"/>
    <col min="8960" max="8960" width="10.5703125" style="265" customWidth="1"/>
    <col min="8961" max="8962" width="9" style="265" customWidth="1"/>
    <col min="8963" max="8963" width="7.140625" style="265" customWidth="1"/>
    <col min="8964" max="8964" width="10.28515625" style="265" customWidth="1"/>
    <col min="8965" max="8965" width="6.42578125" style="265" customWidth="1"/>
    <col min="8966" max="8966" width="9.7109375" style="265" customWidth="1"/>
    <col min="8967" max="8967" width="6.28515625" style="265" customWidth="1"/>
    <col min="8968" max="8968" width="9" style="265" customWidth="1"/>
    <col min="8969" max="8969" width="5.140625" style="265" customWidth="1"/>
    <col min="8970" max="8970" width="9.85546875" style="265" customWidth="1"/>
    <col min="8971" max="8971" width="5.140625" style="265" customWidth="1"/>
    <col min="8972" max="8972" width="9.85546875" style="265" customWidth="1"/>
    <col min="8973" max="8973" width="5.140625" style="265" customWidth="1"/>
    <col min="8974" max="8974" width="9.85546875" style="265" customWidth="1"/>
    <col min="8975" max="8975" width="5.140625" style="265" customWidth="1"/>
    <col min="8976" max="8976" width="9" style="265" customWidth="1"/>
    <col min="8977" max="8977" width="5.140625" style="265" customWidth="1"/>
    <col min="8978" max="8978" width="9.85546875" style="265" customWidth="1"/>
    <col min="8979" max="8979" width="5.140625" style="265" customWidth="1"/>
    <col min="8980" max="8980" width="6.85546875" style="265" customWidth="1"/>
    <col min="8981" max="8981" width="5.140625" style="265" customWidth="1"/>
    <col min="8982" max="8982" width="9" style="265" customWidth="1"/>
    <col min="8983" max="8983" width="7.140625" style="265" customWidth="1"/>
    <col min="8984" max="8984" width="10.28515625" style="265" customWidth="1"/>
    <col min="8985" max="8985" width="6.42578125" style="265" customWidth="1"/>
    <col min="8986" max="8986" width="9.7109375" style="265" customWidth="1"/>
    <col min="8987" max="8987" width="6.28515625" style="265" customWidth="1"/>
    <col min="8988" max="8988" width="13" style="265" customWidth="1"/>
    <col min="8989" max="8989" width="6.85546875" style="265" customWidth="1"/>
    <col min="8990" max="8990" width="12.28515625" style="265" customWidth="1"/>
    <col min="8991" max="8991" width="7.7109375" style="265" customWidth="1"/>
    <col min="8992" max="8992" width="10.42578125" style="265" customWidth="1"/>
    <col min="8993" max="8993" width="11.28515625" style="265" customWidth="1"/>
    <col min="8994" max="8994" width="12.28515625" style="265" customWidth="1"/>
    <col min="8995" max="8995" width="5.140625" style="265" customWidth="1"/>
    <col min="8996" max="8996" width="9" style="265" customWidth="1"/>
    <col min="8997" max="8997" width="5.140625" style="265" customWidth="1"/>
    <col min="8998" max="8998" width="9.85546875" style="265" customWidth="1"/>
    <col min="8999" max="8999" width="5.140625" style="265" customWidth="1"/>
    <col min="9000" max="9000" width="6.85546875" style="265" customWidth="1"/>
    <col min="9001" max="9001" width="5.140625" style="265" customWidth="1"/>
    <col min="9002" max="9002" width="10.7109375" style="265" customWidth="1"/>
    <col min="9003" max="9003" width="6.85546875" style="265" customWidth="1"/>
    <col min="9004" max="9004" width="12" style="265" customWidth="1"/>
    <col min="9005" max="9005" width="0" style="265" hidden="1" customWidth="1"/>
    <col min="9006" max="9006" width="8.42578125" style="265" customWidth="1"/>
    <col min="9007" max="9007" width="12" style="265" customWidth="1"/>
    <col min="9008" max="9008" width="8.28515625" style="265" customWidth="1"/>
    <col min="9009" max="9009" width="15.28515625" style="265" customWidth="1"/>
    <col min="9010" max="9010" width="13.5703125" style="265" customWidth="1"/>
    <col min="9011" max="9012" width="0" style="265" hidden="1" customWidth="1"/>
    <col min="9013" max="9014" width="15.7109375" style="265" customWidth="1"/>
    <col min="9015" max="9015" width="17.28515625" style="265" customWidth="1"/>
    <col min="9016" max="9016" width="0" style="265" hidden="1" customWidth="1"/>
    <col min="9017" max="9017" width="18.28515625" style="265" customWidth="1"/>
    <col min="9018" max="9018" width="17.42578125" style="265" customWidth="1"/>
    <col min="9019" max="9019" width="10.7109375" style="265" bestFit="1" customWidth="1"/>
    <col min="9020" max="9020" width="11" style="265" bestFit="1" customWidth="1"/>
    <col min="9021" max="9170" width="8.85546875" style="265"/>
    <col min="9171" max="9171" width="4.7109375" style="265" customWidth="1"/>
    <col min="9172" max="9174" width="16" style="265" customWidth="1"/>
    <col min="9175" max="9175" width="9.42578125" style="265" customWidth="1"/>
    <col min="9176" max="9176" width="10.28515625" style="265" customWidth="1"/>
    <col min="9177" max="9177" width="7.85546875" style="265" customWidth="1"/>
    <col min="9178" max="9178" width="9.7109375" style="265" customWidth="1"/>
    <col min="9179" max="9179" width="6" style="265" customWidth="1"/>
    <col min="9180" max="9180" width="10.7109375" style="265" customWidth="1"/>
    <col min="9181" max="9181" width="8.28515625" style="265" customWidth="1"/>
    <col min="9182" max="9182" width="12.28515625" style="265" customWidth="1"/>
    <col min="9183" max="9183" width="6" style="265" customWidth="1"/>
    <col min="9184" max="9184" width="10.7109375" style="265" customWidth="1"/>
    <col min="9185" max="9185" width="6.85546875" style="265" customWidth="1"/>
    <col min="9186" max="9186" width="12" style="265" customWidth="1"/>
    <col min="9187" max="9187" width="5.140625" style="265" customWidth="1"/>
    <col min="9188" max="9188" width="9" style="265" customWidth="1"/>
    <col min="9189" max="9189" width="5.140625" style="265" customWidth="1"/>
    <col min="9190" max="9190" width="9.85546875" style="265" customWidth="1"/>
    <col min="9191" max="9191" width="5.140625" style="265" customWidth="1"/>
    <col min="9192" max="9192" width="9" style="265" customWidth="1"/>
    <col min="9193" max="9193" width="5.140625" style="265" customWidth="1"/>
    <col min="9194" max="9196" width="9.85546875" style="265" customWidth="1"/>
    <col min="9197" max="9197" width="7.140625" style="265" customWidth="1"/>
    <col min="9198" max="9198" width="10.28515625" style="265" customWidth="1"/>
    <col min="9199" max="9199" width="6.42578125" style="265" customWidth="1"/>
    <col min="9200" max="9200" width="9.7109375" style="265" customWidth="1"/>
    <col min="9201" max="9201" width="6.28515625" style="265" customWidth="1"/>
    <col min="9202" max="9202" width="9" style="265" customWidth="1"/>
    <col min="9203" max="9203" width="8" style="265" customWidth="1"/>
    <col min="9204" max="9204" width="12.85546875" style="265" customWidth="1"/>
    <col min="9205" max="9205" width="5.140625" style="265" customWidth="1"/>
    <col min="9206" max="9206" width="9.85546875" style="265" customWidth="1"/>
    <col min="9207" max="9207" width="6.7109375" style="265" customWidth="1"/>
    <col min="9208" max="9208" width="12.42578125" style="265" customWidth="1"/>
    <col min="9209" max="9209" width="5.140625" style="265" customWidth="1"/>
    <col min="9210" max="9210" width="9" style="265" customWidth="1"/>
    <col min="9211" max="9211" width="5.140625" style="265" customWidth="1"/>
    <col min="9212" max="9212" width="9.85546875" style="265" customWidth="1"/>
    <col min="9213" max="9213" width="5.140625" style="265" customWidth="1"/>
    <col min="9214" max="9214" width="6.85546875" style="265" customWidth="1"/>
    <col min="9215" max="9215" width="5.140625" style="265" customWidth="1"/>
    <col min="9216" max="9216" width="10.5703125" style="265" customWidth="1"/>
    <col min="9217" max="9218" width="9" style="265" customWidth="1"/>
    <col min="9219" max="9219" width="7.140625" style="265" customWidth="1"/>
    <col min="9220" max="9220" width="10.28515625" style="265" customWidth="1"/>
    <col min="9221" max="9221" width="6.42578125" style="265" customWidth="1"/>
    <col min="9222" max="9222" width="9.7109375" style="265" customWidth="1"/>
    <col min="9223" max="9223" width="6.28515625" style="265" customWidth="1"/>
    <col min="9224" max="9224" width="9" style="265" customWidth="1"/>
    <col min="9225" max="9225" width="5.140625" style="265" customWidth="1"/>
    <col min="9226" max="9226" width="9.85546875" style="265" customWidth="1"/>
    <col min="9227" max="9227" width="5.140625" style="265" customWidth="1"/>
    <col min="9228" max="9228" width="9.85546875" style="265" customWidth="1"/>
    <col min="9229" max="9229" width="5.140625" style="265" customWidth="1"/>
    <col min="9230" max="9230" width="9.85546875" style="265" customWidth="1"/>
    <col min="9231" max="9231" width="5.140625" style="265" customWidth="1"/>
    <col min="9232" max="9232" width="9" style="265" customWidth="1"/>
    <col min="9233" max="9233" width="5.140625" style="265" customWidth="1"/>
    <col min="9234" max="9234" width="9.85546875" style="265" customWidth="1"/>
    <col min="9235" max="9235" width="5.140625" style="265" customWidth="1"/>
    <col min="9236" max="9236" width="6.85546875" style="265" customWidth="1"/>
    <col min="9237" max="9237" width="5.140625" style="265" customWidth="1"/>
    <col min="9238" max="9238" width="9" style="265" customWidth="1"/>
    <col min="9239" max="9239" width="7.140625" style="265" customWidth="1"/>
    <col min="9240" max="9240" width="10.28515625" style="265" customWidth="1"/>
    <col min="9241" max="9241" width="6.42578125" style="265" customWidth="1"/>
    <col min="9242" max="9242" width="9.7109375" style="265" customWidth="1"/>
    <col min="9243" max="9243" width="6.28515625" style="265" customWidth="1"/>
    <col min="9244" max="9244" width="13" style="265" customWidth="1"/>
    <col min="9245" max="9245" width="6.85546875" style="265" customWidth="1"/>
    <col min="9246" max="9246" width="12.28515625" style="265" customWidth="1"/>
    <col min="9247" max="9247" width="7.7109375" style="265" customWidth="1"/>
    <col min="9248" max="9248" width="10.42578125" style="265" customWidth="1"/>
    <col min="9249" max="9249" width="11.28515625" style="265" customWidth="1"/>
    <col min="9250" max="9250" width="12.28515625" style="265" customWidth="1"/>
    <col min="9251" max="9251" width="5.140625" style="265" customWidth="1"/>
    <col min="9252" max="9252" width="9" style="265" customWidth="1"/>
    <col min="9253" max="9253" width="5.140625" style="265" customWidth="1"/>
    <col min="9254" max="9254" width="9.85546875" style="265" customWidth="1"/>
    <col min="9255" max="9255" width="5.140625" style="265" customWidth="1"/>
    <col min="9256" max="9256" width="6.85546875" style="265" customWidth="1"/>
    <col min="9257" max="9257" width="5.140625" style="265" customWidth="1"/>
    <col min="9258" max="9258" width="10.7109375" style="265" customWidth="1"/>
    <col min="9259" max="9259" width="6.85546875" style="265" customWidth="1"/>
    <col min="9260" max="9260" width="12" style="265" customWidth="1"/>
    <col min="9261" max="9261" width="0" style="265" hidden="1" customWidth="1"/>
    <col min="9262" max="9262" width="8.42578125" style="265" customWidth="1"/>
    <col min="9263" max="9263" width="12" style="265" customWidth="1"/>
    <col min="9264" max="9264" width="8.28515625" style="265" customWidth="1"/>
    <col min="9265" max="9265" width="15.28515625" style="265" customWidth="1"/>
    <col min="9266" max="9266" width="13.5703125" style="265" customWidth="1"/>
    <col min="9267" max="9268" width="0" style="265" hidden="1" customWidth="1"/>
    <col min="9269" max="9270" width="15.7109375" style="265" customWidth="1"/>
    <col min="9271" max="9271" width="17.28515625" style="265" customWidth="1"/>
    <col min="9272" max="9272" width="0" style="265" hidden="1" customWidth="1"/>
    <col min="9273" max="9273" width="18.28515625" style="265" customWidth="1"/>
    <col min="9274" max="9274" width="17.42578125" style="265" customWidth="1"/>
    <col min="9275" max="9275" width="10.7109375" style="265" bestFit="1" customWidth="1"/>
    <col min="9276" max="9276" width="11" style="265" bestFit="1" customWidth="1"/>
    <col min="9277" max="9426" width="8.85546875" style="265"/>
    <col min="9427" max="9427" width="4.7109375" style="265" customWidth="1"/>
    <col min="9428" max="9430" width="16" style="265" customWidth="1"/>
    <col min="9431" max="9431" width="9.42578125" style="265" customWidth="1"/>
    <col min="9432" max="9432" width="10.28515625" style="265" customWidth="1"/>
    <col min="9433" max="9433" width="7.85546875" style="265" customWidth="1"/>
    <col min="9434" max="9434" width="9.7109375" style="265" customWidth="1"/>
    <col min="9435" max="9435" width="6" style="265" customWidth="1"/>
    <col min="9436" max="9436" width="10.7109375" style="265" customWidth="1"/>
    <col min="9437" max="9437" width="8.28515625" style="265" customWidth="1"/>
    <col min="9438" max="9438" width="12.28515625" style="265" customWidth="1"/>
    <col min="9439" max="9439" width="6" style="265" customWidth="1"/>
    <col min="9440" max="9440" width="10.7109375" style="265" customWidth="1"/>
    <col min="9441" max="9441" width="6.85546875" style="265" customWidth="1"/>
    <col min="9442" max="9442" width="12" style="265" customWidth="1"/>
    <col min="9443" max="9443" width="5.140625" style="265" customWidth="1"/>
    <col min="9444" max="9444" width="9" style="265" customWidth="1"/>
    <col min="9445" max="9445" width="5.140625" style="265" customWidth="1"/>
    <col min="9446" max="9446" width="9.85546875" style="265" customWidth="1"/>
    <col min="9447" max="9447" width="5.140625" style="265" customWidth="1"/>
    <col min="9448" max="9448" width="9" style="265" customWidth="1"/>
    <col min="9449" max="9449" width="5.140625" style="265" customWidth="1"/>
    <col min="9450" max="9452" width="9.85546875" style="265" customWidth="1"/>
    <col min="9453" max="9453" width="7.140625" style="265" customWidth="1"/>
    <col min="9454" max="9454" width="10.28515625" style="265" customWidth="1"/>
    <col min="9455" max="9455" width="6.42578125" style="265" customWidth="1"/>
    <col min="9456" max="9456" width="9.7109375" style="265" customWidth="1"/>
    <col min="9457" max="9457" width="6.28515625" style="265" customWidth="1"/>
    <col min="9458" max="9458" width="9" style="265" customWidth="1"/>
    <col min="9459" max="9459" width="8" style="265" customWidth="1"/>
    <col min="9460" max="9460" width="12.85546875" style="265" customWidth="1"/>
    <col min="9461" max="9461" width="5.140625" style="265" customWidth="1"/>
    <col min="9462" max="9462" width="9.85546875" style="265" customWidth="1"/>
    <col min="9463" max="9463" width="6.7109375" style="265" customWidth="1"/>
    <col min="9464" max="9464" width="12.42578125" style="265" customWidth="1"/>
    <col min="9465" max="9465" width="5.140625" style="265" customWidth="1"/>
    <col min="9466" max="9466" width="9" style="265" customWidth="1"/>
    <col min="9467" max="9467" width="5.140625" style="265" customWidth="1"/>
    <col min="9468" max="9468" width="9.85546875" style="265" customWidth="1"/>
    <col min="9469" max="9469" width="5.140625" style="265" customWidth="1"/>
    <col min="9470" max="9470" width="6.85546875" style="265" customWidth="1"/>
    <col min="9471" max="9471" width="5.140625" style="265" customWidth="1"/>
    <col min="9472" max="9472" width="10.5703125" style="265" customWidth="1"/>
    <col min="9473" max="9474" width="9" style="265" customWidth="1"/>
    <col min="9475" max="9475" width="7.140625" style="265" customWidth="1"/>
    <col min="9476" max="9476" width="10.28515625" style="265" customWidth="1"/>
    <col min="9477" max="9477" width="6.42578125" style="265" customWidth="1"/>
    <col min="9478" max="9478" width="9.7109375" style="265" customWidth="1"/>
    <col min="9479" max="9479" width="6.28515625" style="265" customWidth="1"/>
    <col min="9480" max="9480" width="9" style="265" customWidth="1"/>
    <col min="9481" max="9481" width="5.140625" style="265" customWidth="1"/>
    <col min="9482" max="9482" width="9.85546875" style="265" customWidth="1"/>
    <col min="9483" max="9483" width="5.140625" style="265" customWidth="1"/>
    <col min="9484" max="9484" width="9.85546875" style="265" customWidth="1"/>
    <col min="9485" max="9485" width="5.140625" style="265" customWidth="1"/>
    <col min="9486" max="9486" width="9.85546875" style="265" customWidth="1"/>
    <col min="9487" max="9487" width="5.140625" style="265" customWidth="1"/>
    <col min="9488" max="9488" width="9" style="265" customWidth="1"/>
    <col min="9489" max="9489" width="5.140625" style="265" customWidth="1"/>
    <col min="9490" max="9490" width="9.85546875" style="265" customWidth="1"/>
    <col min="9491" max="9491" width="5.140625" style="265" customWidth="1"/>
    <col min="9492" max="9492" width="6.85546875" style="265" customWidth="1"/>
    <col min="9493" max="9493" width="5.140625" style="265" customWidth="1"/>
    <col min="9494" max="9494" width="9" style="265" customWidth="1"/>
    <col min="9495" max="9495" width="7.140625" style="265" customWidth="1"/>
    <col min="9496" max="9496" width="10.28515625" style="265" customWidth="1"/>
    <col min="9497" max="9497" width="6.42578125" style="265" customWidth="1"/>
    <col min="9498" max="9498" width="9.7109375" style="265" customWidth="1"/>
    <col min="9499" max="9499" width="6.28515625" style="265" customWidth="1"/>
    <col min="9500" max="9500" width="13" style="265" customWidth="1"/>
    <col min="9501" max="9501" width="6.85546875" style="265" customWidth="1"/>
    <col min="9502" max="9502" width="12.28515625" style="265" customWidth="1"/>
    <col min="9503" max="9503" width="7.7109375" style="265" customWidth="1"/>
    <col min="9504" max="9504" width="10.42578125" style="265" customWidth="1"/>
    <col min="9505" max="9505" width="11.28515625" style="265" customWidth="1"/>
    <col min="9506" max="9506" width="12.28515625" style="265" customWidth="1"/>
    <col min="9507" max="9507" width="5.140625" style="265" customWidth="1"/>
    <col min="9508" max="9508" width="9" style="265" customWidth="1"/>
    <col min="9509" max="9509" width="5.140625" style="265" customWidth="1"/>
    <col min="9510" max="9510" width="9.85546875" style="265" customWidth="1"/>
    <col min="9511" max="9511" width="5.140625" style="265" customWidth="1"/>
    <col min="9512" max="9512" width="6.85546875" style="265" customWidth="1"/>
    <col min="9513" max="9513" width="5.140625" style="265" customWidth="1"/>
    <col min="9514" max="9514" width="10.7109375" style="265" customWidth="1"/>
    <col min="9515" max="9515" width="6.85546875" style="265" customWidth="1"/>
    <col min="9516" max="9516" width="12" style="265" customWidth="1"/>
    <col min="9517" max="9517" width="0" style="265" hidden="1" customWidth="1"/>
    <col min="9518" max="9518" width="8.42578125" style="265" customWidth="1"/>
    <col min="9519" max="9519" width="12" style="265" customWidth="1"/>
    <col min="9520" max="9520" width="8.28515625" style="265" customWidth="1"/>
    <col min="9521" max="9521" width="15.28515625" style="265" customWidth="1"/>
    <col min="9522" max="9522" width="13.5703125" style="265" customWidth="1"/>
    <col min="9523" max="9524" width="0" style="265" hidden="1" customWidth="1"/>
    <col min="9525" max="9526" width="15.7109375" style="265" customWidth="1"/>
    <col min="9527" max="9527" width="17.28515625" style="265" customWidth="1"/>
    <col min="9528" max="9528" width="0" style="265" hidden="1" customWidth="1"/>
    <col min="9529" max="9529" width="18.28515625" style="265" customWidth="1"/>
    <col min="9530" max="9530" width="17.42578125" style="265" customWidth="1"/>
    <col min="9531" max="9531" width="10.7109375" style="265" bestFit="1" customWidth="1"/>
    <col min="9532" max="9532" width="11" style="265" bestFit="1" customWidth="1"/>
    <col min="9533" max="9682" width="8.85546875" style="265"/>
    <col min="9683" max="9683" width="4.7109375" style="265" customWidth="1"/>
    <col min="9684" max="9686" width="16" style="265" customWidth="1"/>
    <col min="9687" max="9687" width="9.42578125" style="265" customWidth="1"/>
    <col min="9688" max="9688" width="10.28515625" style="265" customWidth="1"/>
    <col min="9689" max="9689" width="7.85546875" style="265" customWidth="1"/>
    <col min="9690" max="9690" width="9.7109375" style="265" customWidth="1"/>
    <col min="9691" max="9691" width="6" style="265" customWidth="1"/>
    <col min="9692" max="9692" width="10.7109375" style="265" customWidth="1"/>
    <col min="9693" max="9693" width="8.28515625" style="265" customWidth="1"/>
    <col min="9694" max="9694" width="12.28515625" style="265" customWidth="1"/>
    <col min="9695" max="9695" width="6" style="265" customWidth="1"/>
    <col min="9696" max="9696" width="10.7109375" style="265" customWidth="1"/>
    <col min="9697" max="9697" width="6.85546875" style="265" customWidth="1"/>
    <col min="9698" max="9698" width="12" style="265" customWidth="1"/>
    <col min="9699" max="9699" width="5.140625" style="265" customWidth="1"/>
    <col min="9700" max="9700" width="9" style="265" customWidth="1"/>
    <col min="9701" max="9701" width="5.140625" style="265" customWidth="1"/>
    <col min="9702" max="9702" width="9.85546875" style="265" customWidth="1"/>
    <col min="9703" max="9703" width="5.140625" style="265" customWidth="1"/>
    <col min="9704" max="9704" width="9" style="265" customWidth="1"/>
    <col min="9705" max="9705" width="5.140625" style="265" customWidth="1"/>
    <col min="9706" max="9708" width="9.85546875" style="265" customWidth="1"/>
    <col min="9709" max="9709" width="7.140625" style="265" customWidth="1"/>
    <col min="9710" max="9710" width="10.28515625" style="265" customWidth="1"/>
    <col min="9711" max="9711" width="6.42578125" style="265" customWidth="1"/>
    <col min="9712" max="9712" width="9.7109375" style="265" customWidth="1"/>
    <col min="9713" max="9713" width="6.28515625" style="265" customWidth="1"/>
    <col min="9714" max="9714" width="9" style="265" customWidth="1"/>
    <col min="9715" max="9715" width="8" style="265" customWidth="1"/>
    <col min="9716" max="9716" width="12.85546875" style="265" customWidth="1"/>
    <col min="9717" max="9717" width="5.140625" style="265" customWidth="1"/>
    <col min="9718" max="9718" width="9.85546875" style="265" customWidth="1"/>
    <col min="9719" max="9719" width="6.7109375" style="265" customWidth="1"/>
    <col min="9720" max="9720" width="12.42578125" style="265" customWidth="1"/>
    <col min="9721" max="9721" width="5.140625" style="265" customWidth="1"/>
    <col min="9722" max="9722" width="9" style="265" customWidth="1"/>
    <col min="9723" max="9723" width="5.140625" style="265" customWidth="1"/>
    <col min="9724" max="9724" width="9.85546875" style="265" customWidth="1"/>
    <col min="9725" max="9725" width="5.140625" style="265" customWidth="1"/>
    <col min="9726" max="9726" width="6.85546875" style="265" customWidth="1"/>
    <col min="9727" max="9727" width="5.140625" style="265" customWidth="1"/>
    <col min="9728" max="9728" width="10.5703125" style="265" customWidth="1"/>
    <col min="9729" max="9730" width="9" style="265" customWidth="1"/>
    <col min="9731" max="9731" width="7.140625" style="265" customWidth="1"/>
    <col min="9732" max="9732" width="10.28515625" style="265" customWidth="1"/>
    <col min="9733" max="9733" width="6.42578125" style="265" customWidth="1"/>
    <col min="9734" max="9734" width="9.7109375" style="265" customWidth="1"/>
    <col min="9735" max="9735" width="6.28515625" style="265" customWidth="1"/>
    <col min="9736" max="9736" width="9" style="265" customWidth="1"/>
    <col min="9737" max="9737" width="5.140625" style="265" customWidth="1"/>
    <col min="9738" max="9738" width="9.85546875" style="265" customWidth="1"/>
    <col min="9739" max="9739" width="5.140625" style="265" customWidth="1"/>
    <col min="9740" max="9740" width="9.85546875" style="265" customWidth="1"/>
    <col min="9741" max="9741" width="5.140625" style="265" customWidth="1"/>
    <col min="9742" max="9742" width="9.85546875" style="265" customWidth="1"/>
    <col min="9743" max="9743" width="5.140625" style="265" customWidth="1"/>
    <col min="9744" max="9744" width="9" style="265" customWidth="1"/>
    <col min="9745" max="9745" width="5.140625" style="265" customWidth="1"/>
    <col min="9746" max="9746" width="9.85546875" style="265" customWidth="1"/>
    <col min="9747" max="9747" width="5.140625" style="265" customWidth="1"/>
    <col min="9748" max="9748" width="6.85546875" style="265" customWidth="1"/>
    <col min="9749" max="9749" width="5.140625" style="265" customWidth="1"/>
    <col min="9750" max="9750" width="9" style="265" customWidth="1"/>
    <col min="9751" max="9751" width="7.140625" style="265" customWidth="1"/>
    <col min="9752" max="9752" width="10.28515625" style="265" customWidth="1"/>
    <col min="9753" max="9753" width="6.42578125" style="265" customWidth="1"/>
    <col min="9754" max="9754" width="9.7109375" style="265" customWidth="1"/>
    <col min="9755" max="9755" width="6.28515625" style="265" customWidth="1"/>
    <col min="9756" max="9756" width="13" style="265" customWidth="1"/>
    <col min="9757" max="9757" width="6.85546875" style="265" customWidth="1"/>
    <col min="9758" max="9758" width="12.28515625" style="265" customWidth="1"/>
    <col min="9759" max="9759" width="7.7109375" style="265" customWidth="1"/>
    <col min="9760" max="9760" width="10.42578125" style="265" customWidth="1"/>
    <col min="9761" max="9761" width="11.28515625" style="265" customWidth="1"/>
    <col min="9762" max="9762" width="12.28515625" style="265" customWidth="1"/>
    <col min="9763" max="9763" width="5.140625" style="265" customWidth="1"/>
    <col min="9764" max="9764" width="9" style="265" customWidth="1"/>
    <col min="9765" max="9765" width="5.140625" style="265" customWidth="1"/>
    <col min="9766" max="9766" width="9.85546875" style="265" customWidth="1"/>
    <col min="9767" max="9767" width="5.140625" style="265" customWidth="1"/>
    <col min="9768" max="9768" width="6.85546875" style="265" customWidth="1"/>
    <col min="9769" max="9769" width="5.140625" style="265" customWidth="1"/>
    <col min="9770" max="9770" width="10.7109375" style="265" customWidth="1"/>
    <col min="9771" max="9771" width="6.85546875" style="265" customWidth="1"/>
    <col min="9772" max="9772" width="12" style="265" customWidth="1"/>
    <col min="9773" max="9773" width="0" style="265" hidden="1" customWidth="1"/>
    <col min="9774" max="9774" width="8.42578125" style="265" customWidth="1"/>
    <col min="9775" max="9775" width="12" style="265" customWidth="1"/>
    <col min="9776" max="9776" width="8.28515625" style="265" customWidth="1"/>
    <col min="9777" max="9777" width="15.28515625" style="265" customWidth="1"/>
    <col min="9778" max="9778" width="13.5703125" style="265" customWidth="1"/>
    <col min="9779" max="9780" width="0" style="265" hidden="1" customWidth="1"/>
    <col min="9781" max="9782" width="15.7109375" style="265" customWidth="1"/>
    <col min="9783" max="9783" width="17.28515625" style="265" customWidth="1"/>
    <col min="9784" max="9784" width="0" style="265" hidden="1" customWidth="1"/>
    <col min="9785" max="9785" width="18.28515625" style="265" customWidth="1"/>
    <col min="9786" max="9786" width="17.42578125" style="265" customWidth="1"/>
    <col min="9787" max="9787" width="10.7109375" style="265" bestFit="1" customWidth="1"/>
    <col min="9788" max="9788" width="11" style="265" bestFit="1" customWidth="1"/>
    <col min="9789" max="9938" width="8.85546875" style="265"/>
    <col min="9939" max="9939" width="4.7109375" style="265" customWidth="1"/>
    <col min="9940" max="9942" width="16" style="265" customWidth="1"/>
    <col min="9943" max="9943" width="9.42578125" style="265" customWidth="1"/>
    <col min="9944" max="9944" width="10.28515625" style="265" customWidth="1"/>
    <col min="9945" max="9945" width="7.85546875" style="265" customWidth="1"/>
    <col min="9946" max="9946" width="9.7109375" style="265" customWidth="1"/>
    <col min="9947" max="9947" width="6" style="265" customWidth="1"/>
    <col min="9948" max="9948" width="10.7109375" style="265" customWidth="1"/>
    <col min="9949" max="9949" width="8.28515625" style="265" customWidth="1"/>
    <col min="9950" max="9950" width="12.28515625" style="265" customWidth="1"/>
    <col min="9951" max="9951" width="6" style="265" customWidth="1"/>
    <col min="9952" max="9952" width="10.7109375" style="265" customWidth="1"/>
    <col min="9953" max="9953" width="6.85546875" style="265" customWidth="1"/>
    <col min="9954" max="9954" width="12" style="265" customWidth="1"/>
    <col min="9955" max="9955" width="5.140625" style="265" customWidth="1"/>
    <col min="9956" max="9956" width="9" style="265" customWidth="1"/>
    <col min="9957" max="9957" width="5.140625" style="265" customWidth="1"/>
    <col min="9958" max="9958" width="9.85546875" style="265" customWidth="1"/>
    <col min="9959" max="9959" width="5.140625" style="265" customWidth="1"/>
    <col min="9960" max="9960" width="9" style="265" customWidth="1"/>
    <col min="9961" max="9961" width="5.140625" style="265" customWidth="1"/>
    <col min="9962" max="9964" width="9.85546875" style="265" customWidth="1"/>
    <col min="9965" max="9965" width="7.140625" style="265" customWidth="1"/>
    <col min="9966" max="9966" width="10.28515625" style="265" customWidth="1"/>
    <col min="9967" max="9967" width="6.42578125" style="265" customWidth="1"/>
    <col min="9968" max="9968" width="9.7109375" style="265" customWidth="1"/>
    <col min="9969" max="9969" width="6.28515625" style="265" customWidth="1"/>
    <col min="9970" max="9970" width="9" style="265" customWidth="1"/>
    <col min="9971" max="9971" width="8" style="265" customWidth="1"/>
    <col min="9972" max="9972" width="12.85546875" style="265" customWidth="1"/>
    <col min="9973" max="9973" width="5.140625" style="265" customWidth="1"/>
    <col min="9974" max="9974" width="9.85546875" style="265" customWidth="1"/>
    <col min="9975" max="9975" width="6.7109375" style="265" customWidth="1"/>
    <col min="9976" max="9976" width="12.42578125" style="265" customWidth="1"/>
    <col min="9977" max="9977" width="5.140625" style="265" customWidth="1"/>
    <col min="9978" max="9978" width="9" style="265" customWidth="1"/>
    <col min="9979" max="9979" width="5.140625" style="265" customWidth="1"/>
    <col min="9980" max="9980" width="9.85546875" style="265" customWidth="1"/>
    <col min="9981" max="9981" width="5.140625" style="265" customWidth="1"/>
    <col min="9982" max="9982" width="6.85546875" style="265" customWidth="1"/>
    <col min="9983" max="9983" width="5.140625" style="265" customWidth="1"/>
    <col min="9984" max="9984" width="10.5703125" style="265" customWidth="1"/>
    <col min="9985" max="9986" width="9" style="265" customWidth="1"/>
    <col min="9987" max="9987" width="7.140625" style="265" customWidth="1"/>
    <col min="9988" max="9988" width="10.28515625" style="265" customWidth="1"/>
    <col min="9989" max="9989" width="6.42578125" style="265" customWidth="1"/>
    <col min="9990" max="9990" width="9.7109375" style="265" customWidth="1"/>
    <col min="9991" max="9991" width="6.28515625" style="265" customWidth="1"/>
    <col min="9992" max="9992" width="9" style="265" customWidth="1"/>
    <col min="9993" max="9993" width="5.140625" style="265" customWidth="1"/>
    <col min="9994" max="9994" width="9.85546875" style="265" customWidth="1"/>
    <col min="9995" max="9995" width="5.140625" style="265" customWidth="1"/>
    <col min="9996" max="9996" width="9.85546875" style="265" customWidth="1"/>
    <col min="9997" max="9997" width="5.140625" style="265" customWidth="1"/>
    <col min="9998" max="9998" width="9.85546875" style="265" customWidth="1"/>
    <col min="9999" max="9999" width="5.140625" style="265" customWidth="1"/>
    <col min="10000" max="10000" width="9" style="265" customWidth="1"/>
    <col min="10001" max="10001" width="5.140625" style="265" customWidth="1"/>
    <col min="10002" max="10002" width="9.85546875" style="265" customWidth="1"/>
    <col min="10003" max="10003" width="5.140625" style="265" customWidth="1"/>
    <col min="10004" max="10004" width="6.85546875" style="265" customWidth="1"/>
    <col min="10005" max="10005" width="5.140625" style="265" customWidth="1"/>
    <col min="10006" max="10006" width="9" style="265" customWidth="1"/>
    <col min="10007" max="10007" width="7.140625" style="265" customWidth="1"/>
    <col min="10008" max="10008" width="10.28515625" style="265" customWidth="1"/>
    <col min="10009" max="10009" width="6.42578125" style="265" customWidth="1"/>
    <col min="10010" max="10010" width="9.7109375" style="265" customWidth="1"/>
    <col min="10011" max="10011" width="6.28515625" style="265" customWidth="1"/>
    <col min="10012" max="10012" width="13" style="265" customWidth="1"/>
    <col min="10013" max="10013" width="6.85546875" style="265" customWidth="1"/>
    <col min="10014" max="10014" width="12.28515625" style="265" customWidth="1"/>
    <col min="10015" max="10015" width="7.7109375" style="265" customWidth="1"/>
    <col min="10016" max="10016" width="10.42578125" style="265" customWidth="1"/>
    <col min="10017" max="10017" width="11.28515625" style="265" customWidth="1"/>
    <col min="10018" max="10018" width="12.28515625" style="265" customWidth="1"/>
    <col min="10019" max="10019" width="5.140625" style="265" customWidth="1"/>
    <col min="10020" max="10020" width="9" style="265" customWidth="1"/>
    <col min="10021" max="10021" width="5.140625" style="265" customWidth="1"/>
    <col min="10022" max="10022" width="9.85546875" style="265" customWidth="1"/>
    <col min="10023" max="10023" width="5.140625" style="265" customWidth="1"/>
    <col min="10024" max="10024" width="6.85546875" style="265" customWidth="1"/>
    <col min="10025" max="10025" width="5.140625" style="265" customWidth="1"/>
    <col min="10026" max="10026" width="10.7109375" style="265" customWidth="1"/>
    <col min="10027" max="10027" width="6.85546875" style="265" customWidth="1"/>
    <col min="10028" max="10028" width="12" style="265" customWidth="1"/>
    <col min="10029" max="10029" width="0" style="265" hidden="1" customWidth="1"/>
    <col min="10030" max="10030" width="8.42578125" style="265" customWidth="1"/>
    <col min="10031" max="10031" width="12" style="265" customWidth="1"/>
    <col min="10032" max="10032" width="8.28515625" style="265" customWidth="1"/>
    <col min="10033" max="10033" width="15.28515625" style="265" customWidth="1"/>
    <col min="10034" max="10034" width="13.5703125" style="265" customWidth="1"/>
    <col min="10035" max="10036" width="0" style="265" hidden="1" customWidth="1"/>
    <col min="10037" max="10038" width="15.7109375" style="265" customWidth="1"/>
    <col min="10039" max="10039" width="17.28515625" style="265" customWidth="1"/>
    <col min="10040" max="10040" width="0" style="265" hidden="1" customWidth="1"/>
    <col min="10041" max="10041" width="18.28515625" style="265" customWidth="1"/>
    <col min="10042" max="10042" width="17.42578125" style="265" customWidth="1"/>
    <col min="10043" max="10043" width="10.7109375" style="265" bestFit="1" customWidth="1"/>
    <col min="10044" max="10044" width="11" style="265" bestFit="1" customWidth="1"/>
    <col min="10045" max="10194" width="8.85546875" style="265"/>
    <col min="10195" max="10195" width="4.7109375" style="265" customWidth="1"/>
    <col min="10196" max="10198" width="16" style="265" customWidth="1"/>
    <col min="10199" max="10199" width="9.42578125" style="265" customWidth="1"/>
    <col min="10200" max="10200" width="10.28515625" style="265" customWidth="1"/>
    <col min="10201" max="10201" width="7.85546875" style="265" customWidth="1"/>
    <col min="10202" max="10202" width="9.7109375" style="265" customWidth="1"/>
    <col min="10203" max="10203" width="6" style="265" customWidth="1"/>
    <col min="10204" max="10204" width="10.7109375" style="265" customWidth="1"/>
    <col min="10205" max="10205" width="8.28515625" style="265" customWidth="1"/>
    <col min="10206" max="10206" width="12.28515625" style="265" customWidth="1"/>
    <col min="10207" max="10207" width="6" style="265" customWidth="1"/>
    <col min="10208" max="10208" width="10.7109375" style="265" customWidth="1"/>
    <col min="10209" max="10209" width="6.85546875" style="265" customWidth="1"/>
    <col min="10210" max="10210" width="12" style="265" customWidth="1"/>
    <col min="10211" max="10211" width="5.140625" style="265" customWidth="1"/>
    <col min="10212" max="10212" width="9" style="265" customWidth="1"/>
    <col min="10213" max="10213" width="5.140625" style="265" customWidth="1"/>
    <col min="10214" max="10214" width="9.85546875" style="265" customWidth="1"/>
    <col min="10215" max="10215" width="5.140625" style="265" customWidth="1"/>
    <col min="10216" max="10216" width="9" style="265" customWidth="1"/>
    <col min="10217" max="10217" width="5.140625" style="265" customWidth="1"/>
    <col min="10218" max="10220" width="9.85546875" style="265" customWidth="1"/>
    <col min="10221" max="10221" width="7.140625" style="265" customWidth="1"/>
    <col min="10222" max="10222" width="10.28515625" style="265" customWidth="1"/>
    <col min="10223" max="10223" width="6.42578125" style="265" customWidth="1"/>
    <col min="10224" max="10224" width="9.7109375" style="265" customWidth="1"/>
    <col min="10225" max="10225" width="6.28515625" style="265" customWidth="1"/>
    <col min="10226" max="10226" width="9" style="265" customWidth="1"/>
    <col min="10227" max="10227" width="8" style="265" customWidth="1"/>
    <col min="10228" max="10228" width="12.85546875" style="265" customWidth="1"/>
    <col min="10229" max="10229" width="5.140625" style="265" customWidth="1"/>
    <col min="10230" max="10230" width="9.85546875" style="265" customWidth="1"/>
    <col min="10231" max="10231" width="6.7109375" style="265" customWidth="1"/>
    <col min="10232" max="10232" width="12.42578125" style="265" customWidth="1"/>
    <col min="10233" max="10233" width="5.140625" style="265" customWidth="1"/>
    <col min="10234" max="10234" width="9" style="265" customWidth="1"/>
    <col min="10235" max="10235" width="5.140625" style="265" customWidth="1"/>
    <col min="10236" max="10236" width="9.85546875" style="265" customWidth="1"/>
    <col min="10237" max="10237" width="5.140625" style="265" customWidth="1"/>
    <col min="10238" max="10238" width="6.85546875" style="265" customWidth="1"/>
    <col min="10239" max="10239" width="5.140625" style="265" customWidth="1"/>
    <col min="10240" max="10240" width="10.5703125" style="265" customWidth="1"/>
    <col min="10241" max="10242" width="9" style="265" customWidth="1"/>
    <col min="10243" max="10243" width="7.140625" style="265" customWidth="1"/>
    <col min="10244" max="10244" width="10.28515625" style="265" customWidth="1"/>
    <col min="10245" max="10245" width="6.42578125" style="265" customWidth="1"/>
    <col min="10246" max="10246" width="9.7109375" style="265" customWidth="1"/>
    <col min="10247" max="10247" width="6.28515625" style="265" customWidth="1"/>
    <col min="10248" max="10248" width="9" style="265" customWidth="1"/>
    <col min="10249" max="10249" width="5.140625" style="265" customWidth="1"/>
    <col min="10250" max="10250" width="9.85546875" style="265" customWidth="1"/>
    <col min="10251" max="10251" width="5.140625" style="265" customWidth="1"/>
    <col min="10252" max="10252" width="9.85546875" style="265" customWidth="1"/>
    <col min="10253" max="10253" width="5.140625" style="265" customWidth="1"/>
    <col min="10254" max="10254" width="9.85546875" style="265" customWidth="1"/>
    <col min="10255" max="10255" width="5.140625" style="265" customWidth="1"/>
    <col min="10256" max="10256" width="9" style="265" customWidth="1"/>
    <col min="10257" max="10257" width="5.140625" style="265" customWidth="1"/>
    <col min="10258" max="10258" width="9.85546875" style="265" customWidth="1"/>
    <col min="10259" max="10259" width="5.140625" style="265" customWidth="1"/>
    <col min="10260" max="10260" width="6.85546875" style="265" customWidth="1"/>
    <col min="10261" max="10261" width="5.140625" style="265" customWidth="1"/>
    <col min="10262" max="10262" width="9" style="265" customWidth="1"/>
    <col min="10263" max="10263" width="7.140625" style="265" customWidth="1"/>
    <col min="10264" max="10264" width="10.28515625" style="265" customWidth="1"/>
    <col min="10265" max="10265" width="6.42578125" style="265" customWidth="1"/>
    <col min="10266" max="10266" width="9.7109375" style="265" customWidth="1"/>
    <col min="10267" max="10267" width="6.28515625" style="265" customWidth="1"/>
    <col min="10268" max="10268" width="13" style="265" customWidth="1"/>
    <col min="10269" max="10269" width="6.85546875" style="265" customWidth="1"/>
    <col min="10270" max="10270" width="12.28515625" style="265" customWidth="1"/>
    <col min="10271" max="10271" width="7.7109375" style="265" customWidth="1"/>
    <col min="10272" max="10272" width="10.42578125" style="265" customWidth="1"/>
    <col min="10273" max="10273" width="11.28515625" style="265" customWidth="1"/>
    <col min="10274" max="10274" width="12.28515625" style="265" customWidth="1"/>
    <col min="10275" max="10275" width="5.140625" style="265" customWidth="1"/>
    <col min="10276" max="10276" width="9" style="265" customWidth="1"/>
    <col min="10277" max="10277" width="5.140625" style="265" customWidth="1"/>
    <col min="10278" max="10278" width="9.85546875" style="265" customWidth="1"/>
    <col min="10279" max="10279" width="5.140625" style="265" customWidth="1"/>
    <col min="10280" max="10280" width="6.85546875" style="265" customWidth="1"/>
    <col min="10281" max="10281" width="5.140625" style="265" customWidth="1"/>
    <col min="10282" max="10282" width="10.7109375" style="265" customWidth="1"/>
    <col min="10283" max="10283" width="6.85546875" style="265" customWidth="1"/>
    <col min="10284" max="10284" width="12" style="265" customWidth="1"/>
    <col min="10285" max="10285" width="0" style="265" hidden="1" customWidth="1"/>
    <col min="10286" max="10286" width="8.42578125" style="265" customWidth="1"/>
    <col min="10287" max="10287" width="12" style="265" customWidth="1"/>
    <col min="10288" max="10288" width="8.28515625" style="265" customWidth="1"/>
    <col min="10289" max="10289" width="15.28515625" style="265" customWidth="1"/>
    <col min="10290" max="10290" width="13.5703125" style="265" customWidth="1"/>
    <col min="10291" max="10292" width="0" style="265" hidden="1" customWidth="1"/>
    <col min="10293" max="10294" width="15.7109375" style="265" customWidth="1"/>
    <col min="10295" max="10295" width="17.28515625" style="265" customWidth="1"/>
    <col min="10296" max="10296" width="0" style="265" hidden="1" customWidth="1"/>
    <col min="10297" max="10297" width="18.28515625" style="265" customWidth="1"/>
    <col min="10298" max="10298" width="17.42578125" style="265" customWidth="1"/>
    <col min="10299" max="10299" width="10.7109375" style="265" bestFit="1" customWidth="1"/>
    <col min="10300" max="10300" width="11" style="265" bestFit="1" customWidth="1"/>
    <col min="10301" max="10450" width="8.85546875" style="265"/>
    <col min="10451" max="10451" width="4.7109375" style="265" customWidth="1"/>
    <col min="10452" max="10454" width="16" style="265" customWidth="1"/>
    <col min="10455" max="10455" width="9.42578125" style="265" customWidth="1"/>
    <col min="10456" max="10456" width="10.28515625" style="265" customWidth="1"/>
    <col min="10457" max="10457" width="7.85546875" style="265" customWidth="1"/>
    <col min="10458" max="10458" width="9.7109375" style="265" customWidth="1"/>
    <col min="10459" max="10459" width="6" style="265" customWidth="1"/>
    <col min="10460" max="10460" width="10.7109375" style="265" customWidth="1"/>
    <col min="10461" max="10461" width="8.28515625" style="265" customWidth="1"/>
    <col min="10462" max="10462" width="12.28515625" style="265" customWidth="1"/>
    <col min="10463" max="10463" width="6" style="265" customWidth="1"/>
    <col min="10464" max="10464" width="10.7109375" style="265" customWidth="1"/>
    <col min="10465" max="10465" width="6.85546875" style="265" customWidth="1"/>
    <col min="10466" max="10466" width="12" style="265" customWidth="1"/>
    <col min="10467" max="10467" width="5.140625" style="265" customWidth="1"/>
    <col min="10468" max="10468" width="9" style="265" customWidth="1"/>
    <col min="10469" max="10469" width="5.140625" style="265" customWidth="1"/>
    <col min="10470" max="10470" width="9.85546875" style="265" customWidth="1"/>
    <col min="10471" max="10471" width="5.140625" style="265" customWidth="1"/>
    <col min="10472" max="10472" width="9" style="265" customWidth="1"/>
    <col min="10473" max="10473" width="5.140625" style="265" customWidth="1"/>
    <col min="10474" max="10476" width="9.85546875" style="265" customWidth="1"/>
    <col min="10477" max="10477" width="7.140625" style="265" customWidth="1"/>
    <col min="10478" max="10478" width="10.28515625" style="265" customWidth="1"/>
    <col min="10479" max="10479" width="6.42578125" style="265" customWidth="1"/>
    <col min="10480" max="10480" width="9.7109375" style="265" customWidth="1"/>
    <col min="10481" max="10481" width="6.28515625" style="265" customWidth="1"/>
    <col min="10482" max="10482" width="9" style="265" customWidth="1"/>
    <col min="10483" max="10483" width="8" style="265" customWidth="1"/>
    <col min="10484" max="10484" width="12.85546875" style="265" customWidth="1"/>
    <col min="10485" max="10485" width="5.140625" style="265" customWidth="1"/>
    <col min="10486" max="10486" width="9.85546875" style="265" customWidth="1"/>
    <col min="10487" max="10487" width="6.7109375" style="265" customWidth="1"/>
    <col min="10488" max="10488" width="12.42578125" style="265" customWidth="1"/>
    <col min="10489" max="10489" width="5.140625" style="265" customWidth="1"/>
    <col min="10490" max="10490" width="9" style="265" customWidth="1"/>
    <col min="10491" max="10491" width="5.140625" style="265" customWidth="1"/>
    <col min="10492" max="10492" width="9.85546875" style="265" customWidth="1"/>
    <col min="10493" max="10493" width="5.140625" style="265" customWidth="1"/>
    <col min="10494" max="10494" width="6.85546875" style="265" customWidth="1"/>
    <col min="10495" max="10495" width="5.140625" style="265" customWidth="1"/>
    <col min="10496" max="10496" width="10.5703125" style="265" customWidth="1"/>
    <col min="10497" max="10498" width="9" style="265" customWidth="1"/>
    <col min="10499" max="10499" width="7.140625" style="265" customWidth="1"/>
    <col min="10500" max="10500" width="10.28515625" style="265" customWidth="1"/>
    <col min="10501" max="10501" width="6.42578125" style="265" customWidth="1"/>
    <col min="10502" max="10502" width="9.7109375" style="265" customWidth="1"/>
    <col min="10503" max="10503" width="6.28515625" style="265" customWidth="1"/>
    <col min="10504" max="10504" width="9" style="265" customWidth="1"/>
    <col min="10505" max="10505" width="5.140625" style="265" customWidth="1"/>
    <col min="10506" max="10506" width="9.85546875" style="265" customWidth="1"/>
    <col min="10507" max="10507" width="5.140625" style="265" customWidth="1"/>
    <col min="10508" max="10508" width="9.85546875" style="265" customWidth="1"/>
    <col min="10509" max="10509" width="5.140625" style="265" customWidth="1"/>
    <col min="10510" max="10510" width="9.85546875" style="265" customWidth="1"/>
    <col min="10511" max="10511" width="5.140625" style="265" customWidth="1"/>
    <col min="10512" max="10512" width="9" style="265" customWidth="1"/>
    <col min="10513" max="10513" width="5.140625" style="265" customWidth="1"/>
    <col min="10514" max="10514" width="9.85546875" style="265" customWidth="1"/>
    <col min="10515" max="10515" width="5.140625" style="265" customWidth="1"/>
    <col min="10516" max="10516" width="6.85546875" style="265" customWidth="1"/>
    <col min="10517" max="10517" width="5.140625" style="265" customWidth="1"/>
    <col min="10518" max="10518" width="9" style="265" customWidth="1"/>
    <col min="10519" max="10519" width="7.140625" style="265" customWidth="1"/>
    <col min="10520" max="10520" width="10.28515625" style="265" customWidth="1"/>
    <col min="10521" max="10521" width="6.42578125" style="265" customWidth="1"/>
    <col min="10522" max="10522" width="9.7109375" style="265" customWidth="1"/>
    <col min="10523" max="10523" width="6.28515625" style="265" customWidth="1"/>
    <col min="10524" max="10524" width="13" style="265" customWidth="1"/>
    <col min="10525" max="10525" width="6.85546875" style="265" customWidth="1"/>
    <col min="10526" max="10526" width="12.28515625" style="265" customWidth="1"/>
    <col min="10527" max="10527" width="7.7109375" style="265" customWidth="1"/>
    <col min="10528" max="10528" width="10.42578125" style="265" customWidth="1"/>
    <col min="10529" max="10529" width="11.28515625" style="265" customWidth="1"/>
    <col min="10530" max="10530" width="12.28515625" style="265" customWidth="1"/>
    <col min="10531" max="10531" width="5.140625" style="265" customWidth="1"/>
    <col min="10532" max="10532" width="9" style="265" customWidth="1"/>
    <col min="10533" max="10533" width="5.140625" style="265" customWidth="1"/>
    <col min="10534" max="10534" width="9.85546875" style="265" customWidth="1"/>
    <col min="10535" max="10535" width="5.140625" style="265" customWidth="1"/>
    <col min="10536" max="10536" width="6.85546875" style="265" customWidth="1"/>
    <col min="10537" max="10537" width="5.140625" style="265" customWidth="1"/>
    <col min="10538" max="10538" width="10.7109375" style="265" customWidth="1"/>
    <col min="10539" max="10539" width="6.85546875" style="265" customWidth="1"/>
    <col min="10540" max="10540" width="12" style="265" customWidth="1"/>
    <col min="10541" max="10541" width="0" style="265" hidden="1" customWidth="1"/>
    <col min="10542" max="10542" width="8.42578125" style="265" customWidth="1"/>
    <col min="10543" max="10543" width="12" style="265" customWidth="1"/>
    <col min="10544" max="10544" width="8.28515625" style="265" customWidth="1"/>
    <col min="10545" max="10545" width="15.28515625" style="265" customWidth="1"/>
    <col min="10546" max="10546" width="13.5703125" style="265" customWidth="1"/>
    <col min="10547" max="10548" width="0" style="265" hidden="1" customWidth="1"/>
    <col min="10549" max="10550" width="15.7109375" style="265" customWidth="1"/>
    <col min="10551" max="10551" width="17.28515625" style="265" customWidth="1"/>
    <col min="10552" max="10552" width="0" style="265" hidden="1" customWidth="1"/>
    <col min="10553" max="10553" width="18.28515625" style="265" customWidth="1"/>
    <col min="10554" max="10554" width="17.42578125" style="265" customWidth="1"/>
    <col min="10555" max="10555" width="10.7109375" style="265" bestFit="1" customWidth="1"/>
    <col min="10556" max="10556" width="11" style="265" bestFit="1" customWidth="1"/>
    <col min="10557" max="10706" width="8.85546875" style="265"/>
    <col min="10707" max="10707" width="4.7109375" style="265" customWidth="1"/>
    <col min="10708" max="10710" width="16" style="265" customWidth="1"/>
    <col min="10711" max="10711" width="9.42578125" style="265" customWidth="1"/>
    <col min="10712" max="10712" width="10.28515625" style="265" customWidth="1"/>
    <col min="10713" max="10713" width="7.85546875" style="265" customWidth="1"/>
    <col min="10714" max="10714" width="9.7109375" style="265" customWidth="1"/>
    <col min="10715" max="10715" width="6" style="265" customWidth="1"/>
    <col min="10716" max="10716" width="10.7109375" style="265" customWidth="1"/>
    <col min="10717" max="10717" width="8.28515625" style="265" customWidth="1"/>
    <col min="10718" max="10718" width="12.28515625" style="265" customWidth="1"/>
    <col min="10719" max="10719" width="6" style="265" customWidth="1"/>
    <col min="10720" max="10720" width="10.7109375" style="265" customWidth="1"/>
    <col min="10721" max="10721" width="6.85546875" style="265" customWidth="1"/>
    <col min="10722" max="10722" width="12" style="265" customWidth="1"/>
    <col min="10723" max="10723" width="5.140625" style="265" customWidth="1"/>
    <col min="10724" max="10724" width="9" style="265" customWidth="1"/>
    <col min="10725" max="10725" width="5.140625" style="265" customWidth="1"/>
    <col min="10726" max="10726" width="9.85546875" style="265" customWidth="1"/>
    <col min="10727" max="10727" width="5.140625" style="265" customWidth="1"/>
    <col min="10728" max="10728" width="9" style="265" customWidth="1"/>
    <col min="10729" max="10729" width="5.140625" style="265" customWidth="1"/>
    <col min="10730" max="10732" width="9.85546875" style="265" customWidth="1"/>
    <col min="10733" max="10733" width="7.140625" style="265" customWidth="1"/>
    <col min="10734" max="10734" width="10.28515625" style="265" customWidth="1"/>
    <col min="10735" max="10735" width="6.42578125" style="265" customWidth="1"/>
    <col min="10736" max="10736" width="9.7109375" style="265" customWidth="1"/>
    <col min="10737" max="10737" width="6.28515625" style="265" customWidth="1"/>
    <col min="10738" max="10738" width="9" style="265" customWidth="1"/>
    <col min="10739" max="10739" width="8" style="265" customWidth="1"/>
    <col min="10740" max="10740" width="12.85546875" style="265" customWidth="1"/>
    <col min="10741" max="10741" width="5.140625" style="265" customWidth="1"/>
    <col min="10742" max="10742" width="9.85546875" style="265" customWidth="1"/>
    <col min="10743" max="10743" width="6.7109375" style="265" customWidth="1"/>
    <col min="10744" max="10744" width="12.42578125" style="265" customWidth="1"/>
    <col min="10745" max="10745" width="5.140625" style="265" customWidth="1"/>
    <col min="10746" max="10746" width="9" style="265" customWidth="1"/>
    <col min="10747" max="10747" width="5.140625" style="265" customWidth="1"/>
    <col min="10748" max="10748" width="9.85546875" style="265" customWidth="1"/>
    <col min="10749" max="10749" width="5.140625" style="265" customWidth="1"/>
    <col min="10750" max="10750" width="6.85546875" style="265" customWidth="1"/>
    <col min="10751" max="10751" width="5.140625" style="265" customWidth="1"/>
    <col min="10752" max="10752" width="10.5703125" style="265" customWidth="1"/>
    <col min="10753" max="10754" width="9" style="265" customWidth="1"/>
    <col min="10755" max="10755" width="7.140625" style="265" customWidth="1"/>
    <col min="10756" max="10756" width="10.28515625" style="265" customWidth="1"/>
    <col min="10757" max="10757" width="6.42578125" style="265" customWidth="1"/>
    <col min="10758" max="10758" width="9.7109375" style="265" customWidth="1"/>
    <col min="10759" max="10759" width="6.28515625" style="265" customWidth="1"/>
    <col min="10760" max="10760" width="9" style="265" customWidth="1"/>
    <col min="10761" max="10761" width="5.140625" style="265" customWidth="1"/>
    <col min="10762" max="10762" width="9.85546875" style="265" customWidth="1"/>
    <col min="10763" max="10763" width="5.140625" style="265" customWidth="1"/>
    <col min="10764" max="10764" width="9.85546875" style="265" customWidth="1"/>
    <col min="10765" max="10765" width="5.140625" style="265" customWidth="1"/>
    <col min="10766" max="10766" width="9.85546875" style="265" customWidth="1"/>
    <col min="10767" max="10767" width="5.140625" style="265" customWidth="1"/>
    <col min="10768" max="10768" width="9" style="265" customWidth="1"/>
    <col min="10769" max="10769" width="5.140625" style="265" customWidth="1"/>
    <col min="10770" max="10770" width="9.85546875" style="265" customWidth="1"/>
    <col min="10771" max="10771" width="5.140625" style="265" customWidth="1"/>
    <col min="10772" max="10772" width="6.85546875" style="265" customWidth="1"/>
    <col min="10773" max="10773" width="5.140625" style="265" customWidth="1"/>
    <col min="10774" max="10774" width="9" style="265" customWidth="1"/>
    <col min="10775" max="10775" width="7.140625" style="265" customWidth="1"/>
    <col min="10776" max="10776" width="10.28515625" style="265" customWidth="1"/>
    <col min="10777" max="10777" width="6.42578125" style="265" customWidth="1"/>
    <col min="10778" max="10778" width="9.7109375" style="265" customWidth="1"/>
    <col min="10779" max="10779" width="6.28515625" style="265" customWidth="1"/>
    <col min="10780" max="10780" width="13" style="265" customWidth="1"/>
    <col min="10781" max="10781" width="6.85546875" style="265" customWidth="1"/>
    <col min="10782" max="10782" width="12.28515625" style="265" customWidth="1"/>
    <col min="10783" max="10783" width="7.7109375" style="265" customWidth="1"/>
    <col min="10784" max="10784" width="10.42578125" style="265" customWidth="1"/>
    <col min="10785" max="10785" width="11.28515625" style="265" customWidth="1"/>
    <col min="10786" max="10786" width="12.28515625" style="265" customWidth="1"/>
    <col min="10787" max="10787" width="5.140625" style="265" customWidth="1"/>
    <col min="10788" max="10788" width="9" style="265" customWidth="1"/>
    <col min="10789" max="10789" width="5.140625" style="265" customWidth="1"/>
    <col min="10790" max="10790" width="9.85546875" style="265" customWidth="1"/>
    <col min="10791" max="10791" width="5.140625" style="265" customWidth="1"/>
    <col min="10792" max="10792" width="6.85546875" style="265" customWidth="1"/>
    <col min="10793" max="10793" width="5.140625" style="265" customWidth="1"/>
    <col min="10794" max="10794" width="10.7109375" style="265" customWidth="1"/>
    <col min="10795" max="10795" width="6.85546875" style="265" customWidth="1"/>
    <col min="10796" max="10796" width="12" style="265" customWidth="1"/>
    <col min="10797" max="10797" width="0" style="265" hidden="1" customWidth="1"/>
    <col min="10798" max="10798" width="8.42578125" style="265" customWidth="1"/>
    <col min="10799" max="10799" width="12" style="265" customWidth="1"/>
    <col min="10800" max="10800" width="8.28515625" style="265" customWidth="1"/>
    <col min="10801" max="10801" width="15.28515625" style="265" customWidth="1"/>
    <col min="10802" max="10802" width="13.5703125" style="265" customWidth="1"/>
    <col min="10803" max="10804" width="0" style="265" hidden="1" customWidth="1"/>
    <col min="10805" max="10806" width="15.7109375" style="265" customWidth="1"/>
    <col min="10807" max="10807" width="17.28515625" style="265" customWidth="1"/>
    <col min="10808" max="10808" width="0" style="265" hidden="1" customWidth="1"/>
    <col min="10809" max="10809" width="18.28515625" style="265" customWidth="1"/>
    <col min="10810" max="10810" width="17.42578125" style="265" customWidth="1"/>
    <col min="10811" max="10811" width="10.7109375" style="265" bestFit="1" customWidth="1"/>
    <col min="10812" max="10812" width="11" style="265" bestFit="1" customWidth="1"/>
    <col min="10813" max="10962" width="8.85546875" style="265"/>
    <col min="10963" max="10963" width="4.7109375" style="265" customWidth="1"/>
    <col min="10964" max="10966" width="16" style="265" customWidth="1"/>
    <col min="10967" max="10967" width="9.42578125" style="265" customWidth="1"/>
    <col min="10968" max="10968" width="10.28515625" style="265" customWidth="1"/>
    <col min="10969" max="10969" width="7.85546875" style="265" customWidth="1"/>
    <col min="10970" max="10970" width="9.7109375" style="265" customWidth="1"/>
    <col min="10971" max="10971" width="6" style="265" customWidth="1"/>
    <col min="10972" max="10972" width="10.7109375" style="265" customWidth="1"/>
    <col min="10973" max="10973" width="8.28515625" style="265" customWidth="1"/>
    <col min="10974" max="10974" width="12.28515625" style="265" customWidth="1"/>
    <col min="10975" max="10975" width="6" style="265" customWidth="1"/>
    <col min="10976" max="10976" width="10.7109375" style="265" customWidth="1"/>
    <col min="10977" max="10977" width="6.85546875" style="265" customWidth="1"/>
    <col min="10978" max="10978" width="12" style="265" customWidth="1"/>
    <col min="10979" max="10979" width="5.140625" style="265" customWidth="1"/>
    <col min="10980" max="10980" width="9" style="265" customWidth="1"/>
    <col min="10981" max="10981" width="5.140625" style="265" customWidth="1"/>
    <col min="10982" max="10982" width="9.85546875" style="265" customWidth="1"/>
    <col min="10983" max="10983" width="5.140625" style="265" customWidth="1"/>
    <col min="10984" max="10984" width="9" style="265" customWidth="1"/>
    <col min="10985" max="10985" width="5.140625" style="265" customWidth="1"/>
    <col min="10986" max="10988" width="9.85546875" style="265" customWidth="1"/>
    <col min="10989" max="10989" width="7.140625" style="265" customWidth="1"/>
    <col min="10990" max="10990" width="10.28515625" style="265" customWidth="1"/>
    <col min="10991" max="10991" width="6.42578125" style="265" customWidth="1"/>
    <col min="10992" max="10992" width="9.7109375" style="265" customWidth="1"/>
    <col min="10993" max="10993" width="6.28515625" style="265" customWidth="1"/>
    <col min="10994" max="10994" width="9" style="265" customWidth="1"/>
    <col min="10995" max="10995" width="8" style="265" customWidth="1"/>
    <col min="10996" max="10996" width="12.85546875" style="265" customWidth="1"/>
    <col min="10997" max="10997" width="5.140625" style="265" customWidth="1"/>
    <col min="10998" max="10998" width="9.85546875" style="265" customWidth="1"/>
    <col min="10999" max="10999" width="6.7109375" style="265" customWidth="1"/>
    <col min="11000" max="11000" width="12.42578125" style="265" customWidth="1"/>
    <col min="11001" max="11001" width="5.140625" style="265" customWidth="1"/>
    <col min="11002" max="11002" width="9" style="265" customWidth="1"/>
    <col min="11003" max="11003" width="5.140625" style="265" customWidth="1"/>
    <col min="11004" max="11004" width="9.85546875" style="265" customWidth="1"/>
    <col min="11005" max="11005" width="5.140625" style="265" customWidth="1"/>
    <col min="11006" max="11006" width="6.85546875" style="265" customWidth="1"/>
    <col min="11007" max="11007" width="5.140625" style="265" customWidth="1"/>
    <col min="11008" max="11008" width="10.5703125" style="265" customWidth="1"/>
    <col min="11009" max="11010" width="9" style="265" customWidth="1"/>
    <col min="11011" max="11011" width="7.140625" style="265" customWidth="1"/>
    <col min="11012" max="11012" width="10.28515625" style="265" customWidth="1"/>
    <col min="11013" max="11013" width="6.42578125" style="265" customWidth="1"/>
    <col min="11014" max="11014" width="9.7109375" style="265" customWidth="1"/>
    <col min="11015" max="11015" width="6.28515625" style="265" customWidth="1"/>
    <col min="11016" max="11016" width="9" style="265" customWidth="1"/>
    <col min="11017" max="11017" width="5.140625" style="265" customWidth="1"/>
    <col min="11018" max="11018" width="9.85546875" style="265" customWidth="1"/>
    <col min="11019" max="11019" width="5.140625" style="265" customWidth="1"/>
    <col min="11020" max="11020" width="9.85546875" style="265" customWidth="1"/>
    <col min="11021" max="11021" width="5.140625" style="265" customWidth="1"/>
    <col min="11022" max="11022" width="9.85546875" style="265" customWidth="1"/>
    <col min="11023" max="11023" width="5.140625" style="265" customWidth="1"/>
    <col min="11024" max="11024" width="9" style="265" customWidth="1"/>
    <col min="11025" max="11025" width="5.140625" style="265" customWidth="1"/>
    <col min="11026" max="11026" width="9.85546875" style="265" customWidth="1"/>
    <col min="11027" max="11027" width="5.140625" style="265" customWidth="1"/>
    <col min="11028" max="11028" width="6.85546875" style="265" customWidth="1"/>
    <col min="11029" max="11029" width="5.140625" style="265" customWidth="1"/>
    <col min="11030" max="11030" width="9" style="265" customWidth="1"/>
    <col min="11031" max="11031" width="7.140625" style="265" customWidth="1"/>
    <col min="11032" max="11032" width="10.28515625" style="265" customWidth="1"/>
    <col min="11033" max="11033" width="6.42578125" style="265" customWidth="1"/>
    <col min="11034" max="11034" width="9.7109375" style="265" customWidth="1"/>
    <col min="11035" max="11035" width="6.28515625" style="265" customWidth="1"/>
    <col min="11036" max="11036" width="13" style="265" customWidth="1"/>
    <col min="11037" max="11037" width="6.85546875" style="265" customWidth="1"/>
    <col min="11038" max="11038" width="12.28515625" style="265" customWidth="1"/>
    <col min="11039" max="11039" width="7.7109375" style="265" customWidth="1"/>
    <col min="11040" max="11040" width="10.42578125" style="265" customWidth="1"/>
    <col min="11041" max="11041" width="11.28515625" style="265" customWidth="1"/>
    <col min="11042" max="11042" width="12.28515625" style="265" customWidth="1"/>
    <col min="11043" max="11043" width="5.140625" style="265" customWidth="1"/>
    <col min="11044" max="11044" width="9" style="265" customWidth="1"/>
    <col min="11045" max="11045" width="5.140625" style="265" customWidth="1"/>
    <col min="11046" max="11046" width="9.85546875" style="265" customWidth="1"/>
    <col min="11047" max="11047" width="5.140625" style="265" customWidth="1"/>
    <col min="11048" max="11048" width="6.85546875" style="265" customWidth="1"/>
    <col min="11049" max="11049" width="5.140625" style="265" customWidth="1"/>
    <col min="11050" max="11050" width="10.7109375" style="265" customWidth="1"/>
    <col min="11051" max="11051" width="6.85546875" style="265" customWidth="1"/>
    <col min="11052" max="11052" width="12" style="265" customWidth="1"/>
    <col min="11053" max="11053" width="0" style="265" hidden="1" customWidth="1"/>
    <col min="11054" max="11054" width="8.42578125" style="265" customWidth="1"/>
    <col min="11055" max="11055" width="12" style="265" customWidth="1"/>
    <col min="11056" max="11056" width="8.28515625" style="265" customWidth="1"/>
    <col min="11057" max="11057" width="15.28515625" style="265" customWidth="1"/>
    <col min="11058" max="11058" width="13.5703125" style="265" customWidth="1"/>
    <col min="11059" max="11060" width="0" style="265" hidden="1" customWidth="1"/>
    <col min="11061" max="11062" width="15.7109375" style="265" customWidth="1"/>
    <col min="11063" max="11063" width="17.28515625" style="265" customWidth="1"/>
    <col min="11064" max="11064" width="0" style="265" hidden="1" customWidth="1"/>
    <col min="11065" max="11065" width="18.28515625" style="265" customWidth="1"/>
    <col min="11066" max="11066" width="17.42578125" style="265" customWidth="1"/>
    <col min="11067" max="11067" width="10.7109375" style="265" bestFit="1" customWidth="1"/>
    <col min="11068" max="11068" width="11" style="265" bestFit="1" customWidth="1"/>
    <col min="11069" max="11218" width="8.85546875" style="265"/>
    <col min="11219" max="11219" width="4.7109375" style="265" customWidth="1"/>
    <col min="11220" max="11222" width="16" style="265" customWidth="1"/>
    <col min="11223" max="11223" width="9.42578125" style="265" customWidth="1"/>
    <col min="11224" max="11224" width="10.28515625" style="265" customWidth="1"/>
    <col min="11225" max="11225" width="7.85546875" style="265" customWidth="1"/>
    <col min="11226" max="11226" width="9.7109375" style="265" customWidth="1"/>
    <col min="11227" max="11227" width="6" style="265" customWidth="1"/>
    <col min="11228" max="11228" width="10.7109375" style="265" customWidth="1"/>
    <col min="11229" max="11229" width="8.28515625" style="265" customWidth="1"/>
    <col min="11230" max="11230" width="12.28515625" style="265" customWidth="1"/>
    <col min="11231" max="11231" width="6" style="265" customWidth="1"/>
    <col min="11232" max="11232" width="10.7109375" style="265" customWidth="1"/>
    <col min="11233" max="11233" width="6.85546875" style="265" customWidth="1"/>
    <col min="11234" max="11234" width="12" style="265" customWidth="1"/>
    <col min="11235" max="11235" width="5.140625" style="265" customWidth="1"/>
    <col min="11236" max="11236" width="9" style="265" customWidth="1"/>
    <col min="11237" max="11237" width="5.140625" style="265" customWidth="1"/>
    <col min="11238" max="11238" width="9.85546875" style="265" customWidth="1"/>
    <col min="11239" max="11239" width="5.140625" style="265" customWidth="1"/>
    <col min="11240" max="11240" width="9" style="265" customWidth="1"/>
    <col min="11241" max="11241" width="5.140625" style="265" customWidth="1"/>
    <col min="11242" max="11244" width="9.85546875" style="265" customWidth="1"/>
    <col min="11245" max="11245" width="7.140625" style="265" customWidth="1"/>
    <col min="11246" max="11246" width="10.28515625" style="265" customWidth="1"/>
    <col min="11247" max="11247" width="6.42578125" style="265" customWidth="1"/>
    <col min="11248" max="11248" width="9.7109375" style="265" customWidth="1"/>
    <col min="11249" max="11249" width="6.28515625" style="265" customWidth="1"/>
    <col min="11250" max="11250" width="9" style="265" customWidth="1"/>
    <col min="11251" max="11251" width="8" style="265" customWidth="1"/>
    <col min="11252" max="11252" width="12.85546875" style="265" customWidth="1"/>
    <col min="11253" max="11253" width="5.140625" style="265" customWidth="1"/>
    <col min="11254" max="11254" width="9.85546875" style="265" customWidth="1"/>
    <col min="11255" max="11255" width="6.7109375" style="265" customWidth="1"/>
    <col min="11256" max="11256" width="12.42578125" style="265" customWidth="1"/>
    <col min="11257" max="11257" width="5.140625" style="265" customWidth="1"/>
    <col min="11258" max="11258" width="9" style="265" customWidth="1"/>
    <col min="11259" max="11259" width="5.140625" style="265" customWidth="1"/>
    <col min="11260" max="11260" width="9.85546875" style="265" customWidth="1"/>
    <col min="11261" max="11261" width="5.140625" style="265" customWidth="1"/>
    <col min="11262" max="11262" width="6.85546875" style="265" customWidth="1"/>
    <col min="11263" max="11263" width="5.140625" style="265" customWidth="1"/>
    <col min="11264" max="11264" width="10.5703125" style="265" customWidth="1"/>
    <col min="11265" max="11266" width="9" style="265" customWidth="1"/>
    <col min="11267" max="11267" width="7.140625" style="265" customWidth="1"/>
    <col min="11268" max="11268" width="10.28515625" style="265" customWidth="1"/>
    <col min="11269" max="11269" width="6.42578125" style="265" customWidth="1"/>
    <col min="11270" max="11270" width="9.7109375" style="265" customWidth="1"/>
    <col min="11271" max="11271" width="6.28515625" style="265" customWidth="1"/>
    <col min="11272" max="11272" width="9" style="265" customWidth="1"/>
    <col min="11273" max="11273" width="5.140625" style="265" customWidth="1"/>
    <col min="11274" max="11274" width="9.85546875" style="265" customWidth="1"/>
    <col min="11275" max="11275" width="5.140625" style="265" customWidth="1"/>
    <col min="11276" max="11276" width="9.85546875" style="265" customWidth="1"/>
    <col min="11277" max="11277" width="5.140625" style="265" customWidth="1"/>
    <col min="11278" max="11278" width="9.85546875" style="265" customWidth="1"/>
    <col min="11279" max="11279" width="5.140625" style="265" customWidth="1"/>
    <col min="11280" max="11280" width="9" style="265" customWidth="1"/>
    <col min="11281" max="11281" width="5.140625" style="265" customWidth="1"/>
    <col min="11282" max="11282" width="9.85546875" style="265" customWidth="1"/>
    <col min="11283" max="11283" width="5.140625" style="265" customWidth="1"/>
    <col min="11284" max="11284" width="6.85546875" style="265" customWidth="1"/>
    <col min="11285" max="11285" width="5.140625" style="265" customWidth="1"/>
    <col min="11286" max="11286" width="9" style="265" customWidth="1"/>
    <col min="11287" max="11287" width="7.140625" style="265" customWidth="1"/>
    <col min="11288" max="11288" width="10.28515625" style="265" customWidth="1"/>
    <col min="11289" max="11289" width="6.42578125" style="265" customWidth="1"/>
    <col min="11290" max="11290" width="9.7109375" style="265" customWidth="1"/>
    <col min="11291" max="11291" width="6.28515625" style="265" customWidth="1"/>
    <col min="11292" max="11292" width="13" style="265" customWidth="1"/>
    <col min="11293" max="11293" width="6.85546875" style="265" customWidth="1"/>
    <col min="11294" max="11294" width="12.28515625" style="265" customWidth="1"/>
    <col min="11295" max="11295" width="7.7109375" style="265" customWidth="1"/>
    <col min="11296" max="11296" width="10.42578125" style="265" customWidth="1"/>
    <col min="11297" max="11297" width="11.28515625" style="265" customWidth="1"/>
    <col min="11298" max="11298" width="12.28515625" style="265" customWidth="1"/>
    <col min="11299" max="11299" width="5.140625" style="265" customWidth="1"/>
    <col min="11300" max="11300" width="9" style="265" customWidth="1"/>
    <col min="11301" max="11301" width="5.140625" style="265" customWidth="1"/>
    <col min="11302" max="11302" width="9.85546875" style="265" customWidth="1"/>
    <col min="11303" max="11303" width="5.140625" style="265" customWidth="1"/>
    <col min="11304" max="11304" width="6.85546875" style="265" customWidth="1"/>
    <col min="11305" max="11305" width="5.140625" style="265" customWidth="1"/>
    <col min="11306" max="11306" width="10.7109375" style="265" customWidth="1"/>
    <col min="11307" max="11307" width="6.85546875" style="265" customWidth="1"/>
    <col min="11308" max="11308" width="12" style="265" customWidth="1"/>
    <col min="11309" max="11309" width="0" style="265" hidden="1" customWidth="1"/>
    <col min="11310" max="11310" width="8.42578125" style="265" customWidth="1"/>
    <col min="11311" max="11311" width="12" style="265" customWidth="1"/>
    <col min="11312" max="11312" width="8.28515625" style="265" customWidth="1"/>
    <col min="11313" max="11313" width="15.28515625" style="265" customWidth="1"/>
    <col min="11314" max="11314" width="13.5703125" style="265" customWidth="1"/>
    <col min="11315" max="11316" width="0" style="265" hidden="1" customWidth="1"/>
    <col min="11317" max="11318" width="15.7109375" style="265" customWidth="1"/>
    <col min="11319" max="11319" width="17.28515625" style="265" customWidth="1"/>
    <col min="11320" max="11320" width="0" style="265" hidden="1" customWidth="1"/>
    <col min="11321" max="11321" width="18.28515625" style="265" customWidth="1"/>
    <col min="11322" max="11322" width="17.42578125" style="265" customWidth="1"/>
    <col min="11323" max="11323" width="10.7109375" style="265" bestFit="1" customWidth="1"/>
    <col min="11324" max="11324" width="11" style="265" bestFit="1" customWidth="1"/>
    <col min="11325" max="11474" width="8.85546875" style="265"/>
    <col min="11475" max="11475" width="4.7109375" style="265" customWidth="1"/>
    <col min="11476" max="11478" width="16" style="265" customWidth="1"/>
    <col min="11479" max="11479" width="9.42578125" style="265" customWidth="1"/>
    <col min="11480" max="11480" width="10.28515625" style="265" customWidth="1"/>
    <col min="11481" max="11481" width="7.85546875" style="265" customWidth="1"/>
    <col min="11482" max="11482" width="9.7109375" style="265" customWidth="1"/>
    <col min="11483" max="11483" width="6" style="265" customWidth="1"/>
    <col min="11484" max="11484" width="10.7109375" style="265" customWidth="1"/>
    <col min="11485" max="11485" width="8.28515625" style="265" customWidth="1"/>
    <col min="11486" max="11486" width="12.28515625" style="265" customWidth="1"/>
    <col min="11487" max="11487" width="6" style="265" customWidth="1"/>
    <col min="11488" max="11488" width="10.7109375" style="265" customWidth="1"/>
    <col min="11489" max="11489" width="6.85546875" style="265" customWidth="1"/>
    <col min="11490" max="11490" width="12" style="265" customWidth="1"/>
    <col min="11491" max="11491" width="5.140625" style="265" customWidth="1"/>
    <col min="11492" max="11492" width="9" style="265" customWidth="1"/>
    <col min="11493" max="11493" width="5.140625" style="265" customWidth="1"/>
    <col min="11494" max="11494" width="9.85546875" style="265" customWidth="1"/>
    <col min="11495" max="11495" width="5.140625" style="265" customWidth="1"/>
    <col min="11496" max="11496" width="9" style="265" customWidth="1"/>
    <col min="11497" max="11497" width="5.140625" style="265" customWidth="1"/>
    <col min="11498" max="11500" width="9.85546875" style="265" customWidth="1"/>
    <col min="11501" max="11501" width="7.140625" style="265" customWidth="1"/>
    <col min="11502" max="11502" width="10.28515625" style="265" customWidth="1"/>
    <col min="11503" max="11503" width="6.42578125" style="265" customWidth="1"/>
    <col min="11504" max="11504" width="9.7109375" style="265" customWidth="1"/>
    <col min="11505" max="11505" width="6.28515625" style="265" customWidth="1"/>
    <col min="11506" max="11506" width="9" style="265" customWidth="1"/>
    <col min="11507" max="11507" width="8" style="265" customWidth="1"/>
    <col min="11508" max="11508" width="12.85546875" style="265" customWidth="1"/>
    <col min="11509" max="11509" width="5.140625" style="265" customWidth="1"/>
    <col min="11510" max="11510" width="9.85546875" style="265" customWidth="1"/>
    <col min="11511" max="11511" width="6.7109375" style="265" customWidth="1"/>
    <col min="11512" max="11512" width="12.42578125" style="265" customWidth="1"/>
    <col min="11513" max="11513" width="5.140625" style="265" customWidth="1"/>
    <col min="11514" max="11514" width="9" style="265" customWidth="1"/>
    <col min="11515" max="11515" width="5.140625" style="265" customWidth="1"/>
    <col min="11516" max="11516" width="9.85546875" style="265" customWidth="1"/>
    <col min="11517" max="11517" width="5.140625" style="265" customWidth="1"/>
    <col min="11518" max="11518" width="6.85546875" style="265" customWidth="1"/>
    <col min="11519" max="11519" width="5.140625" style="265" customWidth="1"/>
    <col min="11520" max="11520" width="10.5703125" style="265" customWidth="1"/>
    <col min="11521" max="11522" width="9" style="265" customWidth="1"/>
    <col min="11523" max="11523" width="7.140625" style="265" customWidth="1"/>
    <col min="11524" max="11524" width="10.28515625" style="265" customWidth="1"/>
    <col min="11525" max="11525" width="6.42578125" style="265" customWidth="1"/>
    <col min="11526" max="11526" width="9.7109375" style="265" customWidth="1"/>
    <col min="11527" max="11527" width="6.28515625" style="265" customWidth="1"/>
    <col min="11528" max="11528" width="9" style="265" customWidth="1"/>
    <col min="11529" max="11529" width="5.140625" style="265" customWidth="1"/>
    <col min="11530" max="11530" width="9.85546875" style="265" customWidth="1"/>
    <col min="11531" max="11531" width="5.140625" style="265" customWidth="1"/>
    <col min="11532" max="11532" width="9.85546875" style="265" customWidth="1"/>
    <col min="11533" max="11533" width="5.140625" style="265" customWidth="1"/>
    <col min="11534" max="11534" width="9.85546875" style="265" customWidth="1"/>
    <col min="11535" max="11535" width="5.140625" style="265" customWidth="1"/>
    <col min="11536" max="11536" width="9" style="265" customWidth="1"/>
    <col min="11537" max="11537" width="5.140625" style="265" customWidth="1"/>
    <col min="11538" max="11538" width="9.85546875" style="265" customWidth="1"/>
    <col min="11539" max="11539" width="5.140625" style="265" customWidth="1"/>
    <col min="11540" max="11540" width="6.85546875" style="265" customWidth="1"/>
    <col min="11541" max="11541" width="5.140625" style="265" customWidth="1"/>
    <col min="11542" max="11542" width="9" style="265" customWidth="1"/>
    <col min="11543" max="11543" width="7.140625" style="265" customWidth="1"/>
    <col min="11544" max="11544" width="10.28515625" style="265" customWidth="1"/>
    <col min="11545" max="11545" width="6.42578125" style="265" customWidth="1"/>
    <col min="11546" max="11546" width="9.7109375" style="265" customWidth="1"/>
    <col min="11547" max="11547" width="6.28515625" style="265" customWidth="1"/>
    <col min="11548" max="11548" width="13" style="265" customWidth="1"/>
    <col min="11549" max="11549" width="6.85546875" style="265" customWidth="1"/>
    <col min="11550" max="11550" width="12.28515625" style="265" customWidth="1"/>
    <col min="11551" max="11551" width="7.7109375" style="265" customWidth="1"/>
    <col min="11552" max="11552" width="10.42578125" style="265" customWidth="1"/>
    <col min="11553" max="11553" width="11.28515625" style="265" customWidth="1"/>
    <col min="11554" max="11554" width="12.28515625" style="265" customWidth="1"/>
    <col min="11555" max="11555" width="5.140625" style="265" customWidth="1"/>
    <col min="11556" max="11556" width="9" style="265" customWidth="1"/>
    <col min="11557" max="11557" width="5.140625" style="265" customWidth="1"/>
    <col min="11558" max="11558" width="9.85546875" style="265" customWidth="1"/>
    <col min="11559" max="11559" width="5.140625" style="265" customWidth="1"/>
    <col min="11560" max="11560" width="6.85546875" style="265" customWidth="1"/>
    <col min="11561" max="11561" width="5.140625" style="265" customWidth="1"/>
    <col min="11562" max="11562" width="10.7109375" style="265" customWidth="1"/>
    <col min="11563" max="11563" width="6.85546875" style="265" customWidth="1"/>
    <col min="11564" max="11564" width="12" style="265" customWidth="1"/>
    <col min="11565" max="11565" width="0" style="265" hidden="1" customWidth="1"/>
    <col min="11566" max="11566" width="8.42578125" style="265" customWidth="1"/>
    <col min="11567" max="11567" width="12" style="265" customWidth="1"/>
    <col min="11568" max="11568" width="8.28515625" style="265" customWidth="1"/>
    <col min="11569" max="11569" width="15.28515625" style="265" customWidth="1"/>
    <col min="11570" max="11570" width="13.5703125" style="265" customWidth="1"/>
    <col min="11571" max="11572" width="0" style="265" hidden="1" customWidth="1"/>
    <col min="11573" max="11574" width="15.7109375" style="265" customWidth="1"/>
    <col min="11575" max="11575" width="17.28515625" style="265" customWidth="1"/>
    <col min="11576" max="11576" width="0" style="265" hidden="1" customWidth="1"/>
    <col min="11577" max="11577" width="18.28515625" style="265" customWidth="1"/>
    <col min="11578" max="11578" width="17.42578125" style="265" customWidth="1"/>
    <col min="11579" max="11579" width="10.7109375" style="265" bestFit="1" customWidth="1"/>
    <col min="11580" max="11580" width="11" style="265" bestFit="1" customWidth="1"/>
    <col min="11581" max="11730" width="8.85546875" style="265"/>
    <col min="11731" max="11731" width="4.7109375" style="265" customWidth="1"/>
    <col min="11732" max="11734" width="16" style="265" customWidth="1"/>
    <col min="11735" max="11735" width="9.42578125" style="265" customWidth="1"/>
    <col min="11736" max="11736" width="10.28515625" style="265" customWidth="1"/>
    <col min="11737" max="11737" width="7.85546875" style="265" customWidth="1"/>
    <col min="11738" max="11738" width="9.7109375" style="265" customWidth="1"/>
    <col min="11739" max="11739" width="6" style="265" customWidth="1"/>
    <col min="11740" max="11740" width="10.7109375" style="265" customWidth="1"/>
    <col min="11741" max="11741" width="8.28515625" style="265" customWidth="1"/>
    <col min="11742" max="11742" width="12.28515625" style="265" customWidth="1"/>
    <col min="11743" max="11743" width="6" style="265" customWidth="1"/>
    <col min="11744" max="11744" width="10.7109375" style="265" customWidth="1"/>
    <col min="11745" max="11745" width="6.85546875" style="265" customWidth="1"/>
    <col min="11746" max="11746" width="12" style="265" customWidth="1"/>
    <col min="11747" max="11747" width="5.140625" style="265" customWidth="1"/>
    <col min="11748" max="11748" width="9" style="265" customWidth="1"/>
    <col min="11749" max="11749" width="5.140625" style="265" customWidth="1"/>
    <col min="11750" max="11750" width="9.85546875" style="265" customWidth="1"/>
    <col min="11751" max="11751" width="5.140625" style="265" customWidth="1"/>
    <col min="11752" max="11752" width="9" style="265" customWidth="1"/>
    <col min="11753" max="11753" width="5.140625" style="265" customWidth="1"/>
    <col min="11754" max="11756" width="9.85546875" style="265" customWidth="1"/>
    <col min="11757" max="11757" width="7.140625" style="265" customWidth="1"/>
    <col min="11758" max="11758" width="10.28515625" style="265" customWidth="1"/>
    <col min="11759" max="11759" width="6.42578125" style="265" customWidth="1"/>
    <col min="11760" max="11760" width="9.7109375" style="265" customWidth="1"/>
    <col min="11761" max="11761" width="6.28515625" style="265" customWidth="1"/>
    <col min="11762" max="11762" width="9" style="265" customWidth="1"/>
    <col min="11763" max="11763" width="8" style="265" customWidth="1"/>
    <col min="11764" max="11764" width="12.85546875" style="265" customWidth="1"/>
    <col min="11765" max="11765" width="5.140625" style="265" customWidth="1"/>
    <col min="11766" max="11766" width="9.85546875" style="265" customWidth="1"/>
    <col min="11767" max="11767" width="6.7109375" style="265" customWidth="1"/>
    <col min="11768" max="11768" width="12.42578125" style="265" customWidth="1"/>
    <col min="11769" max="11769" width="5.140625" style="265" customWidth="1"/>
    <col min="11770" max="11770" width="9" style="265" customWidth="1"/>
    <col min="11771" max="11771" width="5.140625" style="265" customWidth="1"/>
    <col min="11772" max="11772" width="9.85546875" style="265" customWidth="1"/>
    <col min="11773" max="11773" width="5.140625" style="265" customWidth="1"/>
    <col min="11774" max="11774" width="6.85546875" style="265" customWidth="1"/>
    <col min="11775" max="11775" width="5.140625" style="265" customWidth="1"/>
    <col min="11776" max="11776" width="10.5703125" style="265" customWidth="1"/>
    <col min="11777" max="11778" width="9" style="265" customWidth="1"/>
    <col min="11779" max="11779" width="7.140625" style="265" customWidth="1"/>
    <col min="11780" max="11780" width="10.28515625" style="265" customWidth="1"/>
    <col min="11781" max="11781" width="6.42578125" style="265" customWidth="1"/>
    <col min="11782" max="11782" width="9.7109375" style="265" customWidth="1"/>
    <col min="11783" max="11783" width="6.28515625" style="265" customWidth="1"/>
    <col min="11784" max="11784" width="9" style="265" customWidth="1"/>
    <col min="11785" max="11785" width="5.140625" style="265" customWidth="1"/>
    <col min="11786" max="11786" width="9.85546875" style="265" customWidth="1"/>
    <col min="11787" max="11787" width="5.140625" style="265" customWidth="1"/>
    <col min="11788" max="11788" width="9.85546875" style="265" customWidth="1"/>
    <col min="11789" max="11789" width="5.140625" style="265" customWidth="1"/>
    <col min="11790" max="11790" width="9.85546875" style="265" customWidth="1"/>
    <col min="11791" max="11791" width="5.140625" style="265" customWidth="1"/>
    <col min="11792" max="11792" width="9" style="265" customWidth="1"/>
    <col min="11793" max="11793" width="5.140625" style="265" customWidth="1"/>
    <col min="11794" max="11794" width="9.85546875" style="265" customWidth="1"/>
    <col min="11795" max="11795" width="5.140625" style="265" customWidth="1"/>
    <col min="11796" max="11796" width="6.85546875" style="265" customWidth="1"/>
    <col min="11797" max="11797" width="5.140625" style="265" customWidth="1"/>
    <col min="11798" max="11798" width="9" style="265" customWidth="1"/>
    <col min="11799" max="11799" width="7.140625" style="265" customWidth="1"/>
    <col min="11800" max="11800" width="10.28515625" style="265" customWidth="1"/>
    <col min="11801" max="11801" width="6.42578125" style="265" customWidth="1"/>
    <col min="11802" max="11802" width="9.7109375" style="265" customWidth="1"/>
    <col min="11803" max="11803" width="6.28515625" style="265" customWidth="1"/>
    <col min="11804" max="11804" width="13" style="265" customWidth="1"/>
    <col min="11805" max="11805" width="6.85546875" style="265" customWidth="1"/>
    <col min="11806" max="11806" width="12.28515625" style="265" customWidth="1"/>
    <col min="11807" max="11807" width="7.7109375" style="265" customWidth="1"/>
    <col min="11808" max="11808" width="10.42578125" style="265" customWidth="1"/>
    <col min="11809" max="11809" width="11.28515625" style="265" customWidth="1"/>
    <col min="11810" max="11810" width="12.28515625" style="265" customWidth="1"/>
    <col min="11811" max="11811" width="5.140625" style="265" customWidth="1"/>
    <col min="11812" max="11812" width="9" style="265" customWidth="1"/>
    <col min="11813" max="11813" width="5.140625" style="265" customWidth="1"/>
    <col min="11814" max="11814" width="9.85546875" style="265" customWidth="1"/>
    <col min="11815" max="11815" width="5.140625" style="265" customWidth="1"/>
    <col min="11816" max="11816" width="6.85546875" style="265" customWidth="1"/>
    <col min="11817" max="11817" width="5.140625" style="265" customWidth="1"/>
    <col min="11818" max="11818" width="10.7109375" style="265" customWidth="1"/>
    <col min="11819" max="11819" width="6.85546875" style="265" customWidth="1"/>
    <col min="11820" max="11820" width="12" style="265" customWidth="1"/>
    <col min="11821" max="11821" width="0" style="265" hidden="1" customWidth="1"/>
    <col min="11822" max="11822" width="8.42578125" style="265" customWidth="1"/>
    <col min="11823" max="11823" width="12" style="265" customWidth="1"/>
    <col min="11824" max="11824" width="8.28515625" style="265" customWidth="1"/>
    <col min="11825" max="11825" width="15.28515625" style="265" customWidth="1"/>
    <col min="11826" max="11826" width="13.5703125" style="265" customWidth="1"/>
    <col min="11827" max="11828" width="0" style="265" hidden="1" customWidth="1"/>
    <col min="11829" max="11830" width="15.7109375" style="265" customWidth="1"/>
    <col min="11831" max="11831" width="17.28515625" style="265" customWidth="1"/>
    <col min="11832" max="11832" width="0" style="265" hidden="1" customWidth="1"/>
    <col min="11833" max="11833" width="18.28515625" style="265" customWidth="1"/>
    <col min="11834" max="11834" width="17.42578125" style="265" customWidth="1"/>
    <col min="11835" max="11835" width="10.7109375" style="265" bestFit="1" customWidth="1"/>
    <col min="11836" max="11836" width="11" style="265" bestFit="1" customWidth="1"/>
    <col min="11837" max="11986" width="8.85546875" style="265"/>
    <col min="11987" max="11987" width="4.7109375" style="265" customWidth="1"/>
    <col min="11988" max="11990" width="16" style="265" customWidth="1"/>
    <col min="11991" max="11991" width="9.42578125" style="265" customWidth="1"/>
    <col min="11992" max="11992" width="10.28515625" style="265" customWidth="1"/>
    <col min="11993" max="11993" width="7.85546875" style="265" customWidth="1"/>
    <col min="11994" max="11994" width="9.7109375" style="265" customWidth="1"/>
    <col min="11995" max="11995" width="6" style="265" customWidth="1"/>
    <col min="11996" max="11996" width="10.7109375" style="265" customWidth="1"/>
    <col min="11997" max="11997" width="8.28515625" style="265" customWidth="1"/>
    <col min="11998" max="11998" width="12.28515625" style="265" customWidth="1"/>
    <col min="11999" max="11999" width="6" style="265" customWidth="1"/>
    <col min="12000" max="12000" width="10.7109375" style="265" customWidth="1"/>
    <col min="12001" max="12001" width="6.85546875" style="265" customWidth="1"/>
    <col min="12002" max="12002" width="12" style="265" customWidth="1"/>
    <col min="12003" max="12003" width="5.140625" style="265" customWidth="1"/>
    <col min="12004" max="12004" width="9" style="265" customWidth="1"/>
    <col min="12005" max="12005" width="5.140625" style="265" customWidth="1"/>
    <col min="12006" max="12006" width="9.85546875" style="265" customWidth="1"/>
    <col min="12007" max="12007" width="5.140625" style="265" customWidth="1"/>
    <col min="12008" max="12008" width="9" style="265" customWidth="1"/>
    <col min="12009" max="12009" width="5.140625" style="265" customWidth="1"/>
    <col min="12010" max="12012" width="9.85546875" style="265" customWidth="1"/>
    <col min="12013" max="12013" width="7.140625" style="265" customWidth="1"/>
    <col min="12014" max="12014" width="10.28515625" style="265" customWidth="1"/>
    <col min="12015" max="12015" width="6.42578125" style="265" customWidth="1"/>
    <col min="12016" max="12016" width="9.7109375" style="265" customWidth="1"/>
    <col min="12017" max="12017" width="6.28515625" style="265" customWidth="1"/>
    <col min="12018" max="12018" width="9" style="265" customWidth="1"/>
    <col min="12019" max="12019" width="8" style="265" customWidth="1"/>
    <col min="12020" max="12020" width="12.85546875" style="265" customWidth="1"/>
    <col min="12021" max="12021" width="5.140625" style="265" customWidth="1"/>
    <col min="12022" max="12022" width="9.85546875" style="265" customWidth="1"/>
    <col min="12023" max="12023" width="6.7109375" style="265" customWidth="1"/>
    <col min="12024" max="12024" width="12.42578125" style="265" customWidth="1"/>
    <col min="12025" max="12025" width="5.140625" style="265" customWidth="1"/>
    <col min="12026" max="12026" width="9" style="265" customWidth="1"/>
    <col min="12027" max="12027" width="5.140625" style="265" customWidth="1"/>
    <col min="12028" max="12028" width="9.85546875" style="265" customWidth="1"/>
    <col min="12029" max="12029" width="5.140625" style="265" customWidth="1"/>
    <col min="12030" max="12030" width="6.85546875" style="265" customWidth="1"/>
    <col min="12031" max="12031" width="5.140625" style="265" customWidth="1"/>
    <col min="12032" max="12032" width="10.5703125" style="265" customWidth="1"/>
    <col min="12033" max="12034" width="9" style="265" customWidth="1"/>
    <col min="12035" max="12035" width="7.140625" style="265" customWidth="1"/>
    <col min="12036" max="12036" width="10.28515625" style="265" customWidth="1"/>
    <col min="12037" max="12037" width="6.42578125" style="265" customWidth="1"/>
    <col min="12038" max="12038" width="9.7109375" style="265" customWidth="1"/>
    <col min="12039" max="12039" width="6.28515625" style="265" customWidth="1"/>
    <col min="12040" max="12040" width="9" style="265" customWidth="1"/>
    <col min="12041" max="12041" width="5.140625" style="265" customWidth="1"/>
    <col min="12042" max="12042" width="9.85546875" style="265" customWidth="1"/>
    <col min="12043" max="12043" width="5.140625" style="265" customWidth="1"/>
    <col min="12044" max="12044" width="9.85546875" style="265" customWidth="1"/>
    <col min="12045" max="12045" width="5.140625" style="265" customWidth="1"/>
    <col min="12046" max="12046" width="9.85546875" style="265" customWidth="1"/>
    <col min="12047" max="12047" width="5.140625" style="265" customWidth="1"/>
    <col min="12048" max="12048" width="9" style="265" customWidth="1"/>
    <col min="12049" max="12049" width="5.140625" style="265" customWidth="1"/>
    <col min="12050" max="12050" width="9.85546875" style="265" customWidth="1"/>
    <col min="12051" max="12051" width="5.140625" style="265" customWidth="1"/>
    <col min="12052" max="12052" width="6.85546875" style="265" customWidth="1"/>
    <col min="12053" max="12053" width="5.140625" style="265" customWidth="1"/>
    <col min="12054" max="12054" width="9" style="265" customWidth="1"/>
    <col min="12055" max="12055" width="7.140625" style="265" customWidth="1"/>
    <col min="12056" max="12056" width="10.28515625" style="265" customWidth="1"/>
    <col min="12057" max="12057" width="6.42578125" style="265" customWidth="1"/>
    <col min="12058" max="12058" width="9.7109375" style="265" customWidth="1"/>
    <col min="12059" max="12059" width="6.28515625" style="265" customWidth="1"/>
    <col min="12060" max="12060" width="13" style="265" customWidth="1"/>
    <col min="12061" max="12061" width="6.85546875" style="265" customWidth="1"/>
    <col min="12062" max="12062" width="12.28515625" style="265" customWidth="1"/>
    <col min="12063" max="12063" width="7.7109375" style="265" customWidth="1"/>
    <col min="12064" max="12064" width="10.42578125" style="265" customWidth="1"/>
    <col min="12065" max="12065" width="11.28515625" style="265" customWidth="1"/>
    <col min="12066" max="12066" width="12.28515625" style="265" customWidth="1"/>
    <col min="12067" max="12067" width="5.140625" style="265" customWidth="1"/>
    <col min="12068" max="12068" width="9" style="265" customWidth="1"/>
    <col min="12069" max="12069" width="5.140625" style="265" customWidth="1"/>
    <col min="12070" max="12070" width="9.85546875" style="265" customWidth="1"/>
    <col min="12071" max="12071" width="5.140625" style="265" customWidth="1"/>
    <col min="12072" max="12072" width="6.85546875" style="265" customWidth="1"/>
    <col min="12073" max="12073" width="5.140625" style="265" customWidth="1"/>
    <col min="12074" max="12074" width="10.7109375" style="265" customWidth="1"/>
    <col min="12075" max="12075" width="6.85546875" style="265" customWidth="1"/>
    <col min="12076" max="12076" width="12" style="265" customWidth="1"/>
    <col min="12077" max="12077" width="0" style="265" hidden="1" customWidth="1"/>
    <col min="12078" max="12078" width="8.42578125" style="265" customWidth="1"/>
    <col min="12079" max="12079" width="12" style="265" customWidth="1"/>
    <col min="12080" max="12080" width="8.28515625" style="265" customWidth="1"/>
    <col min="12081" max="12081" width="15.28515625" style="265" customWidth="1"/>
    <col min="12082" max="12082" width="13.5703125" style="265" customWidth="1"/>
    <col min="12083" max="12084" width="0" style="265" hidden="1" customWidth="1"/>
    <col min="12085" max="12086" width="15.7109375" style="265" customWidth="1"/>
    <col min="12087" max="12087" width="17.28515625" style="265" customWidth="1"/>
    <col min="12088" max="12088" width="0" style="265" hidden="1" customWidth="1"/>
    <col min="12089" max="12089" width="18.28515625" style="265" customWidth="1"/>
    <col min="12090" max="12090" width="17.42578125" style="265" customWidth="1"/>
    <col min="12091" max="12091" width="10.7109375" style="265" bestFit="1" customWidth="1"/>
    <col min="12092" max="12092" width="11" style="265" bestFit="1" customWidth="1"/>
    <col min="12093" max="12242" width="8.85546875" style="265"/>
    <col min="12243" max="12243" width="4.7109375" style="265" customWidth="1"/>
    <col min="12244" max="12246" width="16" style="265" customWidth="1"/>
    <col min="12247" max="12247" width="9.42578125" style="265" customWidth="1"/>
    <col min="12248" max="12248" width="10.28515625" style="265" customWidth="1"/>
    <col min="12249" max="12249" width="7.85546875" style="265" customWidth="1"/>
    <col min="12250" max="12250" width="9.7109375" style="265" customWidth="1"/>
    <col min="12251" max="12251" width="6" style="265" customWidth="1"/>
    <col min="12252" max="12252" width="10.7109375" style="265" customWidth="1"/>
    <col min="12253" max="12253" width="8.28515625" style="265" customWidth="1"/>
    <col min="12254" max="12254" width="12.28515625" style="265" customWidth="1"/>
    <col min="12255" max="12255" width="6" style="265" customWidth="1"/>
    <col min="12256" max="12256" width="10.7109375" style="265" customWidth="1"/>
    <col min="12257" max="12257" width="6.85546875" style="265" customWidth="1"/>
    <col min="12258" max="12258" width="12" style="265" customWidth="1"/>
    <col min="12259" max="12259" width="5.140625" style="265" customWidth="1"/>
    <col min="12260" max="12260" width="9" style="265" customWidth="1"/>
    <col min="12261" max="12261" width="5.140625" style="265" customWidth="1"/>
    <col min="12262" max="12262" width="9.85546875" style="265" customWidth="1"/>
    <col min="12263" max="12263" width="5.140625" style="265" customWidth="1"/>
    <col min="12264" max="12264" width="9" style="265" customWidth="1"/>
    <col min="12265" max="12265" width="5.140625" style="265" customWidth="1"/>
    <col min="12266" max="12268" width="9.85546875" style="265" customWidth="1"/>
    <col min="12269" max="12269" width="7.140625" style="265" customWidth="1"/>
    <col min="12270" max="12270" width="10.28515625" style="265" customWidth="1"/>
    <col min="12271" max="12271" width="6.42578125" style="265" customWidth="1"/>
    <col min="12272" max="12272" width="9.7109375" style="265" customWidth="1"/>
    <col min="12273" max="12273" width="6.28515625" style="265" customWidth="1"/>
    <col min="12274" max="12274" width="9" style="265" customWidth="1"/>
    <col min="12275" max="12275" width="8" style="265" customWidth="1"/>
    <col min="12276" max="12276" width="12.85546875" style="265" customWidth="1"/>
    <col min="12277" max="12277" width="5.140625" style="265" customWidth="1"/>
    <col min="12278" max="12278" width="9.85546875" style="265" customWidth="1"/>
    <col min="12279" max="12279" width="6.7109375" style="265" customWidth="1"/>
    <col min="12280" max="12280" width="12.42578125" style="265" customWidth="1"/>
    <col min="12281" max="12281" width="5.140625" style="265" customWidth="1"/>
    <col min="12282" max="12282" width="9" style="265" customWidth="1"/>
    <col min="12283" max="12283" width="5.140625" style="265" customWidth="1"/>
    <col min="12284" max="12284" width="9.85546875" style="265" customWidth="1"/>
    <col min="12285" max="12285" width="5.140625" style="265" customWidth="1"/>
    <col min="12286" max="12286" width="6.85546875" style="265" customWidth="1"/>
    <col min="12287" max="12287" width="5.140625" style="265" customWidth="1"/>
    <col min="12288" max="12288" width="10.5703125" style="265" customWidth="1"/>
    <col min="12289" max="12290" width="9" style="265" customWidth="1"/>
    <col min="12291" max="12291" width="7.140625" style="265" customWidth="1"/>
    <col min="12292" max="12292" width="10.28515625" style="265" customWidth="1"/>
    <col min="12293" max="12293" width="6.42578125" style="265" customWidth="1"/>
    <col min="12294" max="12294" width="9.7109375" style="265" customWidth="1"/>
    <col min="12295" max="12295" width="6.28515625" style="265" customWidth="1"/>
    <col min="12296" max="12296" width="9" style="265" customWidth="1"/>
    <col min="12297" max="12297" width="5.140625" style="265" customWidth="1"/>
    <col min="12298" max="12298" width="9.85546875" style="265" customWidth="1"/>
    <col min="12299" max="12299" width="5.140625" style="265" customWidth="1"/>
    <col min="12300" max="12300" width="9.85546875" style="265" customWidth="1"/>
    <col min="12301" max="12301" width="5.140625" style="265" customWidth="1"/>
    <col min="12302" max="12302" width="9.85546875" style="265" customWidth="1"/>
    <col min="12303" max="12303" width="5.140625" style="265" customWidth="1"/>
    <col min="12304" max="12304" width="9" style="265" customWidth="1"/>
    <col min="12305" max="12305" width="5.140625" style="265" customWidth="1"/>
    <col min="12306" max="12306" width="9.85546875" style="265" customWidth="1"/>
    <col min="12307" max="12307" width="5.140625" style="265" customWidth="1"/>
    <col min="12308" max="12308" width="6.85546875" style="265" customWidth="1"/>
    <col min="12309" max="12309" width="5.140625" style="265" customWidth="1"/>
    <col min="12310" max="12310" width="9" style="265" customWidth="1"/>
    <col min="12311" max="12311" width="7.140625" style="265" customWidth="1"/>
    <col min="12312" max="12312" width="10.28515625" style="265" customWidth="1"/>
    <col min="12313" max="12313" width="6.42578125" style="265" customWidth="1"/>
    <col min="12314" max="12314" width="9.7109375" style="265" customWidth="1"/>
    <col min="12315" max="12315" width="6.28515625" style="265" customWidth="1"/>
    <col min="12316" max="12316" width="13" style="265" customWidth="1"/>
    <col min="12317" max="12317" width="6.85546875" style="265" customWidth="1"/>
    <col min="12318" max="12318" width="12.28515625" style="265" customWidth="1"/>
    <col min="12319" max="12319" width="7.7109375" style="265" customWidth="1"/>
    <col min="12320" max="12320" width="10.42578125" style="265" customWidth="1"/>
    <col min="12321" max="12321" width="11.28515625" style="265" customWidth="1"/>
    <col min="12322" max="12322" width="12.28515625" style="265" customWidth="1"/>
    <col min="12323" max="12323" width="5.140625" style="265" customWidth="1"/>
    <col min="12324" max="12324" width="9" style="265" customWidth="1"/>
    <col min="12325" max="12325" width="5.140625" style="265" customWidth="1"/>
    <col min="12326" max="12326" width="9.85546875" style="265" customWidth="1"/>
    <col min="12327" max="12327" width="5.140625" style="265" customWidth="1"/>
    <col min="12328" max="12328" width="6.85546875" style="265" customWidth="1"/>
    <col min="12329" max="12329" width="5.140625" style="265" customWidth="1"/>
    <col min="12330" max="12330" width="10.7109375" style="265" customWidth="1"/>
    <col min="12331" max="12331" width="6.85546875" style="265" customWidth="1"/>
    <col min="12332" max="12332" width="12" style="265" customWidth="1"/>
    <col min="12333" max="12333" width="0" style="265" hidden="1" customWidth="1"/>
    <col min="12334" max="12334" width="8.42578125" style="265" customWidth="1"/>
    <col min="12335" max="12335" width="12" style="265" customWidth="1"/>
    <col min="12336" max="12336" width="8.28515625" style="265" customWidth="1"/>
    <col min="12337" max="12337" width="15.28515625" style="265" customWidth="1"/>
    <col min="12338" max="12338" width="13.5703125" style="265" customWidth="1"/>
    <col min="12339" max="12340" width="0" style="265" hidden="1" customWidth="1"/>
    <col min="12341" max="12342" width="15.7109375" style="265" customWidth="1"/>
    <col min="12343" max="12343" width="17.28515625" style="265" customWidth="1"/>
    <col min="12344" max="12344" width="0" style="265" hidden="1" customWidth="1"/>
    <col min="12345" max="12345" width="18.28515625" style="265" customWidth="1"/>
    <col min="12346" max="12346" width="17.42578125" style="265" customWidth="1"/>
    <col min="12347" max="12347" width="10.7109375" style="265" bestFit="1" customWidth="1"/>
    <col min="12348" max="12348" width="11" style="265" bestFit="1" customWidth="1"/>
    <col min="12349" max="12498" width="8.85546875" style="265"/>
    <col min="12499" max="12499" width="4.7109375" style="265" customWidth="1"/>
    <col min="12500" max="12502" width="16" style="265" customWidth="1"/>
    <col min="12503" max="12503" width="9.42578125" style="265" customWidth="1"/>
    <col min="12504" max="12504" width="10.28515625" style="265" customWidth="1"/>
    <col min="12505" max="12505" width="7.85546875" style="265" customWidth="1"/>
    <col min="12506" max="12506" width="9.7109375" style="265" customWidth="1"/>
    <col min="12507" max="12507" width="6" style="265" customWidth="1"/>
    <col min="12508" max="12508" width="10.7109375" style="265" customWidth="1"/>
    <col min="12509" max="12509" width="8.28515625" style="265" customWidth="1"/>
    <col min="12510" max="12510" width="12.28515625" style="265" customWidth="1"/>
    <col min="12511" max="12511" width="6" style="265" customWidth="1"/>
    <col min="12512" max="12512" width="10.7109375" style="265" customWidth="1"/>
    <col min="12513" max="12513" width="6.85546875" style="265" customWidth="1"/>
    <col min="12514" max="12514" width="12" style="265" customWidth="1"/>
    <col min="12515" max="12515" width="5.140625" style="265" customWidth="1"/>
    <col min="12516" max="12516" width="9" style="265" customWidth="1"/>
    <col min="12517" max="12517" width="5.140625" style="265" customWidth="1"/>
    <col min="12518" max="12518" width="9.85546875" style="265" customWidth="1"/>
    <col min="12519" max="12519" width="5.140625" style="265" customWidth="1"/>
    <col min="12520" max="12520" width="9" style="265" customWidth="1"/>
    <col min="12521" max="12521" width="5.140625" style="265" customWidth="1"/>
    <col min="12522" max="12524" width="9.85546875" style="265" customWidth="1"/>
    <col min="12525" max="12525" width="7.140625" style="265" customWidth="1"/>
    <col min="12526" max="12526" width="10.28515625" style="265" customWidth="1"/>
    <col min="12527" max="12527" width="6.42578125" style="265" customWidth="1"/>
    <col min="12528" max="12528" width="9.7109375" style="265" customWidth="1"/>
    <col min="12529" max="12529" width="6.28515625" style="265" customWidth="1"/>
    <col min="12530" max="12530" width="9" style="265" customWidth="1"/>
    <col min="12531" max="12531" width="8" style="265" customWidth="1"/>
    <col min="12532" max="12532" width="12.85546875" style="265" customWidth="1"/>
    <col min="12533" max="12533" width="5.140625" style="265" customWidth="1"/>
    <col min="12534" max="12534" width="9.85546875" style="265" customWidth="1"/>
    <col min="12535" max="12535" width="6.7109375" style="265" customWidth="1"/>
    <col min="12536" max="12536" width="12.42578125" style="265" customWidth="1"/>
    <col min="12537" max="12537" width="5.140625" style="265" customWidth="1"/>
    <col min="12538" max="12538" width="9" style="265" customWidth="1"/>
    <col min="12539" max="12539" width="5.140625" style="265" customWidth="1"/>
    <col min="12540" max="12540" width="9.85546875" style="265" customWidth="1"/>
    <col min="12541" max="12541" width="5.140625" style="265" customWidth="1"/>
    <col min="12542" max="12542" width="6.85546875" style="265" customWidth="1"/>
    <col min="12543" max="12543" width="5.140625" style="265" customWidth="1"/>
    <col min="12544" max="12544" width="10.5703125" style="265" customWidth="1"/>
    <col min="12545" max="12546" width="9" style="265" customWidth="1"/>
    <col min="12547" max="12547" width="7.140625" style="265" customWidth="1"/>
    <col min="12548" max="12548" width="10.28515625" style="265" customWidth="1"/>
    <col min="12549" max="12549" width="6.42578125" style="265" customWidth="1"/>
    <col min="12550" max="12550" width="9.7109375" style="265" customWidth="1"/>
    <col min="12551" max="12551" width="6.28515625" style="265" customWidth="1"/>
    <col min="12552" max="12552" width="9" style="265" customWidth="1"/>
    <col min="12553" max="12553" width="5.140625" style="265" customWidth="1"/>
    <col min="12554" max="12554" width="9.85546875" style="265" customWidth="1"/>
    <col min="12555" max="12555" width="5.140625" style="265" customWidth="1"/>
    <col min="12556" max="12556" width="9.85546875" style="265" customWidth="1"/>
    <col min="12557" max="12557" width="5.140625" style="265" customWidth="1"/>
    <col min="12558" max="12558" width="9.85546875" style="265" customWidth="1"/>
    <col min="12559" max="12559" width="5.140625" style="265" customWidth="1"/>
    <col min="12560" max="12560" width="9" style="265" customWidth="1"/>
    <col min="12561" max="12561" width="5.140625" style="265" customWidth="1"/>
    <col min="12562" max="12562" width="9.85546875" style="265" customWidth="1"/>
    <col min="12563" max="12563" width="5.140625" style="265" customWidth="1"/>
    <col min="12564" max="12564" width="6.85546875" style="265" customWidth="1"/>
    <col min="12565" max="12565" width="5.140625" style="265" customWidth="1"/>
    <col min="12566" max="12566" width="9" style="265" customWidth="1"/>
    <col min="12567" max="12567" width="7.140625" style="265" customWidth="1"/>
    <col min="12568" max="12568" width="10.28515625" style="265" customWidth="1"/>
    <col min="12569" max="12569" width="6.42578125" style="265" customWidth="1"/>
    <col min="12570" max="12570" width="9.7109375" style="265" customWidth="1"/>
    <col min="12571" max="12571" width="6.28515625" style="265" customWidth="1"/>
    <col min="12572" max="12572" width="13" style="265" customWidth="1"/>
    <col min="12573" max="12573" width="6.85546875" style="265" customWidth="1"/>
    <col min="12574" max="12574" width="12.28515625" style="265" customWidth="1"/>
    <col min="12575" max="12575" width="7.7109375" style="265" customWidth="1"/>
    <col min="12576" max="12576" width="10.42578125" style="265" customWidth="1"/>
    <col min="12577" max="12577" width="11.28515625" style="265" customWidth="1"/>
    <col min="12578" max="12578" width="12.28515625" style="265" customWidth="1"/>
    <col min="12579" max="12579" width="5.140625" style="265" customWidth="1"/>
    <col min="12580" max="12580" width="9" style="265" customWidth="1"/>
    <col min="12581" max="12581" width="5.140625" style="265" customWidth="1"/>
    <col min="12582" max="12582" width="9.85546875" style="265" customWidth="1"/>
    <col min="12583" max="12583" width="5.140625" style="265" customWidth="1"/>
    <col min="12584" max="12584" width="6.85546875" style="265" customWidth="1"/>
    <col min="12585" max="12585" width="5.140625" style="265" customWidth="1"/>
    <col min="12586" max="12586" width="10.7109375" style="265" customWidth="1"/>
    <col min="12587" max="12587" width="6.85546875" style="265" customWidth="1"/>
    <col min="12588" max="12588" width="12" style="265" customWidth="1"/>
    <col min="12589" max="12589" width="0" style="265" hidden="1" customWidth="1"/>
    <col min="12590" max="12590" width="8.42578125" style="265" customWidth="1"/>
    <col min="12591" max="12591" width="12" style="265" customWidth="1"/>
    <col min="12592" max="12592" width="8.28515625" style="265" customWidth="1"/>
    <col min="12593" max="12593" width="15.28515625" style="265" customWidth="1"/>
    <col min="12594" max="12594" width="13.5703125" style="265" customWidth="1"/>
    <col min="12595" max="12596" width="0" style="265" hidden="1" customWidth="1"/>
    <col min="12597" max="12598" width="15.7109375" style="265" customWidth="1"/>
    <col min="12599" max="12599" width="17.28515625" style="265" customWidth="1"/>
    <col min="12600" max="12600" width="0" style="265" hidden="1" customWidth="1"/>
    <col min="12601" max="12601" width="18.28515625" style="265" customWidth="1"/>
    <col min="12602" max="12602" width="17.42578125" style="265" customWidth="1"/>
    <col min="12603" max="12603" width="10.7109375" style="265" bestFit="1" customWidth="1"/>
    <col min="12604" max="12604" width="11" style="265" bestFit="1" customWidth="1"/>
    <col min="12605" max="12754" width="8.85546875" style="265"/>
    <col min="12755" max="12755" width="4.7109375" style="265" customWidth="1"/>
    <col min="12756" max="12758" width="16" style="265" customWidth="1"/>
    <col min="12759" max="12759" width="9.42578125" style="265" customWidth="1"/>
    <col min="12760" max="12760" width="10.28515625" style="265" customWidth="1"/>
    <col min="12761" max="12761" width="7.85546875" style="265" customWidth="1"/>
    <col min="12762" max="12762" width="9.7109375" style="265" customWidth="1"/>
    <col min="12763" max="12763" width="6" style="265" customWidth="1"/>
    <col min="12764" max="12764" width="10.7109375" style="265" customWidth="1"/>
    <col min="12765" max="12765" width="8.28515625" style="265" customWidth="1"/>
    <col min="12766" max="12766" width="12.28515625" style="265" customWidth="1"/>
    <col min="12767" max="12767" width="6" style="265" customWidth="1"/>
    <col min="12768" max="12768" width="10.7109375" style="265" customWidth="1"/>
    <col min="12769" max="12769" width="6.85546875" style="265" customWidth="1"/>
    <col min="12770" max="12770" width="12" style="265" customWidth="1"/>
    <col min="12771" max="12771" width="5.140625" style="265" customWidth="1"/>
    <col min="12772" max="12772" width="9" style="265" customWidth="1"/>
    <col min="12773" max="12773" width="5.140625" style="265" customWidth="1"/>
    <col min="12774" max="12774" width="9.85546875" style="265" customWidth="1"/>
    <col min="12775" max="12775" width="5.140625" style="265" customWidth="1"/>
    <col min="12776" max="12776" width="9" style="265" customWidth="1"/>
    <col min="12777" max="12777" width="5.140625" style="265" customWidth="1"/>
    <col min="12778" max="12780" width="9.85546875" style="265" customWidth="1"/>
    <col min="12781" max="12781" width="7.140625" style="265" customWidth="1"/>
    <col min="12782" max="12782" width="10.28515625" style="265" customWidth="1"/>
    <col min="12783" max="12783" width="6.42578125" style="265" customWidth="1"/>
    <col min="12784" max="12784" width="9.7109375" style="265" customWidth="1"/>
    <col min="12785" max="12785" width="6.28515625" style="265" customWidth="1"/>
    <col min="12786" max="12786" width="9" style="265" customWidth="1"/>
    <col min="12787" max="12787" width="8" style="265" customWidth="1"/>
    <col min="12788" max="12788" width="12.85546875" style="265" customWidth="1"/>
    <col min="12789" max="12789" width="5.140625" style="265" customWidth="1"/>
    <col min="12790" max="12790" width="9.85546875" style="265" customWidth="1"/>
    <col min="12791" max="12791" width="6.7109375" style="265" customWidth="1"/>
    <col min="12792" max="12792" width="12.42578125" style="265" customWidth="1"/>
    <col min="12793" max="12793" width="5.140625" style="265" customWidth="1"/>
    <col min="12794" max="12794" width="9" style="265" customWidth="1"/>
    <col min="12795" max="12795" width="5.140625" style="265" customWidth="1"/>
    <col min="12796" max="12796" width="9.85546875" style="265" customWidth="1"/>
    <col min="12797" max="12797" width="5.140625" style="265" customWidth="1"/>
    <col min="12798" max="12798" width="6.85546875" style="265" customWidth="1"/>
    <col min="12799" max="12799" width="5.140625" style="265" customWidth="1"/>
    <col min="12800" max="12800" width="10.5703125" style="265" customWidth="1"/>
    <col min="12801" max="12802" width="9" style="265" customWidth="1"/>
    <col min="12803" max="12803" width="7.140625" style="265" customWidth="1"/>
    <col min="12804" max="12804" width="10.28515625" style="265" customWidth="1"/>
    <col min="12805" max="12805" width="6.42578125" style="265" customWidth="1"/>
    <col min="12806" max="12806" width="9.7109375" style="265" customWidth="1"/>
    <col min="12807" max="12807" width="6.28515625" style="265" customWidth="1"/>
    <col min="12808" max="12808" width="9" style="265" customWidth="1"/>
    <col min="12809" max="12809" width="5.140625" style="265" customWidth="1"/>
    <col min="12810" max="12810" width="9.85546875" style="265" customWidth="1"/>
    <col min="12811" max="12811" width="5.140625" style="265" customWidth="1"/>
    <col min="12812" max="12812" width="9.85546875" style="265" customWidth="1"/>
    <col min="12813" max="12813" width="5.140625" style="265" customWidth="1"/>
    <col min="12814" max="12814" width="9.85546875" style="265" customWidth="1"/>
    <col min="12815" max="12815" width="5.140625" style="265" customWidth="1"/>
    <col min="12816" max="12816" width="9" style="265" customWidth="1"/>
    <col min="12817" max="12817" width="5.140625" style="265" customWidth="1"/>
    <col min="12818" max="12818" width="9.85546875" style="265" customWidth="1"/>
    <col min="12819" max="12819" width="5.140625" style="265" customWidth="1"/>
    <col min="12820" max="12820" width="6.85546875" style="265" customWidth="1"/>
    <col min="12821" max="12821" width="5.140625" style="265" customWidth="1"/>
    <col min="12822" max="12822" width="9" style="265" customWidth="1"/>
    <col min="12823" max="12823" width="7.140625" style="265" customWidth="1"/>
    <col min="12824" max="12824" width="10.28515625" style="265" customWidth="1"/>
    <col min="12825" max="12825" width="6.42578125" style="265" customWidth="1"/>
    <col min="12826" max="12826" width="9.7109375" style="265" customWidth="1"/>
    <col min="12827" max="12827" width="6.28515625" style="265" customWidth="1"/>
    <col min="12828" max="12828" width="13" style="265" customWidth="1"/>
    <col min="12829" max="12829" width="6.85546875" style="265" customWidth="1"/>
    <col min="12830" max="12830" width="12.28515625" style="265" customWidth="1"/>
    <col min="12831" max="12831" width="7.7109375" style="265" customWidth="1"/>
    <col min="12832" max="12832" width="10.42578125" style="265" customWidth="1"/>
    <col min="12833" max="12833" width="11.28515625" style="265" customWidth="1"/>
    <col min="12834" max="12834" width="12.28515625" style="265" customWidth="1"/>
    <col min="12835" max="12835" width="5.140625" style="265" customWidth="1"/>
    <col min="12836" max="12836" width="9" style="265" customWidth="1"/>
    <col min="12837" max="12837" width="5.140625" style="265" customWidth="1"/>
    <col min="12838" max="12838" width="9.85546875" style="265" customWidth="1"/>
    <col min="12839" max="12839" width="5.140625" style="265" customWidth="1"/>
    <col min="12840" max="12840" width="6.85546875" style="265" customWidth="1"/>
    <col min="12841" max="12841" width="5.140625" style="265" customWidth="1"/>
    <col min="12842" max="12842" width="10.7109375" style="265" customWidth="1"/>
    <col min="12843" max="12843" width="6.85546875" style="265" customWidth="1"/>
    <col min="12844" max="12844" width="12" style="265" customWidth="1"/>
    <col min="12845" max="12845" width="0" style="265" hidden="1" customWidth="1"/>
    <col min="12846" max="12846" width="8.42578125" style="265" customWidth="1"/>
    <col min="12847" max="12847" width="12" style="265" customWidth="1"/>
    <col min="12848" max="12848" width="8.28515625" style="265" customWidth="1"/>
    <col min="12849" max="12849" width="15.28515625" style="265" customWidth="1"/>
    <col min="12850" max="12850" width="13.5703125" style="265" customWidth="1"/>
    <col min="12851" max="12852" width="0" style="265" hidden="1" customWidth="1"/>
    <col min="12853" max="12854" width="15.7109375" style="265" customWidth="1"/>
    <col min="12855" max="12855" width="17.28515625" style="265" customWidth="1"/>
    <col min="12856" max="12856" width="0" style="265" hidden="1" customWidth="1"/>
    <col min="12857" max="12857" width="18.28515625" style="265" customWidth="1"/>
    <col min="12858" max="12858" width="17.42578125" style="265" customWidth="1"/>
    <col min="12859" max="12859" width="10.7109375" style="265" bestFit="1" customWidth="1"/>
    <col min="12860" max="12860" width="11" style="265" bestFit="1" customWidth="1"/>
    <col min="12861" max="13010" width="8.85546875" style="265"/>
    <col min="13011" max="13011" width="4.7109375" style="265" customWidth="1"/>
    <col min="13012" max="13014" width="16" style="265" customWidth="1"/>
    <col min="13015" max="13015" width="9.42578125" style="265" customWidth="1"/>
    <col min="13016" max="13016" width="10.28515625" style="265" customWidth="1"/>
    <col min="13017" max="13017" width="7.85546875" style="265" customWidth="1"/>
    <col min="13018" max="13018" width="9.7109375" style="265" customWidth="1"/>
    <col min="13019" max="13019" width="6" style="265" customWidth="1"/>
    <col min="13020" max="13020" width="10.7109375" style="265" customWidth="1"/>
    <col min="13021" max="13021" width="8.28515625" style="265" customWidth="1"/>
    <col min="13022" max="13022" width="12.28515625" style="265" customWidth="1"/>
    <col min="13023" max="13023" width="6" style="265" customWidth="1"/>
    <col min="13024" max="13024" width="10.7109375" style="265" customWidth="1"/>
    <col min="13025" max="13025" width="6.85546875" style="265" customWidth="1"/>
    <col min="13026" max="13026" width="12" style="265" customWidth="1"/>
    <col min="13027" max="13027" width="5.140625" style="265" customWidth="1"/>
    <col min="13028" max="13028" width="9" style="265" customWidth="1"/>
    <col min="13029" max="13029" width="5.140625" style="265" customWidth="1"/>
    <col min="13030" max="13030" width="9.85546875" style="265" customWidth="1"/>
    <col min="13031" max="13031" width="5.140625" style="265" customWidth="1"/>
    <col min="13032" max="13032" width="9" style="265" customWidth="1"/>
    <col min="13033" max="13033" width="5.140625" style="265" customWidth="1"/>
    <col min="13034" max="13036" width="9.85546875" style="265" customWidth="1"/>
    <col min="13037" max="13037" width="7.140625" style="265" customWidth="1"/>
    <col min="13038" max="13038" width="10.28515625" style="265" customWidth="1"/>
    <col min="13039" max="13039" width="6.42578125" style="265" customWidth="1"/>
    <col min="13040" max="13040" width="9.7109375" style="265" customWidth="1"/>
    <col min="13041" max="13041" width="6.28515625" style="265" customWidth="1"/>
    <col min="13042" max="13042" width="9" style="265" customWidth="1"/>
    <col min="13043" max="13043" width="8" style="265" customWidth="1"/>
    <col min="13044" max="13044" width="12.85546875" style="265" customWidth="1"/>
    <col min="13045" max="13045" width="5.140625" style="265" customWidth="1"/>
    <col min="13046" max="13046" width="9.85546875" style="265" customWidth="1"/>
    <col min="13047" max="13047" width="6.7109375" style="265" customWidth="1"/>
    <col min="13048" max="13048" width="12.42578125" style="265" customWidth="1"/>
    <col min="13049" max="13049" width="5.140625" style="265" customWidth="1"/>
    <col min="13050" max="13050" width="9" style="265" customWidth="1"/>
    <col min="13051" max="13051" width="5.140625" style="265" customWidth="1"/>
    <col min="13052" max="13052" width="9.85546875" style="265" customWidth="1"/>
    <col min="13053" max="13053" width="5.140625" style="265" customWidth="1"/>
    <col min="13054" max="13054" width="6.85546875" style="265" customWidth="1"/>
    <col min="13055" max="13055" width="5.140625" style="265" customWidth="1"/>
    <col min="13056" max="13056" width="10.5703125" style="265" customWidth="1"/>
    <col min="13057" max="13058" width="9" style="265" customWidth="1"/>
    <col min="13059" max="13059" width="7.140625" style="265" customWidth="1"/>
    <col min="13060" max="13060" width="10.28515625" style="265" customWidth="1"/>
    <col min="13061" max="13061" width="6.42578125" style="265" customWidth="1"/>
    <col min="13062" max="13062" width="9.7109375" style="265" customWidth="1"/>
    <col min="13063" max="13063" width="6.28515625" style="265" customWidth="1"/>
    <col min="13064" max="13064" width="9" style="265" customWidth="1"/>
    <col min="13065" max="13065" width="5.140625" style="265" customWidth="1"/>
    <col min="13066" max="13066" width="9.85546875" style="265" customWidth="1"/>
    <col min="13067" max="13067" width="5.140625" style="265" customWidth="1"/>
    <col min="13068" max="13068" width="9.85546875" style="265" customWidth="1"/>
    <col min="13069" max="13069" width="5.140625" style="265" customWidth="1"/>
    <col min="13070" max="13070" width="9.85546875" style="265" customWidth="1"/>
    <col min="13071" max="13071" width="5.140625" style="265" customWidth="1"/>
    <col min="13072" max="13072" width="9" style="265" customWidth="1"/>
    <col min="13073" max="13073" width="5.140625" style="265" customWidth="1"/>
    <col min="13074" max="13074" width="9.85546875" style="265" customWidth="1"/>
    <col min="13075" max="13075" width="5.140625" style="265" customWidth="1"/>
    <col min="13076" max="13076" width="6.85546875" style="265" customWidth="1"/>
    <col min="13077" max="13077" width="5.140625" style="265" customWidth="1"/>
    <col min="13078" max="13078" width="9" style="265" customWidth="1"/>
    <col min="13079" max="13079" width="7.140625" style="265" customWidth="1"/>
    <col min="13080" max="13080" width="10.28515625" style="265" customWidth="1"/>
    <col min="13081" max="13081" width="6.42578125" style="265" customWidth="1"/>
    <col min="13082" max="13082" width="9.7109375" style="265" customWidth="1"/>
    <col min="13083" max="13083" width="6.28515625" style="265" customWidth="1"/>
    <col min="13084" max="13084" width="13" style="265" customWidth="1"/>
    <col min="13085" max="13085" width="6.85546875" style="265" customWidth="1"/>
    <col min="13086" max="13086" width="12.28515625" style="265" customWidth="1"/>
    <col min="13087" max="13087" width="7.7109375" style="265" customWidth="1"/>
    <col min="13088" max="13088" width="10.42578125" style="265" customWidth="1"/>
    <col min="13089" max="13089" width="11.28515625" style="265" customWidth="1"/>
    <col min="13090" max="13090" width="12.28515625" style="265" customWidth="1"/>
    <col min="13091" max="13091" width="5.140625" style="265" customWidth="1"/>
    <col min="13092" max="13092" width="9" style="265" customWidth="1"/>
    <col min="13093" max="13093" width="5.140625" style="265" customWidth="1"/>
    <col min="13094" max="13094" width="9.85546875" style="265" customWidth="1"/>
    <col min="13095" max="13095" width="5.140625" style="265" customWidth="1"/>
    <col min="13096" max="13096" width="6.85546875" style="265" customWidth="1"/>
    <col min="13097" max="13097" width="5.140625" style="265" customWidth="1"/>
    <col min="13098" max="13098" width="10.7109375" style="265" customWidth="1"/>
    <col min="13099" max="13099" width="6.85546875" style="265" customWidth="1"/>
    <col min="13100" max="13100" width="12" style="265" customWidth="1"/>
    <col min="13101" max="13101" width="0" style="265" hidden="1" customWidth="1"/>
    <col min="13102" max="13102" width="8.42578125" style="265" customWidth="1"/>
    <col min="13103" max="13103" width="12" style="265" customWidth="1"/>
    <col min="13104" max="13104" width="8.28515625" style="265" customWidth="1"/>
    <col min="13105" max="13105" width="15.28515625" style="265" customWidth="1"/>
    <col min="13106" max="13106" width="13.5703125" style="265" customWidth="1"/>
    <col min="13107" max="13108" width="0" style="265" hidden="1" customWidth="1"/>
    <col min="13109" max="13110" width="15.7109375" style="265" customWidth="1"/>
    <col min="13111" max="13111" width="17.28515625" style="265" customWidth="1"/>
    <col min="13112" max="13112" width="0" style="265" hidden="1" customWidth="1"/>
    <col min="13113" max="13113" width="18.28515625" style="265" customWidth="1"/>
    <col min="13114" max="13114" width="17.42578125" style="265" customWidth="1"/>
    <col min="13115" max="13115" width="10.7109375" style="265" bestFit="1" customWidth="1"/>
    <col min="13116" max="13116" width="11" style="265" bestFit="1" customWidth="1"/>
    <col min="13117" max="13266" width="8.85546875" style="265"/>
    <col min="13267" max="13267" width="4.7109375" style="265" customWidth="1"/>
    <col min="13268" max="13270" width="16" style="265" customWidth="1"/>
    <col min="13271" max="13271" width="9.42578125" style="265" customWidth="1"/>
    <col min="13272" max="13272" width="10.28515625" style="265" customWidth="1"/>
    <col min="13273" max="13273" width="7.85546875" style="265" customWidth="1"/>
    <col min="13274" max="13274" width="9.7109375" style="265" customWidth="1"/>
    <col min="13275" max="13275" width="6" style="265" customWidth="1"/>
    <col min="13276" max="13276" width="10.7109375" style="265" customWidth="1"/>
    <col min="13277" max="13277" width="8.28515625" style="265" customWidth="1"/>
    <col min="13278" max="13278" width="12.28515625" style="265" customWidth="1"/>
    <col min="13279" max="13279" width="6" style="265" customWidth="1"/>
    <col min="13280" max="13280" width="10.7109375" style="265" customWidth="1"/>
    <col min="13281" max="13281" width="6.85546875" style="265" customWidth="1"/>
    <col min="13282" max="13282" width="12" style="265" customWidth="1"/>
    <col min="13283" max="13283" width="5.140625" style="265" customWidth="1"/>
    <col min="13284" max="13284" width="9" style="265" customWidth="1"/>
    <col min="13285" max="13285" width="5.140625" style="265" customWidth="1"/>
    <col min="13286" max="13286" width="9.85546875" style="265" customWidth="1"/>
    <col min="13287" max="13287" width="5.140625" style="265" customWidth="1"/>
    <col min="13288" max="13288" width="9" style="265" customWidth="1"/>
    <col min="13289" max="13289" width="5.140625" style="265" customWidth="1"/>
    <col min="13290" max="13292" width="9.85546875" style="265" customWidth="1"/>
    <col min="13293" max="13293" width="7.140625" style="265" customWidth="1"/>
    <col min="13294" max="13294" width="10.28515625" style="265" customWidth="1"/>
    <col min="13295" max="13295" width="6.42578125" style="265" customWidth="1"/>
    <col min="13296" max="13296" width="9.7109375" style="265" customWidth="1"/>
    <col min="13297" max="13297" width="6.28515625" style="265" customWidth="1"/>
    <col min="13298" max="13298" width="9" style="265" customWidth="1"/>
    <col min="13299" max="13299" width="8" style="265" customWidth="1"/>
    <col min="13300" max="13300" width="12.85546875" style="265" customWidth="1"/>
    <col min="13301" max="13301" width="5.140625" style="265" customWidth="1"/>
    <col min="13302" max="13302" width="9.85546875" style="265" customWidth="1"/>
    <col min="13303" max="13303" width="6.7109375" style="265" customWidth="1"/>
    <col min="13304" max="13304" width="12.42578125" style="265" customWidth="1"/>
    <col min="13305" max="13305" width="5.140625" style="265" customWidth="1"/>
    <col min="13306" max="13306" width="9" style="265" customWidth="1"/>
    <col min="13307" max="13307" width="5.140625" style="265" customWidth="1"/>
    <col min="13308" max="13308" width="9.85546875" style="265" customWidth="1"/>
    <col min="13309" max="13309" width="5.140625" style="265" customWidth="1"/>
    <col min="13310" max="13310" width="6.85546875" style="265" customWidth="1"/>
    <col min="13311" max="13311" width="5.140625" style="265" customWidth="1"/>
    <col min="13312" max="13312" width="10.5703125" style="265" customWidth="1"/>
    <col min="13313" max="13314" width="9" style="265" customWidth="1"/>
    <col min="13315" max="13315" width="7.140625" style="265" customWidth="1"/>
    <col min="13316" max="13316" width="10.28515625" style="265" customWidth="1"/>
    <col min="13317" max="13317" width="6.42578125" style="265" customWidth="1"/>
    <col min="13318" max="13318" width="9.7109375" style="265" customWidth="1"/>
    <col min="13319" max="13319" width="6.28515625" style="265" customWidth="1"/>
    <col min="13320" max="13320" width="9" style="265" customWidth="1"/>
    <col min="13321" max="13321" width="5.140625" style="265" customWidth="1"/>
    <col min="13322" max="13322" width="9.85546875" style="265" customWidth="1"/>
    <col min="13323" max="13323" width="5.140625" style="265" customWidth="1"/>
    <col min="13324" max="13324" width="9.85546875" style="265" customWidth="1"/>
    <col min="13325" max="13325" width="5.140625" style="265" customWidth="1"/>
    <col min="13326" max="13326" width="9.85546875" style="265" customWidth="1"/>
    <col min="13327" max="13327" width="5.140625" style="265" customWidth="1"/>
    <col min="13328" max="13328" width="9" style="265" customWidth="1"/>
    <col min="13329" max="13329" width="5.140625" style="265" customWidth="1"/>
    <col min="13330" max="13330" width="9.85546875" style="265" customWidth="1"/>
    <col min="13331" max="13331" width="5.140625" style="265" customWidth="1"/>
    <col min="13332" max="13332" width="6.85546875" style="265" customWidth="1"/>
    <col min="13333" max="13333" width="5.140625" style="265" customWidth="1"/>
    <col min="13334" max="13334" width="9" style="265" customWidth="1"/>
    <col min="13335" max="13335" width="7.140625" style="265" customWidth="1"/>
    <col min="13336" max="13336" width="10.28515625" style="265" customWidth="1"/>
    <col min="13337" max="13337" width="6.42578125" style="265" customWidth="1"/>
    <col min="13338" max="13338" width="9.7109375" style="265" customWidth="1"/>
    <col min="13339" max="13339" width="6.28515625" style="265" customWidth="1"/>
    <col min="13340" max="13340" width="13" style="265" customWidth="1"/>
    <col min="13341" max="13341" width="6.85546875" style="265" customWidth="1"/>
    <col min="13342" max="13342" width="12.28515625" style="265" customWidth="1"/>
    <col min="13343" max="13343" width="7.7109375" style="265" customWidth="1"/>
    <col min="13344" max="13344" width="10.42578125" style="265" customWidth="1"/>
    <col min="13345" max="13345" width="11.28515625" style="265" customWidth="1"/>
    <col min="13346" max="13346" width="12.28515625" style="265" customWidth="1"/>
    <col min="13347" max="13347" width="5.140625" style="265" customWidth="1"/>
    <col min="13348" max="13348" width="9" style="265" customWidth="1"/>
    <col min="13349" max="13349" width="5.140625" style="265" customWidth="1"/>
    <col min="13350" max="13350" width="9.85546875" style="265" customWidth="1"/>
    <col min="13351" max="13351" width="5.140625" style="265" customWidth="1"/>
    <col min="13352" max="13352" width="6.85546875" style="265" customWidth="1"/>
    <col min="13353" max="13353" width="5.140625" style="265" customWidth="1"/>
    <col min="13354" max="13354" width="10.7109375" style="265" customWidth="1"/>
    <col min="13355" max="13355" width="6.85546875" style="265" customWidth="1"/>
    <col min="13356" max="13356" width="12" style="265" customWidth="1"/>
    <col min="13357" max="13357" width="0" style="265" hidden="1" customWidth="1"/>
    <col min="13358" max="13358" width="8.42578125" style="265" customWidth="1"/>
    <col min="13359" max="13359" width="12" style="265" customWidth="1"/>
    <col min="13360" max="13360" width="8.28515625" style="265" customWidth="1"/>
    <col min="13361" max="13361" width="15.28515625" style="265" customWidth="1"/>
    <col min="13362" max="13362" width="13.5703125" style="265" customWidth="1"/>
    <col min="13363" max="13364" width="0" style="265" hidden="1" customWidth="1"/>
    <col min="13365" max="13366" width="15.7109375" style="265" customWidth="1"/>
    <col min="13367" max="13367" width="17.28515625" style="265" customWidth="1"/>
    <col min="13368" max="13368" width="0" style="265" hidden="1" customWidth="1"/>
    <col min="13369" max="13369" width="18.28515625" style="265" customWidth="1"/>
    <col min="13370" max="13370" width="17.42578125" style="265" customWidth="1"/>
    <col min="13371" max="13371" width="10.7109375" style="265" bestFit="1" customWidth="1"/>
    <col min="13372" max="13372" width="11" style="265" bestFit="1" customWidth="1"/>
    <col min="13373" max="13522" width="8.85546875" style="265"/>
    <col min="13523" max="13523" width="4.7109375" style="265" customWidth="1"/>
    <col min="13524" max="13526" width="16" style="265" customWidth="1"/>
    <col min="13527" max="13527" width="9.42578125" style="265" customWidth="1"/>
    <col min="13528" max="13528" width="10.28515625" style="265" customWidth="1"/>
    <col min="13529" max="13529" width="7.85546875" style="265" customWidth="1"/>
    <col min="13530" max="13530" width="9.7109375" style="265" customWidth="1"/>
    <col min="13531" max="13531" width="6" style="265" customWidth="1"/>
    <col min="13532" max="13532" width="10.7109375" style="265" customWidth="1"/>
    <col min="13533" max="13533" width="8.28515625" style="265" customWidth="1"/>
    <col min="13534" max="13534" width="12.28515625" style="265" customWidth="1"/>
    <col min="13535" max="13535" width="6" style="265" customWidth="1"/>
    <col min="13536" max="13536" width="10.7109375" style="265" customWidth="1"/>
    <col min="13537" max="13537" width="6.85546875" style="265" customWidth="1"/>
    <col min="13538" max="13538" width="12" style="265" customWidth="1"/>
    <col min="13539" max="13539" width="5.140625" style="265" customWidth="1"/>
    <col min="13540" max="13540" width="9" style="265" customWidth="1"/>
    <col min="13541" max="13541" width="5.140625" style="265" customWidth="1"/>
    <col min="13542" max="13542" width="9.85546875" style="265" customWidth="1"/>
    <col min="13543" max="13543" width="5.140625" style="265" customWidth="1"/>
    <col min="13544" max="13544" width="9" style="265" customWidth="1"/>
    <col min="13545" max="13545" width="5.140625" style="265" customWidth="1"/>
    <col min="13546" max="13548" width="9.85546875" style="265" customWidth="1"/>
    <col min="13549" max="13549" width="7.140625" style="265" customWidth="1"/>
    <col min="13550" max="13550" width="10.28515625" style="265" customWidth="1"/>
    <col min="13551" max="13551" width="6.42578125" style="265" customWidth="1"/>
    <col min="13552" max="13552" width="9.7109375" style="265" customWidth="1"/>
    <col min="13553" max="13553" width="6.28515625" style="265" customWidth="1"/>
    <col min="13554" max="13554" width="9" style="265" customWidth="1"/>
    <col min="13555" max="13555" width="8" style="265" customWidth="1"/>
    <col min="13556" max="13556" width="12.85546875" style="265" customWidth="1"/>
    <col min="13557" max="13557" width="5.140625" style="265" customWidth="1"/>
    <col min="13558" max="13558" width="9.85546875" style="265" customWidth="1"/>
    <col min="13559" max="13559" width="6.7109375" style="265" customWidth="1"/>
    <col min="13560" max="13560" width="12.42578125" style="265" customWidth="1"/>
    <col min="13561" max="13561" width="5.140625" style="265" customWidth="1"/>
    <col min="13562" max="13562" width="9" style="265" customWidth="1"/>
    <col min="13563" max="13563" width="5.140625" style="265" customWidth="1"/>
    <col min="13564" max="13564" width="9.85546875" style="265" customWidth="1"/>
    <col min="13565" max="13565" width="5.140625" style="265" customWidth="1"/>
    <col min="13566" max="13566" width="6.85546875" style="265" customWidth="1"/>
    <col min="13567" max="13567" width="5.140625" style="265" customWidth="1"/>
    <col min="13568" max="13568" width="10.5703125" style="265" customWidth="1"/>
    <col min="13569" max="13570" width="9" style="265" customWidth="1"/>
    <col min="13571" max="13571" width="7.140625" style="265" customWidth="1"/>
    <col min="13572" max="13572" width="10.28515625" style="265" customWidth="1"/>
    <col min="13573" max="13573" width="6.42578125" style="265" customWidth="1"/>
    <col min="13574" max="13574" width="9.7109375" style="265" customWidth="1"/>
    <col min="13575" max="13575" width="6.28515625" style="265" customWidth="1"/>
    <col min="13576" max="13576" width="9" style="265" customWidth="1"/>
    <col min="13577" max="13577" width="5.140625" style="265" customWidth="1"/>
    <col min="13578" max="13578" width="9.85546875" style="265" customWidth="1"/>
    <col min="13579" max="13579" width="5.140625" style="265" customWidth="1"/>
    <col min="13580" max="13580" width="9.85546875" style="265" customWidth="1"/>
    <col min="13581" max="13581" width="5.140625" style="265" customWidth="1"/>
    <col min="13582" max="13582" width="9.85546875" style="265" customWidth="1"/>
    <col min="13583" max="13583" width="5.140625" style="265" customWidth="1"/>
    <col min="13584" max="13584" width="9" style="265" customWidth="1"/>
    <col min="13585" max="13585" width="5.140625" style="265" customWidth="1"/>
    <col min="13586" max="13586" width="9.85546875" style="265" customWidth="1"/>
    <col min="13587" max="13587" width="5.140625" style="265" customWidth="1"/>
    <col min="13588" max="13588" width="6.85546875" style="265" customWidth="1"/>
    <col min="13589" max="13589" width="5.140625" style="265" customWidth="1"/>
    <col min="13590" max="13590" width="9" style="265" customWidth="1"/>
    <col min="13591" max="13591" width="7.140625" style="265" customWidth="1"/>
    <col min="13592" max="13592" width="10.28515625" style="265" customWidth="1"/>
    <col min="13593" max="13593" width="6.42578125" style="265" customWidth="1"/>
    <col min="13594" max="13594" width="9.7109375" style="265" customWidth="1"/>
    <col min="13595" max="13595" width="6.28515625" style="265" customWidth="1"/>
    <col min="13596" max="13596" width="13" style="265" customWidth="1"/>
    <col min="13597" max="13597" width="6.85546875" style="265" customWidth="1"/>
    <col min="13598" max="13598" width="12.28515625" style="265" customWidth="1"/>
    <col min="13599" max="13599" width="7.7109375" style="265" customWidth="1"/>
    <col min="13600" max="13600" width="10.42578125" style="265" customWidth="1"/>
    <col min="13601" max="13601" width="11.28515625" style="265" customWidth="1"/>
    <col min="13602" max="13602" width="12.28515625" style="265" customWidth="1"/>
    <col min="13603" max="13603" width="5.140625" style="265" customWidth="1"/>
    <col min="13604" max="13604" width="9" style="265" customWidth="1"/>
    <col min="13605" max="13605" width="5.140625" style="265" customWidth="1"/>
    <col min="13606" max="13606" width="9.85546875" style="265" customWidth="1"/>
    <col min="13607" max="13607" width="5.140625" style="265" customWidth="1"/>
    <col min="13608" max="13608" width="6.85546875" style="265" customWidth="1"/>
    <col min="13609" max="13609" width="5.140625" style="265" customWidth="1"/>
    <col min="13610" max="13610" width="10.7109375" style="265" customWidth="1"/>
    <col min="13611" max="13611" width="6.85546875" style="265" customWidth="1"/>
    <col min="13612" max="13612" width="12" style="265" customWidth="1"/>
    <col min="13613" max="13613" width="0" style="265" hidden="1" customWidth="1"/>
    <col min="13614" max="13614" width="8.42578125" style="265" customWidth="1"/>
    <col min="13615" max="13615" width="12" style="265" customWidth="1"/>
    <col min="13616" max="13616" width="8.28515625" style="265" customWidth="1"/>
    <col min="13617" max="13617" width="15.28515625" style="265" customWidth="1"/>
    <col min="13618" max="13618" width="13.5703125" style="265" customWidth="1"/>
    <col min="13619" max="13620" width="0" style="265" hidden="1" customWidth="1"/>
    <col min="13621" max="13622" width="15.7109375" style="265" customWidth="1"/>
    <col min="13623" max="13623" width="17.28515625" style="265" customWidth="1"/>
    <col min="13624" max="13624" width="0" style="265" hidden="1" customWidth="1"/>
    <col min="13625" max="13625" width="18.28515625" style="265" customWidth="1"/>
    <col min="13626" max="13626" width="17.42578125" style="265" customWidth="1"/>
    <col min="13627" max="13627" width="10.7109375" style="265" bestFit="1" customWidth="1"/>
    <col min="13628" max="13628" width="11" style="265" bestFit="1" customWidth="1"/>
    <col min="13629" max="13778" width="8.85546875" style="265"/>
    <col min="13779" max="13779" width="4.7109375" style="265" customWidth="1"/>
    <col min="13780" max="13782" width="16" style="265" customWidth="1"/>
    <col min="13783" max="13783" width="9.42578125" style="265" customWidth="1"/>
    <col min="13784" max="13784" width="10.28515625" style="265" customWidth="1"/>
    <col min="13785" max="13785" width="7.85546875" style="265" customWidth="1"/>
    <col min="13786" max="13786" width="9.7109375" style="265" customWidth="1"/>
    <col min="13787" max="13787" width="6" style="265" customWidth="1"/>
    <col min="13788" max="13788" width="10.7109375" style="265" customWidth="1"/>
    <col min="13789" max="13789" width="8.28515625" style="265" customWidth="1"/>
    <col min="13790" max="13790" width="12.28515625" style="265" customWidth="1"/>
    <col min="13791" max="13791" width="6" style="265" customWidth="1"/>
    <col min="13792" max="13792" width="10.7109375" style="265" customWidth="1"/>
    <col min="13793" max="13793" width="6.85546875" style="265" customWidth="1"/>
    <col min="13794" max="13794" width="12" style="265" customWidth="1"/>
    <col min="13795" max="13795" width="5.140625" style="265" customWidth="1"/>
    <col min="13796" max="13796" width="9" style="265" customWidth="1"/>
    <col min="13797" max="13797" width="5.140625" style="265" customWidth="1"/>
    <col min="13798" max="13798" width="9.85546875" style="265" customWidth="1"/>
    <col min="13799" max="13799" width="5.140625" style="265" customWidth="1"/>
    <col min="13800" max="13800" width="9" style="265" customWidth="1"/>
    <col min="13801" max="13801" width="5.140625" style="265" customWidth="1"/>
    <col min="13802" max="13804" width="9.85546875" style="265" customWidth="1"/>
    <col min="13805" max="13805" width="7.140625" style="265" customWidth="1"/>
    <col min="13806" max="13806" width="10.28515625" style="265" customWidth="1"/>
    <col min="13807" max="13807" width="6.42578125" style="265" customWidth="1"/>
    <col min="13808" max="13808" width="9.7109375" style="265" customWidth="1"/>
    <col min="13809" max="13809" width="6.28515625" style="265" customWidth="1"/>
    <col min="13810" max="13810" width="9" style="265" customWidth="1"/>
    <col min="13811" max="13811" width="8" style="265" customWidth="1"/>
    <col min="13812" max="13812" width="12.85546875" style="265" customWidth="1"/>
    <col min="13813" max="13813" width="5.140625" style="265" customWidth="1"/>
    <col min="13814" max="13814" width="9.85546875" style="265" customWidth="1"/>
    <col min="13815" max="13815" width="6.7109375" style="265" customWidth="1"/>
    <col min="13816" max="13816" width="12.42578125" style="265" customWidth="1"/>
    <col min="13817" max="13817" width="5.140625" style="265" customWidth="1"/>
    <col min="13818" max="13818" width="9" style="265" customWidth="1"/>
    <col min="13819" max="13819" width="5.140625" style="265" customWidth="1"/>
    <col min="13820" max="13820" width="9.85546875" style="265" customWidth="1"/>
    <col min="13821" max="13821" width="5.140625" style="265" customWidth="1"/>
    <col min="13822" max="13822" width="6.85546875" style="265" customWidth="1"/>
    <col min="13823" max="13823" width="5.140625" style="265" customWidth="1"/>
    <col min="13824" max="13824" width="10.5703125" style="265" customWidth="1"/>
    <col min="13825" max="13826" width="9" style="265" customWidth="1"/>
    <col min="13827" max="13827" width="7.140625" style="265" customWidth="1"/>
    <col min="13828" max="13828" width="10.28515625" style="265" customWidth="1"/>
    <col min="13829" max="13829" width="6.42578125" style="265" customWidth="1"/>
    <col min="13830" max="13830" width="9.7109375" style="265" customWidth="1"/>
    <col min="13831" max="13831" width="6.28515625" style="265" customWidth="1"/>
    <col min="13832" max="13832" width="9" style="265" customWidth="1"/>
    <col min="13833" max="13833" width="5.140625" style="265" customWidth="1"/>
    <col min="13834" max="13834" width="9.85546875" style="265" customWidth="1"/>
    <col min="13835" max="13835" width="5.140625" style="265" customWidth="1"/>
    <col min="13836" max="13836" width="9.85546875" style="265" customWidth="1"/>
    <col min="13837" max="13837" width="5.140625" style="265" customWidth="1"/>
    <col min="13838" max="13838" width="9.85546875" style="265" customWidth="1"/>
    <col min="13839" max="13839" width="5.140625" style="265" customWidth="1"/>
    <col min="13840" max="13840" width="9" style="265" customWidth="1"/>
    <col min="13841" max="13841" width="5.140625" style="265" customWidth="1"/>
    <col min="13842" max="13842" width="9.85546875" style="265" customWidth="1"/>
    <col min="13843" max="13843" width="5.140625" style="265" customWidth="1"/>
    <col min="13844" max="13844" width="6.85546875" style="265" customWidth="1"/>
    <col min="13845" max="13845" width="5.140625" style="265" customWidth="1"/>
    <col min="13846" max="13846" width="9" style="265" customWidth="1"/>
    <col min="13847" max="13847" width="7.140625" style="265" customWidth="1"/>
    <col min="13848" max="13848" width="10.28515625" style="265" customWidth="1"/>
    <col min="13849" max="13849" width="6.42578125" style="265" customWidth="1"/>
    <col min="13850" max="13850" width="9.7109375" style="265" customWidth="1"/>
    <col min="13851" max="13851" width="6.28515625" style="265" customWidth="1"/>
    <col min="13852" max="13852" width="13" style="265" customWidth="1"/>
    <col min="13853" max="13853" width="6.85546875" style="265" customWidth="1"/>
    <col min="13854" max="13854" width="12.28515625" style="265" customWidth="1"/>
    <col min="13855" max="13855" width="7.7109375" style="265" customWidth="1"/>
    <col min="13856" max="13856" width="10.42578125" style="265" customWidth="1"/>
    <col min="13857" max="13857" width="11.28515625" style="265" customWidth="1"/>
    <col min="13858" max="13858" width="12.28515625" style="265" customWidth="1"/>
    <col min="13859" max="13859" width="5.140625" style="265" customWidth="1"/>
    <col min="13860" max="13860" width="9" style="265" customWidth="1"/>
    <col min="13861" max="13861" width="5.140625" style="265" customWidth="1"/>
    <col min="13862" max="13862" width="9.85546875" style="265" customWidth="1"/>
    <col min="13863" max="13863" width="5.140625" style="265" customWidth="1"/>
    <col min="13864" max="13864" width="6.85546875" style="265" customWidth="1"/>
    <col min="13865" max="13865" width="5.140625" style="265" customWidth="1"/>
    <col min="13866" max="13866" width="10.7109375" style="265" customWidth="1"/>
    <col min="13867" max="13867" width="6.85546875" style="265" customWidth="1"/>
    <col min="13868" max="13868" width="12" style="265" customWidth="1"/>
    <col min="13869" max="13869" width="0" style="265" hidden="1" customWidth="1"/>
    <col min="13870" max="13870" width="8.42578125" style="265" customWidth="1"/>
    <col min="13871" max="13871" width="12" style="265" customWidth="1"/>
    <col min="13872" max="13872" width="8.28515625" style="265" customWidth="1"/>
    <col min="13873" max="13873" width="15.28515625" style="265" customWidth="1"/>
    <col min="13874" max="13874" width="13.5703125" style="265" customWidth="1"/>
    <col min="13875" max="13876" width="0" style="265" hidden="1" customWidth="1"/>
    <col min="13877" max="13878" width="15.7109375" style="265" customWidth="1"/>
    <col min="13879" max="13879" width="17.28515625" style="265" customWidth="1"/>
    <col min="13880" max="13880" width="0" style="265" hidden="1" customWidth="1"/>
    <col min="13881" max="13881" width="18.28515625" style="265" customWidth="1"/>
    <col min="13882" max="13882" width="17.42578125" style="265" customWidth="1"/>
    <col min="13883" max="13883" width="10.7109375" style="265" bestFit="1" customWidth="1"/>
    <col min="13884" max="13884" width="11" style="265" bestFit="1" customWidth="1"/>
    <col min="13885" max="14034" width="8.85546875" style="265"/>
    <col min="14035" max="14035" width="4.7109375" style="265" customWidth="1"/>
    <col min="14036" max="14038" width="16" style="265" customWidth="1"/>
    <col min="14039" max="14039" width="9.42578125" style="265" customWidth="1"/>
    <col min="14040" max="14040" width="10.28515625" style="265" customWidth="1"/>
    <col min="14041" max="14041" width="7.85546875" style="265" customWidth="1"/>
    <col min="14042" max="14042" width="9.7109375" style="265" customWidth="1"/>
    <col min="14043" max="14043" width="6" style="265" customWidth="1"/>
    <col min="14044" max="14044" width="10.7109375" style="265" customWidth="1"/>
    <col min="14045" max="14045" width="8.28515625" style="265" customWidth="1"/>
    <col min="14046" max="14046" width="12.28515625" style="265" customWidth="1"/>
    <col min="14047" max="14047" width="6" style="265" customWidth="1"/>
    <col min="14048" max="14048" width="10.7109375" style="265" customWidth="1"/>
    <col min="14049" max="14049" width="6.85546875" style="265" customWidth="1"/>
    <col min="14050" max="14050" width="12" style="265" customWidth="1"/>
    <col min="14051" max="14051" width="5.140625" style="265" customWidth="1"/>
    <col min="14052" max="14052" width="9" style="265" customWidth="1"/>
    <col min="14053" max="14053" width="5.140625" style="265" customWidth="1"/>
    <col min="14054" max="14054" width="9.85546875" style="265" customWidth="1"/>
    <col min="14055" max="14055" width="5.140625" style="265" customWidth="1"/>
    <col min="14056" max="14056" width="9" style="265" customWidth="1"/>
    <col min="14057" max="14057" width="5.140625" style="265" customWidth="1"/>
    <col min="14058" max="14060" width="9.85546875" style="265" customWidth="1"/>
    <col min="14061" max="14061" width="7.140625" style="265" customWidth="1"/>
    <col min="14062" max="14062" width="10.28515625" style="265" customWidth="1"/>
    <col min="14063" max="14063" width="6.42578125" style="265" customWidth="1"/>
    <col min="14064" max="14064" width="9.7109375" style="265" customWidth="1"/>
    <col min="14065" max="14065" width="6.28515625" style="265" customWidth="1"/>
    <col min="14066" max="14066" width="9" style="265" customWidth="1"/>
    <col min="14067" max="14067" width="8" style="265" customWidth="1"/>
    <col min="14068" max="14068" width="12.85546875" style="265" customWidth="1"/>
    <col min="14069" max="14069" width="5.140625" style="265" customWidth="1"/>
    <col min="14070" max="14070" width="9.85546875" style="265" customWidth="1"/>
    <col min="14071" max="14071" width="6.7109375" style="265" customWidth="1"/>
    <col min="14072" max="14072" width="12.42578125" style="265" customWidth="1"/>
    <col min="14073" max="14073" width="5.140625" style="265" customWidth="1"/>
    <col min="14074" max="14074" width="9" style="265" customWidth="1"/>
    <col min="14075" max="14075" width="5.140625" style="265" customWidth="1"/>
    <col min="14076" max="14076" width="9.85546875" style="265" customWidth="1"/>
    <col min="14077" max="14077" width="5.140625" style="265" customWidth="1"/>
    <col min="14078" max="14078" width="6.85546875" style="265" customWidth="1"/>
    <col min="14079" max="14079" width="5.140625" style="265" customWidth="1"/>
    <col min="14080" max="14080" width="10.5703125" style="265" customWidth="1"/>
    <col min="14081" max="14082" width="9" style="265" customWidth="1"/>
    <col min="14083" max="14083" width="7.140625" style="265" customWidth="1"/>
    <col min="14084" max="14084" width="10.28515625" style="265" customWidth="1"/>
    <col min="14085" max="14085" width="6.42578125" style="265" customWidth="1"/>
    <col min="14086" max="14086" width="9.7109375" style="265" customWidth="1"/>
    <col min="14087" max="14087" width="6.28515625" style="265" customWidth="1"/>
    <col min="14088" max="14088" width="9" style="265" customWidth="1"/>
    <col min="14089" max="14089" width="5.140625" style="265" customWidth="1"/>
    <col min="14090" max="14090" width="9.85546875" style="265" customWidth="1"/>
    <col min="14091" max="14091" width="5.140625" style="265" customWidth="1"/>
    <col min="14092" max="14092" width="9.85546875" style="265" customWidth="1"/>
    <col min="14093" max="14093" width="5.140625" style="265" customWidth="1"/>
    <col min="14094" max="14094" width="9.85546875" style="265" customWidth="1"/>
    <col min="14095" max="14095" width="5.140625" style="265" customWidth="1"/>
    <col min="14096" max="14096" width="9" style="265" customWidth="1"/>
    <col min="14097" max="14097" width="5.140625" style="265" customWidth="1"/>
    <col min="14098" max="14098" width="9.85546875" style="265" customWidth="1"/>
    <col min="14099" max="14099" width="5.140625" style="265" customWidth="1"/>
    <col min="14100" max="14100" width="6.85546875" style="265" customWidth="1"/>
    <col min="14101" max="14101" width="5.140625" style="265" customWidth="1"/>
    <col min="14102" max="14102" width="9" style="265" customWidth="1"/>
    <col min="14103" max="14103" width="7.140625" style="265" customWidth="1"/>
    <col min="14104" max="14104" width="10.28515625" style="265" customWidth="1"/>
    <col min="14105" max="14105" width="6.42578125" style="265" customWidth="1"/>
    <col min="14106" max="14106" width="9.7109375" style="265" customWidth="1"/>
    <col min="14107" max="14107" width="6.28515625" style="265" customWidth="1"/>
    <col min="14108" max="14108" width="13" style="265" customWidth="1"/>
    <col min="14109" max="14109" width="6.85546875" style="265" customWidth="1"/>
    <col min="14110" max="14110" width="12.28515625" style="265" customWidth="1"/>
    <col min="14111" max="14111" width="7.7109375" style="265" customWidth="1"/>
    <col min="14112" max="14112" width="10.42578125" style="265" customWidth="1"/>
    <col min="14113" max="14113" width="11.28515625" style="265" customWidth="1"/>
    <col min="14114" max="14114" width="12.28515625" style="265" customWidth="1"/>
    <col min="14115" max="14115" width="5.140625" style="265" customWidth="1"/>
    <col min="14116" max="14116" width="9" style="265" customWidth="1"/>
    <col min="14117" max="14117" width="5.140625" style="265" customWidth="1"/>
    <col min="14118" max="14118" width="9.85546875" style="265" customWidth="1"/>
    <col min="14119" max="14119" width="5.140625" style="265" customWidth="1"/>
    <col min="14120" max="14120" width="6.85546875" style="265" customWidth="1"/>
    <col min="14121" max="14121" width="5.140625" style="265" customWidth="1"/>
    <col min="14122" max="14122" width="10.7109375" style="265" customWidth="1"/>
    <col min="14123" max="14123" width="6.85546875" style="265" customWidth="1"/>
    <col min="14124" max="14124" width="12" style="265" customWidth="1"/>
    <col min="14125" max="14125" width="0" style="265" hidden="1" customWidth="1"/>
    <col min="14126" max="14126" width="8.42578125" style="265" customWidth="1"/>
    <col min="14127" max="14127" width="12" style="265" customWidth="1"/>
    <col min="14128" max="14128" width="8.28515625" style="265" customWidth="1"/>
    <col min="14129" max="14129" width="15.28515625" style="265" customWidth="1"/>
    <col min="14130" max="14130" width="13.5703125" style="265" customWidth="1"/>
    <col min="14131" max="14132" width="0" style="265" hidden="1" customWidth="1"/>
    <col min="14133" max="14134" width="15.7109375" style="265" customWidth="1"/>
    <col min="14135" max="14135" width="17.28515625" style="265" customWidth="1"/>
    <col min="14136" max="14136" width="0" style="265" hidden="1" customWidth="1"/>
    <col min="14137" max="14137" width="18.28515625" style="265" customWidth="1"/>
    <col min="14138" max="14138" width="17.42578125" style="265" customWidth="1"/>
    <col min="14139" max="14139" width="10.7109375" style="265" bestFit="1" customWidth="1"/>
    <col min="14140" max="14140" width="11" style="265" bestFit="1" customWidth="1"/>
    <col min="14141" max="14290" width="8.85546875" style="265"/>
    <col min="14291" max="14291" width="4.7109375" style="265" customWidth="1"/>
    <col min="14292" max="14294" width="16" style="265" customWidth="1"/>
    <col min="14295" max="14295" width="9.42578125" style="265" customWidth="1"/>
    <col min="14296" max="14296" width="10.28515625" style="265" customWidth="1"/>
    <col min="14297" max="14297" width="7.85546875" style="265" customWidth="1"/>
    <col min="14298" max="14298" width="9.7109375" style="265" customWidth="1"/>
    <col min="14299" max="14299" width="6" style="265" customWidth="1"/>
    <col min="14300" max="14300" width="10.7109375" style="265" customWidth="1"/>
    <col min="14301" max="14301" width="8.28515625" style="265" customWidth="1"/>
    <col min="14302" max="14302" width="12.28515625" style="265" customWidth="1"/>
    <col min="14303" max="14303" width="6" style="265" customWidth="1"/>
    <col min="14304" max="14304" width="10.7109375" style="265" customWidth="1"/>
    <col min="14305" max="14305" width="6.85546875" style="265" customWidth="1"/>
    <col min="14306" max="14306" width="12" style="265" customWidth="1"/>
    <col min="14307" max="14307" width="5.140625" style="265" customWidth="1"/>
    <col min="14308" max="14308" width="9" style="265" customWidth="1"/>
    <col min="14309" max="14309" width="5.140625" style="265" customWidth="1"/>
    <col min="14310" max="14310" width="9.85546875" style="265" customWidth="1"/>
    <col min="14311" max="14311" width="5.140625" style="265" customWidth="1"/>
    <col min="14312" max="14312" width="9" style="265" customWidth="1"/>
    <col min="14313" max="14313" width="5.140625" style="265" customWidth="1"/>
    <col min="14314" max="14316" width="9.85546875" style="265" customWidth="1"/>
    <col min="14317" max="14317" width="7.140625" style="265" customWidth="1"/>
    <col min="14318" max="14318" width="10.28515625" style="265" customWidth="1"/>
    <col min="14319" max="14319" width="6.42578125" style="265" customWidth="1"/>
    <col min="14320" max="14320" width="9.7109375" style="265" customWidth="1"/>
    <col min="14321" max="14321" width="6.28515625" style="265" customWidth="1"/>
    <col min="14322" max="14322" width="9" style="265" customWidth="1"/>
    <col min="14323" max="14323" width="8" style="265" customWidth="1"/>
    <col min="14324" max="14324" width="12.85546875" style="265" customWidth="1"/>
    <col min="14325" max="14325" width="5.140625" style="265" customWidth="1"/>
    <col min="14326" max="14326" width="9.85546875" style="265" customWidth="1"/>
    <col min="14327" max="14327" width="6.7109375" style="265" customWidth="1"/>
    <col min="14328" max="14328" width="12.42578125" style="265" customWidth="1"/>
    <col min="14329" max="14329" width="5.140625" style="265" customWidth="1"/>
    <col min="14330" max="14330" width="9" style="265" customWidth="1"/>
    <col min="14331" max="14331" width="5.140625" style="265" customWidth="1"/>
    <col min="14332" max="14332" width="9.85546875" style="265" customWidth="1"/>
    <col min="14333" max="14333" width="5.140625" style="265" customWidth="1"/>
    <col min="14334" max="14334" width="6.85546875" style="265" customWidth="1"/>
    <col min="14335" max="14335" width="5.140625" style="265" customWidth="1"/>
    <col min="14336" max="14336" width="10.5703125" style="265" customWidth="1"/>
    <col min="14337" max="14338" width="9" style="265" customWidth="1"/>
    <col min="14339" max="14339" width="7.140625" style="265" customWidth="1"/>
    <col min="14340" max="14340" width="10.28515625" style="265" customWidth="1"/>
    <col min="14341" max="14341" width="6.42578125" style="265" customWidth="1"/>
    <col min="14342" max="14342" width="9.7109375" style="265" customWidth="1"/>
    <col min="14343" max="14343" width="6.28515625" style="265" customWidth="1"/>
    <col min="14344" max="14344" width="9" style="265" customWidth="1"/>
    <col min="14345" max="14345" width="5.140625" style="265" customWidth="1"/>
    <col min="14346" max="14346" width="9.85546875" style="265" customWidth="1"/>
    <col min="14347" max="14347" width="5.140625" style="265" customWidth="1"/>
    <col min="14348" max="14348" width="9.85546875" style="265" customWidth="1"/>
    <col min="14349" max="14349" width="5.140625" style="265" customWidth="1"/>
    <col min="14350" max="14350" width="9.85546875" style="265" customWidth="1"/>
    <col min="14351" max="14351" width="5.140625" style="265" customWidth="1"/>
    <col min="14352" max="14352" width="9" style="265" customWidth="1"/>
    <col min="14353" max="14353" width="5.140625" style="265" customWidth="1"/>
    <col min="14354" max="14354" width="9.85546875" style="265" customWidth="1"/>
    <col min="14355" max="14355" width="5.140625" style="265" customWidth="1"/>
    <col min="14356" max="14356" width="6.85546875" style="265" customWidth="1"/>
    <col min="14357" max="14357" width="5.140625" style="265" customWidth="1"/>
    <col min="14358" max="14358" width="9" style="265" customWidth="1"/>
    <col min="14359" max="14359" width="7.140625" style="265" customWidth="1"/>
    <col min="14360" max="14360" width="10.28515625" style="265" customWidth="1"/>
    <col min="14361" max="14361" width="6.42578125" style="265" customWidth="1"/>
    <col min="14362" max="14362" width="9.7109375" style="265" customWidth="1"/>
    <col min="14363" max="14363" width="6.28515625" style="265" customWidth="1"/>
    <col min="14364" max="14364" width="13" style="265" customWidth="1"/>
    <col min="14365" max="14365" width="6.85546875" style="265" customWidth="1"/>
    <col min="14366" max="14366" width="12.28515625" style="265" customWidth="1"/>
    <col min="14367" max="14367" width="7.7109375" style="265" customWidth="1"/>
    <col min="14368" max="14368" width="10.42578125" style="265" customWidth="1"/>
    <col min="14369" max="14369" width="11.28515625" style="265" customWidth="1"/>
    <col min="14370" max="14370" width="12.28515625" style="265" customWidth="1"/>
    <col min="14371" max="14371" width="5.140625" style="265" customWidth="1"/>
    <col min="14372" max="14372" width="9" style="265" customWidth="1"/>
    <col min="14373" max="14373" width="5.140625" style="265" customWidth="1"/>
    <col min="14374" max="14374" width="9.85546875" style="265" customWidth="1"/>
    <col min="14375" max="14375" width="5.140625" style="265" customWidth="1"/>
    <col min="14376" max="14376" width="6.85546875" style="265" customWidth="1"/>
    <col min="14377" max="14377" width="5.140625" style="265" customWidth="1"/>
    <col min="14378" max="14378" width="10.7109375" style="265" customWidth="1"/>
    <col min="14379" max="14379" width="6.85546875" style="265" customWidth="1"/>
    <col min="14380" max="14380" width="12" style="265" customWidth="1"/>
    <col min="14381" max="14381" width="0" style="265" hidden="1" customWidth="1"/>
    <col min="14382" max="14382" width="8.42578125" style="265" customWidth="1"/>
    <col min="14383" max="14383" width="12" style="265" customWidth="1"/>
    <col min="14384" max="14384" width="8.28515625" style="265" customWidth="1"/>
    <col min="14385" max="14385" width="15.28515625" style="265" customWidth="1"/>
    <col min="14386" max="14386" width="13.5703125" style="265" customWidth="1"/>
    <col min="14387" max="14388" width="0" style="265" hidden="1" customWidth="1"/>
    <col min="14389" max="14390" width="15.7109375" style="265" customWidth="1"/>
    <col min="14391" max="14391" width="17.28515625" style="265" customWidth="1"/>
    <col min="14392" max="14392" width="0" style="265" hidden="1" customWidth="1"/>
    <col min="14393" max="14393" width="18.28515625" style="265" customWidth="1"/>
    <col min="14394" max="14394" width="17.42578125" style="265" customWidth="1"/>
    <col min="14395" max="14395" width="10.7109375" style="265" bestFit="1" customWidth="1"/>
    <col min="14396" max="14396" width="11" style="265" bestFit="1" customWidth="1"/>
    <col min="14397" max="14546" width="8.85546875" style="265"/>
    <col min="14547" max="14547" width="4.7109375" style="265" customWidth="1"/>
    <col min="14548" max="14550" width="16" style="265" customWidth="1"/>
    <col min="14551" max="14551" width="9.42578125" style="265" customWidth="1"/>
    <col min="14552" max="14552" width="10.28515625" style="265" customWidth="1"/>
    <col min="14553" max="14553" width="7.85546875" style="265" customWidth="1"/>
    <col min="14554" max="14554" width="9.7109375" style="265" customWidth="1"/>
    <col min="14555" max="14555" width="6" style="265" customWidth="1"/>
    <col min="14556" max="14556" width="10.7109375" style="265" customWidth="1"/>
    <col min="14557" max="14557" width="8.28515625" style="265" customWidth="1"/>
    <col min="14558" max="14558" width="12.28515625" style="265" customWidth="1"/>
    <col min="14559" max="14559" width="6" style="265" customWidth="1"/>
    <col min="14560" max="14560" width="10.7109375" style="265" customWidth="1"/>
    <col min="14561" max="14561" width="6.85546875" style="265" customWidth="1"/>
    <col min="14562" max="14562" width="12" style="265" customWidth="1"/>
    <col min="14563" max="14563" width="5.140625" style="265" customWidth="1"/>
    <col min="14564" max="14564" width="9" style="265" customWidth="1"/>
    <col min="14565" max="14565" width="5.140625" style="265" customWidth="1"/>
    <col min="14566" max="14566" width="9.85546875" style="265" customWidth="1"/>
    <col min="14567" max="14567" width="5.140625" style="265" customWidth="1"/>
    <col min="14568" max="14568" width="9" style="265" customWidth="1"/>
    <col min="14569" max="14569" width="5.140625" style="265" customWidth="1"/>
    <col min="14570" max="14572" width="9.85546875" style="265" customWidth="1"/>
    <col min="14573" max="14573" width="7.140625" style="265" customWidth="1"/>
    <col min="14574" max="14574" width="10.28515625" style="265" customWidth="1"/>
    <col min="14575" max="14575" width="6.42578125" style="265" customWidth="1"/>
    <col min="14576" max="14576" width="9.7109375" style="265" customWidth="1"/>
    <col min="14577" max="14577" width="6.28515625" style="265" customWidth="1"/>
    <col min="14578" max="14578" width="9" style="265" customWidth="1"/>
    <col min="14579" max="14579" width="8" style="265" customWidth="1"/>
    <col min="14580" max="14580" width="12.85546875" style="265" customWidth="1"/>
    <col min="14581" max="14581" width="5.140625" style="265" customWidth="1"/>
    <col min="14582" max="14582" width="9.85546875" style="265" customWidth="1"/>
    <col min="14583" max="14583" width="6.7109375" style="265" customWidth="1"/>
    <col min="14584" max="14584" width="12.42578125" style="265" customWidth="1"/>
    <col min="14585" max="14585" width="5.140625" style="265" customWidth="1"/>
    <col min="14586" max="14586" width="9" style="265" customWidth="1"/>
    <col min="14587" max="14587" width="5.140625" style="265" customWidth="1"/>
    <col min="14588" max="14588" width="9.85546875" style="265" customWidth="1"/>
    <col min="14589" max="14589" width="5.140625" style="265" customWidth="1"/>
    <col min="14590" max="14590" width="6.85546875" style="265" customWidth="1"/>
    <col min="14591" max="14591" width="5.140625" style="265" customWidth="1"/>
    <col min="14592" max="14592" width="10.5703125" style="265" customWidth="1"/>
    <col min="14593" max="14594" width="9" style="265" customWidth="1"/>
    <col min="14595" max="14595" width="7.140625" style="265" customWidth="1"/>
    <col min="14596" max="14596" width="10.28515625" style="265" customWidth="1"/>
    <col min="14597" max="14597" width="6.42578125" style="265" customWidth="1"/>
    <col min="14598" max="14598" width="9.7109375" style="265" customWidth="1"/>
    <col min="14599" max="14599" width="6.28515625" style="265" customWidth="1"/>
    <col min="14600" max="14600" width="9" style="265" customWidth="1"/>
    <col min="14601" max="14601" width="5.140625" style="265" customWidth="1"/>
    <col min="14602" max="14602" width="9.85546875" style="265" customWidth="1"/>
    <col min="14603" max="14603" width="5.140625" style="265" customWidth="1"/>
    <col min="14604" max="14604" width="9.85546875" style="265" customWidth="1"/>
    <col min="14605" max="14605" width="5.140625" style="265" customWidth="1"/>
    <col min="14606" max="14606" width="9.85546875" style="265" customWidth="1"/>
    <col min="14607" max="14607" width="5.140625" style="265" customWidth="1"/>
    <col min="14608" max="14608" width="9" style="265" customWidth="1"/>
    <col min="14609" max="14609" width="5.140625" style="265" customWidth="1"/>
    <col min="14610" max="14610" width="9.85546875" style="265" customWidth="1"/>
    <col min="14611" max="14611" width="5.140625" style="265" customWidth="1"/>
    <col min="14612" max="14612" width="6.85546875" style="265" customWidth="1"/>
    <col min="14613" max="14613" width="5.140625" style="265" customWidth="1"/>
    <col min="14614" max="14614" width="9" style="265" customWidth="1"/>
    <col min="14615" max="14615" width="7.140625" style="265" customWidth="1"/>
    <col min="14616" max="14616" width="10.28515625" style="265" customWidth="1"/>
    <col min="14617" max="14617" width="6.42578125" style="265" customWidth="1"/>
    <col min="14618" max="14618" width="9.7109375" style="265" customWidth="1"/>
    <col min="14619" max="14619" width="6.28515625" style="265" customWidth="1"/>
    <col min="14620" max="14620" width="13" style="265" customWidth="1"/>
    <col min="14621" max="14621" width="6.85546875" style="265" customWidth="1"/>
    <col min="14622" max="14622" width="12.28515625" style="265" customWidth="1"/>
    <col min="14623" max="14623" width="7.7109375" style="265" customWidth="1"/>
    <col min="14624" max="14624" width="10.42578125" style="265" customWidth="1"/>
    <col min="14625" max="14625" width="11.28515625" style="265" customWidth="1"/>
    <col min="14626" max="14626" width="12.28515625" style="265" customWidth="1"/>
    <col min="14627" max="14627" width="5.140625" style="265" customWidth="1"/>
    <col min="14628" max="14628" width="9" style="265" customWidth="1"/>
    <col min="14629" max="14629" width="5.140625" style="265" customWidth="1"/>
    <col min="14630" max="14630" width="9.85546875" style="265" customWidth="1"/>
    <col min="14631" max="14631" width="5.140625" style="265" customWidth="1"/>
    <col min="14632" max="14632" width="6.85546875" style="265" customWidth="1"/>
    <col min="14633" max="14633" width="5.140625" style="265" customWidth="1"/>
    <col min="14634" max="14634" width="10.7109375" style="265" customWidth="1"/>
    <col min="14635" max="14635" width="6.85546875" style="265" customWidth="1"/>
    <col min="14636" max="14636" width="12" style="265" customWidth="1"/>
    <col min="14637" max="14637" width="0" style="265" hidden="1" customWidth="1"/>
    <col min="14638" max="14638" width="8.42578125" style="265" customWidth="1"/>
    <col min="14639" max="14639" width="12" style="265" customWidth="1"/>
    <col min="14640" max="14640" width="8.28515625" style="265" customWidth="1"/>
    <col min="14641" max="14641" width="15.28515625" style="265" customWidth="1"/>
    <col min="14642" max="14642" width="13.5703125" style="265" customWidth="1"/>
    <col min="14643" max="14644" width="0" style="265" hidden="1" customWidth="1"/>
    <col min="14645" max="14646" width="15.7109375" style="265" customWidth="1"/>
    <col min="14647" max="14647" width="17.28515625" style="265" customWidth="1"/>
    <col min="14648" max="14648" width="0" style="265" hidden="1" customWidth="1"/>
    <col min="14649" max="14649" width="18.28515625" style="265" customWidth="1"/>
    <col min="14650" max="14650" width="17.42578125" style="265" customWidth="1"/>
    <col min="14651" max="14651" width="10.7109375" style="265" bestFit="1" customWidth="1"/>
    <col min="14652" max="14652" width="11" style="265" bestFit="1" customWidth="1"/>
    <col min="14653" max="14802" width="8.85546875" style="265"/>
    <col min="14803" max="14803" width="4.7109375" style="265" customWidth="1"/>
    <col min="14804" max="14806" width="16" style="265" customWidth="1"/>
    <col min="14807" max="14807" width="9.42578125" style="265" customWidth="1"/>
    <col min="14808" max="14808" width="10.28515625" style="265" customWidth="1"/>
    <col min="14809" max="14809" width="7.85546875" style="265" customWidth="1"/>
    <col min="14810" max="14810" width="9.7109375" style="265" customWidth="1"/>
    <col min="14811" max="14811" width="6" style="265" customWidth="1"/>
    <col min="14812" max="14812" width="10.7109375" style="265" customWidth="1"/>
    <col min="14813" max="14813" width="8.28515625" style="265" customWidth="1"/>
    <col min="14814" max="14814" width="12.28515625" style="265" customWidth="1"/>
    <col min="14815" max="14815" width="6" style="265" customWidth="1"/>
    <col min="14816" max="14816" width="10.7109375" style="265" customWidth="1"/>
    <col min="14817" max="14817" width="6.85546875" style="265" customWidth="1"/>
    <col min="14818" max="14818" width="12" style="265" customWidth="1"/>
    <col min="14819" max="14819" width="5.140625" style="265" customWidth="1"/>
    <col min="14820" max="14820" width="9" style="265" customWidth="1"/>
    <col min="14821" max="14821" width="5.140625" style="265" customWidth="1"/>
    <col min="14822" max="14822" width="9.85546875" style="265" customWidth="1"/>
    <col min="14823" max="14823" width="5.140625" style="265" customWidth="1"/>
    <col min="14824" max="14824" width="9" style="265" customWidth="1"/>
    <col min="14825" max="14825" width="5.140625" style="265" customWidth="1"/>
    <col min="14826" max="14828" width="9.85546875" style="265" customWidth="1"/>
    <col min="14829" max="14829" width="7.140625" style="265" customWidth="1"/>
    <col min="14830" max="14830" width="10.28515625" style="265" customWidth="1"/>
    <col min="14831" max="14831" width="6.42578125" style="265" customWidth="1"/>
    <col min="14832" max="14832" width="9.7109375" style="265" customWidth="1"/>
    <col min="14833" max="14833" width="6.28515625" style="265" customWidth="1"/>
    <col min="14834" max="14834" width="9" style="265" customWidth="1"/>
    <col min="14835" max="14835" width="8" style="265" customWidth="1"/>
    <col min="14836" max="14836" width="12.85546875" style="265" customWidth="1"/>
    <col min="14837" max="14837" width="5.140625" style="265" customWidth="1"/>
    <col min="14838" max="14838" width="9.85546875" style="265" customWidth="1"/>
    <col min="14839" max="14839" width="6.7109375" style="265" customWidth="1"/>
    <col min="14840" max="14840" width="12.42578125" style="265" customWidth="1"/>
    <col min="14841" max="14841" width="5.140625" style="265" customWidth="1"/>
    <col min="14842" max="14842" width="9" style="265" customWidth="1"/>
    <col min="14843" max="14843" width="5.140625" style="265" customWidth="1"/>
    <col min="14844" max="14844" width="9.85546875" style="265" customWidth="1"/>
    <col min="14845" max="14845" width="5.140625" style="265" customWidth="1"/>
    <col min="14846" max="14846" width="6.85546875" style="265" customWidth="1"/>
    <col min="14847" max="14847" width="5.140625" style="265" customWidth="1"/>
    <col min="14848" max="14848" width="10.5703125" style="265" customWidth="1"/>
    <col min="14849" max="14850" width="9" style="265" customWidth="1"/>
    <col min="14851" max="14851" width="7.140625" style="265" customWidth="1"/>
    <col min="14852" max="14852" width="10.28515625" style="265" customWidth="1"/>
    <col min="14853" max="14853" width="6.42578125" style="265" customWidth="1"/>
    <col min="14854" max="14854" width="9.7109375" style="265" customWidth="1"/>
    <col min="14855" max="14855" width="6.28515625" style="265" customWidth="1"/>
    <col min="14856" max="14856" width="9" style="265" customWidth="1"/>
    <col min="14857" max="14857" width="5.140625" style="265" customWidth="1"/>
    <col min="14858" max="14858" width="9.85546875" style="265" customWidth="1"/>
    <col min="14859" max="14859" width="5.140625" style="265" customWidth="1"/>
    <col min="14860" max="14860" width="9.85546875" style="265" customWidth="1"/>
    <col min="14861" max="14861" width="5.140625" style="265" customWidth="1"/>
    <col min="14862" max="14862" width="9.85546875" style="265" customWidth="1"/>
    <col min="14863" max="14863" width="5.140625" style="265" customWidth="1"/>
    <col min="14864" max="14864" width="9" style="265" customWidth="1"/>
    <col min="14865" max="14865" width="5.140625" style="265" customWidth="1"/>
    <col min="14866" max="14866" width="9.85546875" style="265" customWidth="1"/>
    <col min="14867" max="14867" width="5.140625" style="265" customWidth="1"/>
    <col min="14868" max="14868" width="6.85546875" style="265" customWidth="1"/>
    <col min="14869" max="14869" width="5.140625" style="265" customWidth="1"/>
    <col min="14870" max="14870" width="9" style="265" customWidth="1"/>
    <col min="14871" max="14871" width="7.140625" style="265" customWidth="1"/>
    <col min="14872" max="14872" width="10.28515625" style="265" customWidth="1"/>
    <col min="14873" max="14873" width="6.42578125" style="265" customWidth="1"/>
    <col min="14874" max="14874" width="9.7109375" style="265" customWidth="1"/>
    <col min="14875" max="14875" width="6.28515625" style="265" customWidth="1"/>
    <col min="14876" max="14876" width="13" style="265" customWidth="1"/>
    <col min="14877" max="14877" width="6.85546875" style="265" customWidth="1"/>
    <col min="14878" max="14878" width="12.28515625" style="265" customWidth="1"/>
    <col min="14879" max="14879" width="7.7109375" style="265" customWidth="1"/>
    <col min="14880" max="14880" width="10.42578125" style="265" customWidth="1"/>
    <col min="14881" max="14881" width="11.28515625" style="265" customWidth="1"/>
    <col min="14882" max="14882" width="12.28515625" style="265" customWidth="1"/>
    <col min="14883" max="14883" width="5.140625" style="265" customWidth="1"/>
    <col min="14884" max="14884" width="9" style="265" customWidth="1"/>
    <col min="14885" max="14885" width="5.140625" style="265" customWidth="1"/>
    <col min="14886" max="14886" width="9.85546875" style="265" customWidth="1"/>
    <col min="14887" max="14887" width="5.140625" style="265" customWidth="1"/>
    <col min="14888" max="14888" width="6.85546875" style="265" customWidth="1"/>
    <col min="14889" max="14889" width="5.140625" style="265" customWidth="1"/>
    <col min="14890" max="14890" width="10.7109375" style="265" customWidth="1"/>
    <col min="14891" max="14891" width="6.85546875" style="265" customWidth="1"/>
    <col min="14892" max="14892" width="12" style="265" customWidth="1"/>
    <col min="14893" max="14893" width="0" style="265" hidden="1" customWidth="1"/>
    <col min="14894" max="14894" width="8.42578125" style="265" customWidth="1"/>
    <col min="14895" max="14895" width="12" style="265" customWidth="1"/>
    <col min="14896" max="14896" width="8.28515625" style="265" customWidth="1"/>
    <col min="14897" max="14897" width="15.28515625" style="265" customWidth="1"/>
    <col min="14898" max="14898" width="13.5703125" style="265" customWidth="1"/>
    <col min="14899" max="14900" width="0" style="265" hidden="1" customWidth="1"/>
    <col min="14901" max="14902" width="15.7109375" style="265" customWidth="1"/>
    <col min="14903" max="14903" width="17.28515625" style="265" customWidth="1"/>
    <col min="14904" max="14904" width="0" style="265" hidden="1" customWidth="1"/>
    <col min="14905" max="14905" width="18.28515625" style="265" customWidth="1"/>
    <col min="14906" max="14906" width="17.42578125" style="265" customWidth="1"/>
    <col min="14907" max="14907" width="10.7109375" style="265" bestFit="1" customWidth="1"/>
    <col min="14908" max="14908" width="11" style="265" bestFit="1" customWidth="1"/>
    <col min="14909" max="15058" width="8.85546875" style="265"/>
    <col min="15059" max="15059" width="4.7109375" style="265" customWidth="1"/>
    <col min="15060" max="15062" width="16" style="265" customWidth="1"/>
    <col min="15063" max="15063" width="9.42578125" style="265" customWidth="1"/>
    <col min="15064" max="15064" width="10.28515625" style="265" customWidth="1"/>
    <col min="15065" max="15065" width="7.85546875" style="265" customWidth="1"/>
    <col min="15066" max="15066" width="9.7109375" style="265" customWidth="1"/>
    <col min="15067" max="15067" width="6" style="265" customWidth="1"/>
    <col min="15068" max="15068" width="10.7109375" style="265" customWidth="1"/>
    <col min="15069" max="15069" width="8.28515625" style="265" customWidth="1"/>
    <col min="15070" max="15070" width="12.28515625" style="265" customWidth="1"/>
    <col min="15071" max="15071" width="6" style="265" customWidth="1"/>
    <col min="15072" max="15072" width="10.7109375" style="265" customWidth="1"/>
    <col min="15073" max="15073" width="6.85546875" style="265" customWidth="1"/>
    <col min="15074" max="15074" width="12" style="265" customWidth="1"/>
    <col min="15075" max="15075" width="5.140625" style="265" customWidth="1"/>
    <col min="15076" max="15076" width="9" style="265" customWidth="1"/>
    <col min="15077" max="15077" width="5.140625" style="265" customWidth="1"/>
    <col min="15078" max="15078" width="9.85546875" style="265" customWidth="1"/>
    <col min="15079" max="15079" width="5.140625" style="265" customWidth="1"/>
    <col min="15080" max="15080" width="9" style="265" customWidth="1"/>
    <col min="15081" max="15081" width="5.140625" style="265" customWidth="1"/>
    <col min="15082" max="15084" width="9.85546875" style="265" customWidth="1"/>
    <col min="15085" max="15085" width="7.140625" style="265" customWidth="1"/>
    <col min="15086" max="15086" width="10.28515625" style="265" customWidth="1"/>
    <col min="15087" max="15087" width="6.42578125" style="265" customWidth="1"/>
    <col min="15088" max="15088" width="9.7109375" style="265" customWidth="1"/>
    <col min="15089" max="15089" width="6.28515625" style="265" customWidth="1"/>
    <col min="15090" max="15090" width="9" style="265" customWidth="1"/>
    <col min="15091" max="15091" width="8" style="265" customWidth="1"/>
    <col min="15092" max="15092" width="12.85546875" style="265" customWidth="1"/>
    <col min="15093" max="15093" width="5.140625" style="265" customWidth="1"/>
    <col min="15094" max="15094" width="9.85546875" style="265" customWidth="1"/>
    <col min="15095" max="15095" width="6.7109375" style="265" customWidth="1"/>
    <col min="15096" max="15096" width="12.42578125" style="265" customWidth="1"/>
    <col min="15097" max="15097" width="5.140625" style="265" customWidth="1"/>
    <col min="15098" max="15098" width="9" style="265" customWidth="1"/>
    <col min="15099" max="15099" width="5.140625" style="265" customWidth="1"/>
    <col min="15100" max="15100" width="9.85546875" style="265" customWidth="1"/>
    <col min="15101" max="15101" width="5.140625" style="265" customWidth="1"/>
    <col min="15102" max="15102" width="6.85546875" style="265" customWidth="1"/>
    <col min="15103" max="15103" width="5.140625" style="265" customWidth="1"/>
    <col min="15104" max="15104" width="10.5703125" style="265" customWidth="1"/>
    <col min="15105" max="15106" width="9" style="265" customWidth="1"/>
    <col min="15107" max="15107" width="7.140625" style="265" customWidth="1"/>
    <col min="15108" max="15108" width="10.28515625" style="265" customWidth="1"/>
    <col min="15109" max="15109" width="6.42578125" style="265" customWidth="1"/>
    <col min="15110" max="15110" width="9.7109375" style="265" customWidth="1"/>
    <col min="15111" max="15111" width="6.28515625" style="265" customWidth="1"/>
    <col min="15112" max="15112" width="9" style="265" customWidth="1"/>
    <col min="15113" max="15113" width="5.140625" style="265" customWidth="1"/>
    <col min="15114" max="15114" width="9.85546875" style="265" customWidth="1"/>
    <col min="15115" max="15115" width="5.140625" style="265" customWidth="1"/>
    <col min="15116" max="15116" width="9.85546875" style="265" customWidth="1"/>
    <col min="15117" max="15117" width="5.140625" style="265" customWidth="1"/>
    <col min="15118" max="15118" width="9.85546875" style="265" customWidth="1"/>
    <col min="15119" max="15119" width="5.140625" style="265" customWidth="1"/>
    <col min="15120" max="15120" width="9" style="265" customWidth="1"/>
    <col min="15121" max="15121" width="5.140625" style="265" customWidth="1"/>
    <col min="15122" max="15122" width="9.85546875" style="265" customWidth="1"/>
    <col min="15123" max="15123" width="5.140625" style="265" customWidth="1"/>
    <col min="15124" max="15124" width="6.85546875" style="265" customWidth="1"/>
    <col min="15125" max="15125" width="5.140625" style="265" customWidth="1"/>
    <col min="15126" max="15126" width="9" style="265" customWidth="1"/>
    <col min="15127" max="15127" width="7.140625" style="265" customWidth="1"/>
    <col min="15128" max="15128" width="10.28515625" style="265" customWidth="1"/>
    <col min="15129" max="15129" width="6.42578125" style="265" customWidth="1"/>
    <col min="15130" max="15130" width="9.7109375" style="265" customWidth="1"/>
    <col min="15131" max="15131" width="6.28515625" style="265" customWidth="1"/>
    <col min="15132" max="15132" width="13" style="265" customWidth="1"/>
    <col min="15133" max="15133" width="6.85546875" style="265" customWidth="1"/>
    <col min="15134" max="15134" width="12.28515625" style="265" customWidth="1"/>
    <col min="15135" max="15135" width="7.7109375" style="265" customWidth="1"/>
    <col min="15136" max="15136" width="10.42578125" style="265" customWidth="1"/>
    <col min="15137" max="15137" width="11.28515625" style="265" customWidth="1"/>
    <col min="15138" max="15138" width="12.28515625" style="265" customWidth="1"/>
    <col min="15139" max="15139" width="5.140625" style="265" customWidth="1"/>
    <col min="15140" max="15140" width="9" style="265" customWidth="1"/>
    <col min="15141" max="15141" width="5.140625" style="265" customWidth="1"/>
    <col min="15142" max="15142" width="9.85546875" style="265" customWidth="1"/>
    <col min="15143" max="15143" width="5.140625" style="265" customWidth="1"/>
    <col min="15144" max="15144" width="6.85546875" style="265" customWidth="1"/>
    <col min="15145" max="15145" width="5.140625" style="265" customWidth="1"/>
    <col min="15146" max="15146" width="10.7109375" style="265" customWidth="1"/>
    <col min="15147" max="15147" width="6.85546875" style="265" customWidth="1"/>
    <col min="15148" max="15148" width="12" style="265" customWidth="1"/>
    <col min="15149" max="15149" width="0" style="265" hidden="1" customWidth="1"/>
    <col min="15150" max="15150" width="8.42578125" style="265" customWidth="1"/>
    <col min="15151" max="15151" width="12" style="265" customWidth="1"/>
    <col min="15152" max="15152" width="8.28515625" style="265" customWidth="1"/>
    <col min="15153" max="15153" width="15.28515625" style="265" customWidth="1"/>
    <col min="15154" max="15154" width="13.5703125" style="265" customWidth="1"/>
    <col min="15155" max="15156" width="0" style="265" hidden="1" customWidth="1"/>
    <col min="15157" max="15158" width="15.7109375" style="265" customWidth="1"/>
    <col min="15159" max="15159" width="17.28515625" style="265" customWidth="1"/>
    <col min="15160" max="15160" width="0" style="265" hidden="1" customWidth="1"/>
    <col min="15161" max="15161" width="18.28515625" style="265" customWidth="1"/>
    <col min="15162" max="15162" width="17.42578125" style="265" customWidth="1"/>
    <col min="15163" max="15163" width="10.7109375" style="265" bestFit="1" customWidth="1"/>
    <col min="15164" max="15164" width="11" style="265" bestFit="1" customWidth="1"/>
    <col min="15165" max="15314" width="8.85546875" style="265"/>
    <col min="15315" max="15315" width="4.7109375" style="265" customWidth="1"/>
    <col min="15316" max="15318" width="16" style="265" customWidth="1"/>
    <col min="15319" max="15319" width="9.42578125" style="265" customWidth="1"/>
    <col min="15320" max="15320" width="10.28515625" style="265" customWidth="1"/>
    <col min="15321" max="15321" width="7.85546875" style="265" customWidth="1"/>
    <col min="15322" max="15322" width="9.7109375" style="265" customWidth="1"/>
    <col min="15323" max="15323" width="6" style="265" customWidth="1"/>
    <col min="15324" max="15324" width="10.7109375" style="265" customWidth="1"/>
    <col min="15325" max="15325" width="8.28515625" style="265" customWidth="1"/>
    <col min="15326" max="15326" width="12.28515625" style="265" customWidth="1"/>
    <col min="15327" max="15327" width="6" style="265" customWidth="1"/>
    <col min="15328" max="15328" width="10.7109375" style="265" customWidth="1"/>
    <col min="15329" max="15329" width="6.85546875" style="265" customWidth="1"/>
    <col min="15330" max="15330" width="12" style="265" customWidth="1"/>
    <col min="15331" max="15331" width="5.140625" style="265" customWidth="1"/>
    <col min="15332" max="15332" width="9" style="265" customWidth="1"/>
    <col min="15333" max="15333" width="5.140625" style="265" customWidth="1"/>
    <col min="15334" max="15334" width="9.85546875" style="265" customWidth="1"/>
    <col min="15335" max="15335" width="5.140625" style="265" customWidth="1"/>
    <col min="15336" max="15336" width="9" style="265" customWidth="1"/>
    <col min="15337" max="15337" width="5.140625" style="265" customWidth="1"/>
    <col min="15338" max="15340" width="9.85546875" style="265" customWidth="1"/>
    <col min="15341" max="15341" width="7.140625" style="265" customWidth="1"/>
    <col min="15342" max="15342" width="10.28515625" style="265" customWidth="1"/>
    <col min="15343" max="15343" width="6.42578125" style="265" customWidth="1"/>
    <col min="15344" max="15344" width="9.7109375" style="265" customWidth="1"/>
    <col min="15345" max="15345" width="6.28515625" style="265" customWidth="1"/>
    <col min="15346" max="15346" width="9" style="265" customWidth="1"/>
    <col min="15347" max="15347" width="8" style="265" customWidth="1"/>
    <col min="15348" max="15348" width="12.85546875" style="265" customWidth="1"/>
    <col min="15349" max="15349" width="5.140625" style="265" customWidth="1"/>
    <col min="15350" max="15350" width="9.85546875" style="265" customWidth="1"/>
    <col min="15351" max="15351" width="6.7109375" style="265" customWidth="1"/>
    <col min="15352" max="15352" width="12.42578125" style="265" customWidth="1"/>
    <col min="15353" max="15353" width="5.140625" style="265" customWidth="1"/>
    <col min="15354" max="15354" width="9" style="265" customWidth="1"/>
    <col min="15355" max="15355" width="5.140625" style="265" customWidth="1"/>
    <col min="15356" max="15356" width="9.85546875" style="265" customWidth="1"/>
    <col min="15357" max="15357" width="5.140625" style="265" customWidth="1"/>
    <col min="15358" max="15358" width="6.85546875" style="265" customWidth="1"/>
    <col min="15359" max="15359" width="5.140625" style="265" customWidth="1"/>
    <col min="15360" max="15360" width="10.5703125" style="265" customWidth="1"/>
    <col min="15361" max="15362" width="9" style="265" customWidth="1"/>
    <col min="15363" max="15363" width="7.140625" style="265" customWidth="1"/>
    <col min="15364" max="15364" width="10.28515625" style="265" customWidth="1"/>
    <col min="15365" max="15365" width="6.42578125" style="265" customWidth="1"/>
    <col min="15366" max="15366" width="9.7109375" style="265" customWidth="1"/>
    <col min="15367" max="15367" width="6.28515625" style="265" customWidth="1"/>
    <col min="15368" max="15368" width="9" style="265" customWidth="1"/>
    <col min="15369" max="15369" width="5.140625" style="265" customWidth="1"/>
    <col min="15370" max="15370" width="9.85546875" style="265" customWidth="1"/>
    <col min="15371" max="15371" width="5.140625" style="265" customWidth="1"/>
    <col min="15372" max="15372" width="9.85546875" style="265" customWidth="1"/>
    <col min="15373" max="15373" width="5.140625" style="265" customWidth="1"/>
    <col min="15374" max="15374" width="9.85546875" style="265" customWidth="1"/>
    <col min="15375" max="15375" width="5.140625" style="265" customWidth="1"/>
    <col min="15376" max="15376" width="9" style="265" customWidth="1"/>
    <col min="15377" max="15377" width="5.140625" style="265" customWidth="1"/>
    <col min="15378" max="15378" width="9.85546875" style="265" customWidth="1"/>
    <col min="15379" max="15379" width="5.140625" style="265" customWidth="1"/>
    <col min="15380" max="15380" width="6.85546875" style="265" customWidth="1"/>
    <col min="15381" max="15381" width="5.140625" style="265" customWidth="1"/>
    <col min="15382" max="15382" width="9" style="265" customWidth="1"/>
    <col min="15383" max="15383" width="7.140625" style="265" customWidth="1"/>
    <col min="15384" max="15384" width="10.28515625" style="265" customWidth="1"/>
    <col min="15385" max="15385" width="6.42578125" style="265" customWidth="1"/>
    <col min="15386" max="15386" width="9.7109375" style="265" customWidth="1"/>
    <col min="15387" max="15387" width="6.28515625" style="265" customWidth="1"/>
    <col min="15388" max="15388" width="13" style="265" customWidth="1"/>
    <col min="15389" max="15389" width="6.85546875" style="265" customWidth="1"/>
    <col min="15390" max="15390" width="12.28515625" style="265" customWidth="1"/>
    <col min="15391" max="15391" width="7.7109375" style="265" customWidth="1"/>
    <col min="15392" max="15392" width="10.42578125" style="265" customWidth="1"/>
    <col min="15393" max="15393" width="11.28515625" style="265" customWidth="1"/>
    <col min="15394" max="15394" width="12.28515625" style="265" customWidth="1"/>
    <col min="15395" max="15395" width="5.140625" style="265" customWidth="1"/>
    <col min="15396" max="15396" width="9" style="265" customWidth="1"/>
    <col min="15397" max="15397" width="5.140625" style="265" customWidth="1"/>
    <col min="15398" max="15398" width="9.85546875" style="265" customWidth="1"/>
    <col min="15399" max="15399" width="5.140625" style="265" customWidth="1"/>
    <col min="15400" max="15400" width="6.85546875" style="265" customWidth="1"/>
    <col min="15401" max="15401" width="5.140625" style="265" customWidth="1"/>
    <col min="15402" max="15402" width="10.7109375" style="265" customWidth="1"/>
    <col min="15403" max="15403" width="6.85546875" style="265" customWidth="1"/>
    <col min="15404" max="15404" width="12" style="265" customWidth="1"/>
    <col min="15405" max="15405" width="0" style="265" hidden="1" customWidth="1"/>
    <col min="15406" max="15406" width="8.42578125" style="265" customWidth="1"/>
    <col min="15407" max="15407" width="12" style="265" customWidth="1"/>
    <col min="15408" max="15408" width="8.28515625" style="265" customWidth="1"/>
    <col min="15409" max="15409" width="15.28515625" style="265" customWidth="1"/>
    <col min="15410" max="15410" width="13.5703125" style="265" customWidth="1"/>
    <col min="15411" max="15412" width="0" style="265" hidden="1" customWidth="1"/>
    <col min="15413" max="15414" width="15.7109375" style="265" customWidth="1"/>
    <col min="15415" max="15415" width="17.28515625" style="265" customWidth="1"/>
    <col min="15416" max="15416" width="0" style="265" hidden="1" customWidth="1"/>
    <col min="15417" max="15417" width="18.28515625" style="265" customWidth="1"/>
    <col min="15418" max="15418" width="17.42578125" style="265" customWidth="1"/>
    <col min="15419" max="15419" width="10.7109375" style="265" bestFit="1" customWidth="1"/>
    <col min="15420" max="15420" width="11" style="265" bestFit="1" customWidth="1"/>
    <col min="15421" max="15570" width="8.85546875" style="265"/>
    <col min="15571" max="15571" width="4.7109375" style="265" customWidth="1"/>
    <col min="15572" max="15574" width="16" style="265" customWidth="1"/>
    <col min="15575" max="15575" width="9.42578125" style="265" customWidth="1"/>
    <col min="15576" max="15576" width="10.28515625" style="265" customWidth="1"/>
    <col min="15577" max="15577" width="7.85546875" style="265" customWidth="1"/>
    <col min="15578" max="15578" width="9.7109375" style="265" customWidth="1"/>
    <col min="15579" max="15579" width="6" style="265" customWidth="1"/>
    <col min="15580" max="15580" width="10.7109375" style="265" customWidth="1"/>
    <col min="15581" max="15581" width="8.28515625" style="265" customWidth="1"/>
    <col min="15582" max="15582" width="12.28515625" style="265" customWidth="1"/>
    <col min="15583" max="15583" width="6" style="265" customWidth="1"/>
    <col min="15584" max="15584" width="10.7109375" style="265" customWidth="1"/>
    <col min="15585" max="15585" width="6.85546875" style="265" customWidth="1"/>
    <col min="15586" max="15586" width="12" style="265" customWidth="1"/>
    <col min="15587" max="15587" width="5.140625" style="265" customWidth="1"/>
    <col min="15588" max="15588" width="9" style="265" customWidth="1"/>
    <col min="15589" max="15589" width="5.140625" style="265" customWidth="1"/>
    <col min="15590" max="15590" width="9.85546875" style="265" customWidth="1"/>
    <col min="15591" max="15591" width="5.140625" style="265" customWidth="1"/>
    <col min="15592" max="15592" width="9" style="265" customWidth="1"/>
    <col min="15593" max="15593" width="5.140625" style="265" customWidth="1"/>
    <col min="15594" max="15596" width="9.85546875" style="265" customWidth="1"/>
    <col min="15597" max="15597" width="7.140625" style="265" customWidth="1"/>
    <col min="15598" max="15598" width="10.28515625" style="265" customWidth="1"/>
    <col min="15599" max="15599" width="6.42578125" style="265" customWidth="1"/>
    <col min="15600" max="15600" width="9.7109375" style="265" customWidth="1"/>
    <col min="15601" max="15601" width="6.28515625" style="265" customWidth="1"/>
    <col min="15602" max="15602" width="9" style="265" customWidth="1"/>
    <col min="15603" max="15603" width="8" style="265" customWidth="1"/>
    <col min="15604" max="15604" width="12.85546875" style="265" customWidth="1"/>
    <col min="15605" max="15605" width="5.140625" style="265" customWidth="1"/>
    <col min="15606" max="15606" width="9.85546875" style="265" customWidth="1"/>
    <col min="15607" max="15607" width="6.7109375" style="265" customWidth="1"/>
    <col min="15608" max="15608" width="12.42578125" style="265" customWidth="1"/>
    <col min="15609" max="15609" width="5.140625" style="265" customWidth="1"/>
    <col min="15610" max="15610" width="9" style="265" customWidth="1"/>
    <col min="15611" max="15611" width="5.140625" style="265" customWidth="1"/>
    <col min="15612" max="15612" width="9.85546875" style="265" customWidth="1"/>
    <col min="15613" max="15613" width="5.140625" style="265" customWidth="1"/>
    <col min="15614" max="15614" width="6.85546875" style="265" customWidth="1"/>
    <col min="15615" max="15615" width="5.140625" style="265" customWidth="1"/>
    <col min="15616" max="15616" width="10.5703125" style="265" customWidth="1"/>
    <col min="15617" max="15618" width="9" style="265" customWidth="1"/>
    <col min="15619" max="15619" width="7.140625" style="265" customWidth="1"/>
    <col min="15620" max="15620" width="10.28515625" style="265" customWidth="1"/>
    <col min="15621" max="15621" width="6.42578125" style="265" customWidth="1"/>
    <col min="15622" max="15622" width="9.7109375" style="265" customWidth="1"/>
    <col min="15623" max="15623" width="6.28515625" style="265" customWidth="1"/>
    <col min="15624" max="15624" width="9" style="265" customWidth="1"/>
    <col min="15625" max="15625" width="5.140625" style="265" customWidth="1"/>
    <col min="15626" max="15626" width="9.85546875" style="265" customWidth="1"/>
    <col min="15627" max="15627" width="5.140625" style="265" customWidth="1"/>
    <col min="15628" max="15628" width="9.85546875" style="265" customWidth="1"/>
    <col min="15629" max="15629" width="5.140625" style="265" customWidth="1"/>
    <col min="15630" max="15630" width="9.85546875" style="265" customWidth="1"/>
    <col min="15631" max="15631" width="5.140625" style="265" customWidth="1"/>
    <col min="15632" max="15632" width="9" style="265" customWidth="1"/>
    <col min="15633" max="15633" width="5.140625" style="265" customWidth="1"/>
    <col min="15634" max="15634" width="9.85546875" style="265" customWidth="1"/>
    <col min="15635" max="15635" width="5.140625" style="265" customWidth="1"/>
    <col min="15636" max="15636" width="6.85546875" style="265" customWidth="1"/>
    <col min="15637" max="15637" width="5.140625" style="265" customWidth="1"/>
    <col min="15638" max="15638" width="9" style="265" customWidth="1"/>
    <col min="15639" max="15639" width="7.140625" style="265" customWidth="1"/>
    <col min="15640" max="15640" width="10.28515625" style="265" customWidth="1"/>
    <col min="15641" max="15641" width="6.42578125" style="265" customWidth="1"/>
    <col min="15642" max="15642" width="9.7109375" style="265" customWidth="1"/>
    <col min="15643" max="15643" width="6.28515625" style="265" customWidth="1"/>
    <col min="15644" max="15644" width="13" style="265" customWidth="1"/>
    <col min="15645" max="15645" width="6.85546875" style="265" customWidth="1"/>
    <col min="15646" max="15646" width="12.28515625" style="265" customWidth="1"/>
    <col min="15647" max="15647" width="7.7109375" style="265" customWidth="1"/>
    <col min="15648" max="15648" width="10.42578125" style="265" customWidth="1"/>
    <col min="15649" max="15649" width="11.28515625" style="265" customWidth="1"/>
    <col min="15650" max="15650" width="12.28515625" style="265" customWidth="1"/>
    <col min="15651" max="15651" width="5.140625" style="265" customWidth="1"/>
    <col min="15652" max="15652" width="9" style="265" customWidth="1"/>
    <col min="15653" max="15653" width="5.140625" style="265" customWidth="1"/>
    <col min="15654" max="15654" width="9.85546875" style="265" customWidth="1"/>
    <col min="15655" max="15655" width="5.140625" style="265" customWidth="1"/>
    <col min="15656" max="15656" width="6.85546875" style="265" customWidth="1"/>
    <col min="15657" max="15657" width="5.140625" style="265" customWidth="1"/>
    <col min="15658" max="15658" width="10.7109375" style="265" customWidth="1"/>
    <col min="15659" max="15659" width="6.85546875" style="265" customWidth="1"/>
    <col min="15660" max="15660" width="12" style="265" customWidth="1"/>
    <col min="15661" max="15661" width="0" style="265" hidden="1" customWidth="1"/>
    <col min="15662" max="15662" width="8.42578125" style="265" customWidth="1"/>
    <col min="15663" max="15663" width="12" style="265" customWidth="1"/>
    <col min="15664" max="15664" width="8.28515625" style="265" customWidth="1"/>
    <col min="15665" max="15665" width="15.28515625" style="265" customWidth="1"/>
    <col min="15666" max="15666" width="13.5703125" style="265" customWidth="1"/>
    <col min="15667" max="15668" width="0" style="265" hidden="1" customWidth="1"/>
    <col min="15669" max="15670" width="15.7109375" style="265" customWidth="1"/>
    <col min="15671" max="15671" width="17.28515625" style="265" customWidth="1"/>
    <col min="15672" max="15672" width="0" style="265" hidden="1" customWidth="1"/>
    <col min="15673" max="15673" width="18.28515625" style="265" customWidth="1"/>
    <col min="15674" max="15674" width="17.42578125" style="265" customWidth="1"/>
    <col min="15675" max="15675" width="10.7109375" style="265" bestFit="1" customWidth="1"/>
    <col min="15676" max="15676" width="11" style="265" bestFit="1" customWidth="1"/>
    <col min="15677" max="15826" width="8.85546875" style="265"/>
    <col min="15827" max="15827" width="4.7109375" style="265" customWidth="1"/>
    <col min="15828" max="15830" width="16" style="265" customWidth="1"/>
    <col min="15831" max="15831" width="9.42578125" style="265" customWidth="1"/>
    <col min="15832" max="15832" width="10.28515625" style="265" customWidth="1"/>
    <col min="15833" max="15833" width="7.85546875" style="265" customWidth="1"/>
    <col min="15834" max="15834" width="9.7109375" style="265" customWidth="1"/>
    <col min="15835" max="15835" width="6" style="265" customWidth="1"/>
    <col min="15836" max="15836" width="10.7109375" style="265" customWidth="1"/>
    <col min="15837" max="15837" width="8.28515625" style="265" customWidth="1"/>
    <col min="15838" max="15838" width="12.28515625" style="265" customWidth="1"/>
    <col min="15839" max="15839" width="6" style="265" customWidth="1"/>
    <col min="15840" max="15840" width="10.7109375" style="265" customWidth="1"/>
    <col min="15841" max="15841" width="6.85546875" style="265" customWidth="1"/>
    <col min="15842" max="15842" width="12" style="265" customWidth="1"/>
    <col min="15843" max="15843" width="5.140625" style="265" customWidth="1"/>
    <col min="15844" max="15844" width="9" style="265" customWidth="1"/>
    <col min="15845" max="15845" width="5.140625" style="265" customWidth="1"/>
    <col min="15846" max="15846" width="9.85546875" style="265" customWidth="1"/>
    <col min="15847" max="15847" width="5.140625" style="265" customWidth="1"/>
    <col min="15848" max="15848" width="9" style="265" customWidth="1"/>
    <col min="15849" max="15849" width="5.140625" style="265" customWidth="1"/>
    <col min="15850" max="15852" width="9.85546875" style="265" customWidth="1"/>
    <col min="15853" max="15853" width="7.140625" style="265" customWidth="1"/>
    <col min="15854" max="15854" width="10.28515625" style="265" customWidth="1"/>
    <col min="15855" max="15855" width="6.42578125" style="265" customWidth="1"/>
    <col min="15856" max="15856" width="9.7109375" style="265" customWidth="1"/>
    <col min="15857" max="15857" width="6.28515625" style="265" customWidth="1"/>
    <col min="15858" max="15858" width="9" style="265" customWidth="1"/>
    <col min="15859" max="15859" width="8" style="265" customWidth="1"/>
    <col min="15860" max="15860" width="12.85546875" style="265" customWidth="1"/>
    <col min="15861" max="15861" width="5.140625" style="265" customWidth="1"/>
    <col min="15862" max="15862" width="9.85546875" style="265" customWidth="1"/>
    <col min="15863" max="15863" width="6.7109375" style="265" customWidth="1"/>
    <col min="15864" max="15864" width="12.42578125" style="265" customWidth="1"/>
    <col min="15865" max="15865" width="5.140625" style="265" customWidth="1"/>
    <col min="15866" max="15866" width="9" style="265" customWidth="1"/>
    <col min="15867" max="15867" width="5.140625" style="265" customWidth="1"/>
    <col min="15868" max="15868" width="9.85546875" style="265" customWidth="1"/>
    <col min="15869" max="15869" width="5.140625" style="265" customWidth="1"/>
    <col min="15870" max="15870" width="6.85546875" style="265" customWidth="1"/>
    <col min="15871" max="15871" width="5.140625" style="265" customWidth="1"/>
    <col min="15872" max="15872" width="10.5703125" style="265" customWidth="1"/>
    <col min="15873" max="15874" width="9" style="265" customWidth="1"/>
    <col min="15875" max="15875" width="7.140625" style="265" customWidth="1"/>
    <col min="15876" max="15876" width="10.28515625" style="265" customWidth="1"/>
    <col min="15877" max="15877" width="6.42578125" style="265" customWidth="1"/>
    <col min="15878" max="15878" width="9.7109375" style="265" customWidth="1"/>
    <col min="15879" max="15879" width="6.28515625" style="265" customWidth="1"/>
    <col min="15880" max="15880" width="9" style="265" customWidth="1"/>
    <col min="15881" max="15881" width="5.140625" style="265" customWidth="1"/>
    <col min="15882" max="15882" width="9.85546875" style="265" customWidth="1"/>
    <col min="15883" max="15883" width="5.140625" style="265" customWidth="1"/>
    <col min="15884" max="15884" width="9.85546875" style="265" customWidth="1"/>
    <col min="15885" max="15885" width="5.140625" style="265" customWidth="1"/>
    <col min="15886" max="15886" width="9.85546875" style="265" customWidth="1"/>
    <col min="15887" max="15887" width="5.140625" style="265" customWidth="1"/>
    <col min="15888" max="15888" width="9" style="265" customWidth="1"/>
    <col min="15889" max="15889" width="5.140625" style="265" customWidth="1"/>
    <col min="15890" max="15890" width="9.85546875" style="265" customWidth="1"/>
    <col min="15891" max="15891" width="5.140625" style="265" customWidth="1"/>
    <col min="15892" max="15892" width="6.85546875" style="265" customWidth="1"/>
    <col min="15893" max="15893" width="5.140625" style="265" customWidth="1"/>
    <col min="15894" max="15894" width="9" style="265" customWidth="1"/>
    <col min="15895" max="15895" width="7.140625" style="265" customWidth="1"/>
    <col min="15896" max="15896" width="10.28515625" style="265" customWidth="1"/>
    <col min="15897" max="15897" width="6.42578125" style="265" customWidth="1"/>
    <col min="15898" max="15898" width="9.7109375" style="265" customWidth="1"/>
    <col min="15899" max="15899" width="6.28515625" style="265" customWidth="1"/>
    <col min="15900" max="15900" width="13" style="265" customWidth="1"/>
    <col min="15901" max="15901" width="6.85546875" style="265" customWidth="1"/>
    <col min="15902" max="15902" width="12.28515625" style="265" customWidth="1"/>
    <col min="15903" max="15903" width="7.7109375" style="265" customWidth="1"/>
    <col min="15904" max="15904" width="10.42578125" style="265" customWidth="1"/>
    <col min="15905" max="15905" width="11.28515625" style="265" customWidth="1"/>
    <col min="15906" max="15906" width="12.28515625" style="265" customWidth="1"/>
    <col min="15907" max="15907" width="5.140625" style="265" customWidth="1"/>
    <col min="15908" max="15908" width="9" style="265" customWidth="1"/>
    <col min="15909" max="15909" width="5.140625" style="265" customWidth="1"/>
    <col min="15910" max="15910" width="9.85546875" style="265" customWidth="1"/>
    <col min="15911" max="15911" width="5.140625" style="265" customWidth="1"/>
    <col min="15912" max="15912" width="6.85546875" style="265" customWidth="1"/>
    <col min="15913" max="15913" width="5.140625" style="265" customWidth="1"/>
    <col min="15914" max="15914" width="10.7109375" style="265" customWidth="1"/>
    <col min="15915" max="15915" width="6.85546875" style="265" customWidth="1"/>
    <col min="15916" max="15916" width="12" style="265" customWidth="1"/>
    <col min="15917" max="15917" width="0" style="265" hidden="1" customWidth="1"/>
    <col min="15918" max="15918" width="8.42578125" style="265" customWidth="1"/>
    <col min="15919" max="15919" width="12" style="265" customWidth="1"/>
    <col min="15920" max="15920" width="8.28515625" style="265" customWidth="1"/>
    <col min="15921" max="15921" width="15.28515625" style="265" customWidth="1"/>
    <col min="15922" max="15922" width="13.5703125" style="265" customWidth="1"/>
    <col min="15923" max="15924" width="0" style="265" hidden="1" customWidth="1"/>
    <col min="15925" max="15926" width="15.7109375" style="265" customWidth="1"/>
    <col min="15927" max="15927" width="17.28515625" style="265" customWidth="1"/>
    <col min="15928" max="15928" width="0" style="265" hidden="1" customWidth="1"/>
    <col min="15929" max="15929" width="18.28515625" style="265" customWidth="1"/>
    <col min="15930" max="15930" width="17.42578125" style="265" customWidth="1"/>
    <col min="15931" max="15931" width="10.7109375" style="265" bestFit="1" customWidth="1"/>
    <col min="15932" max="15932" width="11" style="265" bestFit="1" customWidth="1"/>
    <col min="15933" max="16082" width="8.85546875" style="265"/>
    <col min="16083" max="16083" width="4.7109375" style="265" customWidth="1"/>
    <col min="16084" max="16086" width="16" style="265" customWidth="1"/>
    <col min="16087" max="16087" width="9.42578125" style="265" customWidth="1"/>
    <col min="16088" max="16088" width="10.28515625" style="265" customWidth="1"/>
    <col min="16089" max="16089" width="7.85546875" style="265" customWidth="1"/>
    <col min="16090" max="16090" width="9.7109375" style="265" customWidth="1"/>
    <col min="16091" max="16091" width="6" style="265" customWidth="1"/>
    <col min="16092" max="16092" width="10.7109375" style="265" customWidth="1"/>
    <col min="16093" max="16093" width="8.28515625" style="265" customWidth="1"/>
    <col min="16094" max="16094" width="12.28515625" style="265" customWidth="1"/>
    <col min="16095" max="16095" width="6" style="265" customWidth="1"/>
    <col min="16096" max="16096" width="10.7109375" style="265" customWidth="1"/>
    <col min="16097" max="16097" width="6.85546875" style="265" customWidth="1"/>
    <col min="16098" max="16098" width="12" style="265" customWidth="1"/>
    <col min="16099" max="16099" width="5.140625" style="265" customWidth="1"/>
    <col min="16100" max="16100" width="9" style="265" customWidth="1"/>
    <col min="16101" max="16101" width="5.140625" style="265" customWidth="1"/>
    <col min="16102" max="16102" width="9.85546875" style="265" customWidth="1"/>
    <col min="16103" max="16103" width="5.140625" style="265" customWidth="1"/>
    <col min="16104" max="16104" width="9" style="265" customWidth="1"/>
    <col min="16105" max="16105" width="5.140625" style="265" customWidth="1"/>
    <col min="16106" max="16108" width="9.85546875" style="265" customWidth="1"/>
    <col min="16109" max="16109" width="7.140625" style="265" customWidth="1"/>
    <col min="16110" max="16110" width="10.28515625" style="265" customWidth="1"/>
    <col min="16111" max="16111" width="6.42578125" style="265" customWidth="1"/>
    <col min="16112" max="16112" width="9.7109375" style="265" customWidth="1"/>
    <col min="16113" max="16113" width="6.28515625" style="265" customWidth="1"/>
    <col min="16114" max="16114" width="9" style="265" customWidth="1"/>
    <col min="16115" max="16115" width="8" style="265" customWidth="1"/>
    <col min="16116" max="16116" width="12.85546875" style="265" customWidth="1"/>
    <col min="16117" max="16117" width="5.140625" style="265" customWidth="1"/>
    <col min="16118" max="16118" width="9.85546875" style="265" customWidth="1"/>
    <col min="16119" max="16119" width="6.7109375" style="265" customWidth="1"/>
    <col min="16120" max="16120" width="12.42578125" style="265" customWidth="1"/>
    <col min="16121" max="16121" width="5.140625" style="265" customWidth="1"/>
    <col min="16122" max="16122" width="9" style="265" customWidth="1"/>
    <col min="16123" max="16123" width="5.140625" style="265" customWidth="1"/>
    <col min="16124" max="16124" width="9.85546875" style="265" customWidth="1"/>
    <col min="16125" max="16125" width="5.140625" style="265" customWidth="1"/>
    <col min="16126" max="16126" width="6.85546875" style="265" customWidth="1"/>
    <col min="16127" max="16127" width="5.140625" style="265" customWidth="1"/>
    <col min="16128" max="16128" width="10.5703125" style="265" customWidth="1"/>
    <col min="16129" max="16130" width="9" style="265" customWidth="1"/>
    <col min="16131" max="16131" width="7.140625" style="265" customWidth="1"/>
    <col min="16132" max="16132" width="10.28515625" style="265" customWidth="1"/>
    <col min="16133" max="16133" width="6.42578125" style="265" customWidth="1"/>
    <col min="16134" max="16134" width="9.7109375" style="265" customWidth="1"/>
    <col min="16135" max="16135" width="6.28515625" style="265" customWidth="1"/>
    <col min="16136" max="16136" width="9" style="265" customWidth="1"/>
    <col min="16137" max="16137" width="5.140625" style="265" customWidth="1"/>
    <col min="16138" max="16138" width="9.85546875" style="265" customWidth="1"/>
    <col min="16139" max="16139" width="5.140625" style="265" customWidth="1"/>
    <col min="16140" max="16140" width="9.85546875" style="265" customWidth="1"/>
    <col min="16141" max="16141" width="5.140625" style="265" customWidth="1"/>
    <col min="16142" max="16142" width="9.85546875" style="265" customWidth="1"/>
    <col min="16143" max="16143" width="5.140625" style="265" customWidth="1"/>
    <col min="16144" max="16144" width="9" style="265" customWidth="1"/>
    <col min="16145" max="16145" width="5.140625" style="265" customWidth="1"/>
    <col min="16146" max="16146" width="9.85546875" style="265" customWidth="1"/>
    <col min="16147" max="16147" width="5.140625" style="265" customWidth="1"/>
    <col min="16148" max="16148" width="6.85546875" style="265" customWidth="1"/>
    <col min="16149" max="16149" width="5.140625" style="265" customWidth="1"/>
    <col min="16150" max="16150" width="9" style="265" customWidth="1"/>
    <col min="16151" max="16151" width="7.140625" style="265" customWidth="1"/>
    <col min="16152" max="16152" width="10.28515625" style="265" customWidth="1"/>
    <col min="16153" max="16153" width="6.42578125" style="265" customWidth="1"/>
    <col min="16154" max="16154" width="9.7109375" style="265" customWidth="1"/>
    <col min="16155" max="16155" width="6.28515625" style="265" customWidth="1"/>
    <col min="16156" max="16156" width="13" style="265" customWidth="1"/>
    <col min="16157" max="16157" width="6.85546875" style="265" customWidth="1"/>
    <col min="16158" max="16158" width="12.28515625" style="265" customWidth="1"/>
    <col min="16159" max="16159" width="7.7109375" style="265" customWidth="1"/>
    <col min="16160" max="16160" width="10.42578125" style="265" customWidth="1"/>
    <col min="16161" max="16161" width="11.28515625" style="265" customWidth="1"/>
    <col min="16162" max="16162" width="12.28515625" style="265" customWidth="1"/>
    <col min="16163" max="16163" width="5.140625" style="265" customWidth="1"/>
    <col min="16164" max="16164" width="9" style="265" customWidth="1"/>
    <col min="16165" max="16165" width="5.140625" style="265" customWidth="1"/>
    <col min="16166" max="16166" width="9.85546875" style="265" customWidth="1"/>
    <col min="16167" max="16167" width="5.140625" style="265" customWidth="1"/>
    <col min="16168" max="16168" width="6.85546875" style="265" customWidth="1"/>
    <col min="16169" max="16169" width="5.140625" style="265" customWidth="1"/>
    <col min="16170" max="16170" width="10.7109375" style="265" customWidth="1"/>
    <col min="16171" max="16171" width="6.85546875" style="265" customWidth="1"/>
    <col min="16172" max="16172" width="12" style="265" customWidth="1"/>
    <col min="16173" max="16173" width="0" style="265" hidden="1" customWidth="1"/>
    <col min="16174" max="16174" width="8.42578125" style="265" customWidth="1"/>
    <col min="16175" max="16175" width="12" style="265" customWidth="1"/>
    <col min="16176" max="16176" width="8.28515625" style="265" customWidth="1"/>
    <col min="16177" max="16177" width="15.28515625" style="265" customWidth="1"/>
    <col min="16178" max="16178" width="13.5703125" style="265" customWidth="1"/>
    <col min="16179" max="16180" width="0" style="265" hidden="1" customWidth="1"/>
    <col min="16181" max="16182" width="15.7109375" style="265" customWidth="1"/>
    <col min="16183" max="16183" width="17.28515625" style="265" customWidth="1"/>
    <col min="16184" max="16184" width="0" style="265" hidden="1" customWidth="1"/>
    <col min="16185" max="16185" width="18.28515625" style="265" customWidth="1"/>
    <col min="16186" max="16186" width="17.42578125" style="265" customWidth="1"/>
    <col min="16187" max="16187" width="10.7109375" style="265" bestFit="1" customWidth="1"/>
    <col min="16188" max="16188" width="11" style="265" bestFit="1" customWidth="1"/>
    <col min="16189" max="16384" width="8.85546875" style="265"/>
  </cols>
  <sheetData>
    <row r="1" spans="1:124" ht="16.149999999999999" hidden="1" customHeight="1" x14ac:dyDescent="0.2">
      <c r="B1" s="614" t="s">
        <v>198</v>
      </c>
      <c r="C1" s="614"/>
      <c r="D1" s="614"/>
      <c r="E1" s="614"/>
      <c r="F1" s="614"/>
      <c r="G1" s="614"/>
      <c r="H1" s="614"/>
      <c r="I1" s="614"/>
      <c r="J1" s="614"/>
      <c r="K1" s="614"/>
      <c r="L1" s="614"/>
      <c r="M1" s="614"/>
      <c r="N1" s="614"/>
      <c r="O1" s="614"/>
      <c r="P1" s="614"/>
      <c r="Q1" s="614"/>
      <c r="R1" s="614"/>
      <c r="S1" s="614"/>
      <c r="T1" s="614"/>
      <c r="U1" s="614"/>
      <c r="V1" s="614"/>
      <c r="W1" s="614"/>
      <c r="X1" s="614"/>
      <c r="Y1" s="614"/>
      <c r="Z1" s="614"/>
      <c r="AA1" s="614"/>
      <c r="AB1" s="614"/>
      <c r="AC1" s="614"/>
      <c r="AD1" s="614"/>
      <c r="AE1" s="614"/>
      <c r="AF1" s="614"/>
      <c r="AG1" s="614"/>
      <c r="AH1" s="614"/>
      <c r="AI1" s="614"/>
      <c r="AJ1" s="614"/>
      <c r="AK1" s="614"/>
      <c r="AL1" s="614"/>
      <c r="AM1" s="264"/>
      <c r="AN1" s="264"/>
      <c r="AO1" s="264"/>
      <c r="AP1" s="264"/>
      <c r="BI1" s="264"/>
      <c r="BJ1" s="264"/>
      <c r="BK1" s="264"/>
      <c r="BL1" s="264"/>
      <c r="CC1" s="264"/>
      <c r="CD1" s="264"/>
      <c r="CE1" s="264"/>
      <c r="CF1" s="264"/>
    </row>
    <row r="2" spans="1:124" ht="46.9" customHeight="1" x14ac:dyDescent="0.2">
      <c r="C2" s="607" t="s">
        <v>282</v>
      </c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607"/>
      <c r="O2" s="607"/>
      <c r="P2" s="607"/>
      <c r="Q2" s="607"/>
      <c r="R2" s="607"/>
      <c r="S2" s="607"/>
      <c r="T2" s="607"/>
      <c r="U2" s="607"/>
      <c r="V2" s="607"/>
      <c r="W2" s="607"/>
      <c r="X2" s="607"/>
    </row>
    <row r="4" spans="1:124" s="267" customFormat="1" ht="16.149999999999999" customHeight="1" x14ac:dyDescent="0.2">
      <c r="A4" s="615" t="s">
        <v>24</v>
      </c>
      <c r="B4" s="618" t="s">
        <v>199</v>
      </c>
      <c r="C4" s="608" t="s">
        <v>200</v>
      </c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  <c r="U4" s="613"/>
      <c r="V4" s="613"/>
      <c r="W4" s="613"/>
      <c r="X4" s="609"/>
      <c r="Y4" s="608" t="s">
        <v>201</v>
      </c>
      <c r="Z4" s="613"/>
      <c r="AA4" s="613"/>
      <c r="AB4" s="613"/>
      <c r="AC4" s="613"/>
      <c r="AD4" s="613"/>
      <c r="AE4" s="613"/>
      <c r="AF4" s="613"/>
      <c r="AG4" s="613"/>
      <c r="AH4" s="613"/>
      <c r="AI4" s="613"/>
      <c r="AJ4" s="613"/>
      <c r="AK4" s="613"/>
      <c r="AL4" s="613"/>
      <c r="AM4" s="613"/>
      <c r="AN4" s="613"/>
      <c r="AO4" s="613"/>
      <c r="AP4" s="613"/>
      <c r="AQ4" s="613"/>
      <c r="AR4" s="613"/>
      <c r="AS4" s="613"/>
      <c r="AT4" s="609"/>
      <c r="AU4" s="608" t="s">
        <v>202</v>
      </c>
      <c r="AV4" s="613"/>
      <c r="AW4" s="613"/>
      <c r="AX4" s="613"/>
      <c r="AY4" s="613"/>
      <c r="AZ4" s="613"/>
      <c r="BA4" s="613"/>
      <c r="BB4" s="613"/>
      <c r="BC4" s="613"/>
      <c r="BD4" s="613"/>
      <c r="BE4" s="613"/>
      <c r="BF4" s="613"/>
      <c r="BG4" s="613"/>
      <c r="BH4" s="613"/>
      <c r="BI4" s="613"/>
      <c r="BJ4" s="613"/>
      <c r="BK4" s="613"/>
      <c r="BL4" s="613"/>
      <c r="BM4" s="613"/>
      <c r="BN4" s="613"/>
      <c r="BO4" s="613"/>
      <c r="BP4" s="609"/>
      <c r="BQ4" s="608" t="s">
        <v>49</v>
      </c>
      <c r="BR4" s="613"/>
      <c r="BS4" s="613"/>
      <c r="BT4" s="613"/>
      <c r="BU4" s="613"/>
      <c r="BV4" s="613"/>
      <c r="BW4" s="613"/>
      <c r="BX4" s="613"/>
      <c r="BY4" s="613"/>
      <c r="BZ4" s="613"/>
      <c r="CA4" s="613"/>
      <c r="CB4" s="613"/>
      <c r="CC4" s="613"/>
      <c r="CD4" s="613"/>
      <c r="CE4" s="613"/>
      <c r="CF4" s="613"/>
      <c r="CG4" s="613"/>
      <c r="CH4" s="613"/>
      <c r="CI4" s="613"/>
      <c r="CJ4" s="609"/>
      <c r="CK4" s="611" t="s">
        <v>321</v>
      </c>
      <c r="CL4" s="611"/>
      <c r="CM4" s="611"/>
      <c r="CN4" s="611"/>
      <c r="CO4" s="611"/>
      <c r="CP4" s="611"/>
      <c r="CU4" s="304">
        <f>CT31/(CP31/1000)</f>
        <v>0.97106757778793851</v>
      </c>
      <c r="CV4" s="304"/>
      <c r="CY4" s="304">
        <f>CX31/(CP31/1000)</f>
        <v>0.96928119022039505</v>
      </c>
      <c r="CZ4" s="304"/>
      <c r="DA4" s="304"/>
      <c r="DB4" s="304">
        <f>DA31/(CP31/1000)</f>
        <v>0.94362224408784334</v>
      </c>
      <c r="DC4" s="304"/>
      <c r="DH4" s="632" t="s">
        <v>297</v>
      </c>
      <c r="DI4" s="632"/>
    </row>
    <row r="5" spans="1:124" s="267" customFormat="1" ht="9" customHeight="1" x14ac:dyDescent="0.2">
      <c r="A5" s="616"/>
      <c r="B5" s="619"/>
      <c r="C5" s="621" t="s">
        <v>203</v>
      </c>
      <c r="D5" s="621" t="s">
        <v>204</v>
      </c>
      <c r="E5" s="608" t="s">
        <v>205</v>
      </c>
      <c r="F5" s="613"/>
      <c r="G5" s="613"/>
      <c r="H5" s="609"/>
      <c r="I5" s="608" t="s">
        <v>206</v>
      </c>
      <c r="J5" s="613"/>
      <c r="K5" s="613"/>
      <c r="L5" s="609"/>
      <c r="M5" s="608" t="s">
        <v>207</v>
      </c>
      <c r="N5" s="613"/>
      <c r="O5" s="613"/>
      <c r="P5" s="609"/>
      <c r="Q5" s="608" t="s">
        <v>208</v>
      </c>
      <c r="R5" s="613"/>
      <c r="S5" s="613"/>
      <c r="T5" s="609"/>
      <c r="U5" s="608" t="s">
        <v>209</v>
      </c>
      <c r="V5" s="613"/>
      <c r="W5" s="613"/>
      <c r="X5" s="609"/>
      <c r="Y5" s="621" t="s">
        <v>203</v>
      </c>
      <c r="Z5" s="621" t="s">
        <v>204</v>
      </c>
      <c r="AA5" s="608" t="s">
        <v>205</v>
      </c>
      <c r="AB5" s="613"/>
      <c r="AC5" s="613"/>
      <c r="AD5" s="609"/>
      <c r="AE5" s="608" t="s">
        <v>206</v>
      </c>
      <c r="AF5" s="613"/>
      <c r="AG5" s="613"/>
      <c r="AH5" s="609"/>
      <c r="AI5" s="608" t="s">
        <v>207</v>
      </c>
      <c r="AJ5" s="613"/>
      <c r="AK5" s="613"/>
      <c r="AL5" s="609"/>
      <c r="AM5" s="608" t="s">
        <v>208</v>
      </c>
      <c r="AN5" s="613"/>
      <c r="AO5" s="613"/>
      <c r="AP5" s="609"/>
      <c r="AQ5" s="608" t="s">
        <v>209</v>
      </c>
      <c r="AR5" s="613"/>
      <c r="AS5" s="613"/>
      <c r="AT5" s="609"/>
      <c r="AU5" s="621" t="s">
        <v>203</v>
      </c>
      <c r="AV5" s="621" t="s">
        <v>204</v>
      </c>
      <c r="AW5" s="608" t="s">
        <v>205</v>
      </c>
      <c r="AX5" s="613"/>
      <c r="AY5" s="613"/>
      <c r="AZ5" s="609"/>
      <c r="BA5" s="608" t="s">
        <v>206</v>
      </c>
      <c r="BB5" s="613"/>
      <c r="BC5" s="613"/>
      <c r="BD5" s="609"/>
      <c r="BE5" s="608" t="s">
        <v>207</v>
      </c>
      <c r="BF5" s="613"/>
      <c r="BG5" s="613"/>
      <c r="BH5" s="609"/>
      <c r="BI5" s="608" t="s">
        <v>208</v>
      </c>
      <c r="BJ5" s="613"/>
      <c r="BK5" s="613"/>
      <c r="BL5" s="609"/>
      <c r="BM5" s="608" t="s">
        <v>209</v>
      </c>
      <c r="BN5" s="613"/>
      <c r="BO5" s="613"/>
      <c r="BP5" s="609"/>
      <c r="BQ5" s="608" t="s">
        <v>205</v>
      </c>
      <c r="BR5" s="613"/>
      <c r="BS5" s="613"/>
      <c r="BT5" s="609"/>
      <c r="BU5" s="608" t="s">
        <v>206</v>
      </c>
      <c r="BV5" s="613"/>
      <c r="BW5" s="613"/>
      <c r="BX5" s="609"/>
      <c r="BY5" s="608" t="s">
        <v>207</v>
      </c>
      <c r="BZ5" s="613"/>
      <c r="CA5" s="613"/>
      <c r="CB5" s="609"/>
      <c r="CC5" s="608" t="s">
        <v>208</v>
      </c>
      <c r="CD5" s="613"/>
      <c r="CE5" s="613"/>
      <c r="CF5" s="609"/>
      <c r="CG5" s="608" t="s">
        <v>209</v>
      </c>
      <c r="CH5" s="613"/>
      <c r="CI5" s="613"/>
      <c r="CJ5" s="609"/>
      <c r="CK5" s="611"/>
      <c r="CL5" s="611"/>
      <c r="CM5" s="611"/>
      <c r="CN5" s="611"/>
      <c r="CO5" s="611"/>
      <c r="CP5" s="608"/>
      <c r="CQ5" s="512" t="s">
        <v>298</v>
      </c>
      <c r="CR5" s="512" t="s">
        <v>305</v>
      </c>
      <c r="CS5" s="512" t="s">
        <v>284</v>
      </c>
      <c r="CT5" s="512" t="s">
        <v>309</v>
      </c>
      <c r="CU5" s="634" t="s">
        <v>299</v>
      </c>
      <c r="CV5" s="635"/>
      <c r="CW5" s="512" t="s">
        <v>308</v>
      </c>
      <c r="CX5" s="512" t="s">
        <v>310</v>
      </c>
      <c r="CY5" s="634" t="s">
        <v>299</v>
      </c>
      <c r="CZ5" s="635"/>
      <c r="DA5" s="512" t="s">
        <v>311</v>
      </c>
      <c r="DB5" s="634" t="s">
        <v>299</v>
      </c>
      <c r="DC5" s="635"/>
      <c r="DD5" s="642" t="s">
        <v>313</v>
      </c>
      <c r="DE5" s="643"/>
      <c r="DF5" s="644"/>
      <c r="DH5" s="632"/>
      <c r="DI5" s="632"/>
      <c r="DJ5" s="629" t="s">
        <v>303</v>
      </c>
      <c r="DK5" s="629" t="s">
        <v>301</v>
      </c>
      <c r="DL5" s="629" t="s">
        <v>302</v>
      </c>
    </row>
    <row r="6" spans="1:124" s="267" customFormat="1" ht="21" customHeight="1" x14ac:dyDescent="0.2">
      <c r="A6" s="616"/>
      <c r="B6" s="619"/>
      <c r="C6" s="622"/>
      <c r="D6" s="622"/>
      <c r="E6" s="608" t="s">
        <v>210</v>
      </c>
      <c r="F6" s="613"/>
      <c r="G6" s="613"/>
      <c r="H6" s="609"/>
      <c r="I6" s="608" t="s">
        <v>211</v>
      </c>
      <c r="J6" s="613"/>
      <c r="K6" s="613"/>
      <c r="L6" s="609"/>
      <c r="M6" s="608" t="s">
        <v>212</v>
      </c>
      <c r="N6" s="613"/>
      <c r="O6" s="613"/>
      <c r="P6" s="609"/>
      <c r="Q6" s="608" t="s">
        <v>213</v>
      </c>
      <c r="R6" s="613"/>
      <c r="S6" s="613"/>
      <c r="T6" s="609"/>
      <c r="U6" s="608" t="s">
        <v>214</v>
      </c>
      <c r="V6" s="613"/>
      <c r="W6" s="613"/>
      <c r="X6" s="609"/>
      <c r="Y6" s="622"/>
      <c r="Z6" s="622"/>
      <c r="AA6" s="608" t="s">
        <v>210</v>
      </c>
      <c r="AB6" s="613"/>
      <c r="AC6" s="613"/>
      <c r="AD6" s="609"/>
      <c r="AE6" s="608" t="s">
        <v>211</v>
      </c>
      <c r="AF6" s="613"/>
      <c r="AG6" s="613"/>
      <c r="AH6" s="609"/>
      <c r="AI6" s="608" t="s">
        <v>212</v>
      </c>
      <c r="AJ6" s="613"/>
      <c r="AK6" s="613"/>
      <c r="AL6" s="609"/>
      <c r="AM6" s="608" t="s">
        <v>213</v>
      </c>
      <c r="AN6" s="613"/>
      <c r="AO6" s="613"/>
      <c r="AP6" s="609"/>
      <c r="AQ6" s="608" t="s">
        <v>214</v>
      </c>
      <c r="AR6" s="613"/>
      <c r="AS6" s="613"/>
      <c r="AT6" s="609"/>
      <c r="AU6" s="622"/>
      <c r="AV6" s="622"/>
      <c r="AW6" s="608" t="s">
        <v>210</v>
      </c>
      <c r="AX6" s="613"/>
      <c r="AY6" s="613"/>
      <c r="AZ6" s="609"/>
      <c r="BA6" s="608" t="s">
        <v>211</v>
      </c>
      <c r="BB6" s="613"/>
      <c r="BC6" s="613"/>
      <c r="BD6" s="609"/>
      <c r="BE6" s="608" t="s">
        <v>212</v>
      </c>
      <c r="BF6" s="613"/>
      <c r="BG6" s="613"/>
      <c r="BH6" s="609"/>
      <c r="BI6" s="608" t="s">
        <v>213</v>
      </c>
      <c r="BJ6" s="613"/>
      <c r="BK6" s="613"/>
      <c r="BL6" s="609"/>
      <c r="BM6" s="608" t="s">
        <v>214</v>
      </c>
      <c r="BN6" s="613"/>
      <c r="BO6" s="613"/>
      <c r="BP6" s="609"/>
      <c r="BQ6" s="608" t="s">
        <v>210</v>
      </c>
      <c r="BR6" s="613"/>
      <c r="BS6" s="613"/>
      <c r="BT6" s="609"/>
      <c r="BU6" s="608" t="s">
        <v>211</v>
      </c>
      <c r="BV6" s="613"/>
      <c r="BW6" s="613"/>
      <c r="BX6" s="609"/>
      <c r="BY6" s="608" t="s">
        <v>212</v>
      </c>
      <c r="BZ6" s="613"/>
      <c r="CA6" s="613"/>
      <c r="CB6" s="609"/>
      <c r="CC6" s="608" t="s">
        <v>213</v>
      </c>
      <c r="CD6" s="613"/>
      <c r="CE6" s="613"/>
      <c r="CF6" s="609"/>
      <c r="CG6" s="608" t="s">
        <v>214</v>
      </c>
      <c r="CH6" s="613"/>
      <c r="CI6" s="613"/>
      <c r="CJ6" s="609"/>
      <c r="CK6" s="625"/>
      <c r="CL6" s="625"/>
      <c r="CM6" s="625"/>
      <c r="CN6" s="625"/>
      <c r="CO6" s="625"/>
      <c r="CP6" s="626"/>
      <c r="CQ6" s="512"/>
      <c r="CR6" s="512"/>
      <c r="CS6" s="512"/>
      <c r="CT6" s="512"/>
      <c r="CU6" s="636"/>
      <c r="CV6" s="637"/>
      <c r="CW6" s="512"/>
      <c r="CX6" s="512"/>
      <c r="CY6" s="636"/>
      <c r="CZ6" s="637"/>
      <c r="DA6" s="512"/>
      <c r="DB6" s="636"/>
      <c r="DC6" s="637"/>
      <c r="DD6" s="645"/>
      <c r="DE6" s="646"/>
      <c r="DF6" s="647"/>
      <c r="DH6" s="625"/>
      <c r="DI6" s="625"/>
      <c r="DJ6" s="630"/>
      <c r="DK6" s="630"/>
      <c r="DL6" s="630"/>
    </row>
    <row r="7" spans="1:124" s="267" customFormat="1" ht="15" customHeight="1" x14ac:dyDescent="0.2">
      <c r="A7" s="616"/>
      <c r="B7" s="619"/>
      <c r="C7" s="622"/>
      <c r="D7" s="622"/>
      <c r="E7" s="608" t="s">
        <v>203</v>
      </c>
      <c r="F7" s="609"/>
      <c r="G7" s="608" t="s">
        <v>204</v>
      </c>
      <c r="H7" s="609"/>
      <c r="I7" s="608" t="s">
        <v>203</v>
      </c>
      <c r="J7" s="609"/>
      <c r="K7" s="608" t="s">
        <v>204</v>
      </c>
      <c r="L7" s="609"/>
      <c r="M7" s="608" t="s">
        <v>203</v>
      </c>
      <c r="N7" s="609"/>
      <c r="O7" s="608" t="s">
        <v>204</v>
      </c>
      <c r="P7" s="609"/>
      <c r="Q7" s="608" t="s">
        <v>203</v>
      </c>
      <c r="R7" s="609"/>
      <c r="S7" s="608" t="s">
        <v>204</v>
      </c>
      <c r="T7" s="609"/>
      <c r="U7" s="608" t="s">
        <v>203</v>
      </c>
      <c r="V7" s="609"/>
      <c r="W7" s="608" t="s">
        <v>204</v>
      </c>
      <c r="X7" s="609"/>
      <c r="Y7" s="622"/>
      <c r="Z7" s="622"/>
      <c r="AA7" s="608" t="s">
        <v>203</v>
      </c>
      <c r="AB7" s="609"/>
      <c r="AC7" s="608" t="s">
        <v>204</v>
      </c>
      <c r="AD7" s="609"/>
      <c r="AE7" s="608" t="s">
        <v>203</v>
      </c>
      <c r="AF7" s="609"/>
      <c r="AG7" s="608" t="s">
        <v>204</v>
      </c>
      <c r="AH7" s="609"/>
      <c r="AI7" s="608" t="s">
        <v>203</v>
      </c>
      <c r="AJ7" s="609"/>
      <c r="AK7" s="608" t="s">
        <v>204</v>
      </c>
      <c r="AL7" s="609"/>
      <c r="AM7" s="608" t="s">
        <v>203</v>
      </c>
      <c r="AN7" s="609"/>
      <c r="AO7" s="608" t="s">
        <v>204</v>
      </c>
      <c r="AP7" s="609"/>
      <c r="AQ7" s="608" t="s">
        <v>203</v>
      </c>
      <c r="AR7" s="609"/>
      <c r="AS7" s="608" t="s">
        <v>204</v>
      </c>
      <c r="AT7" s="609"/>
      <c r="AU7" s="622"/>
      <c r="AV7" s="622"/>
      <c r="AW7" s="608" t="s">
        <v>203</v>
      </c>
      <c r="AX7" s="609"/>
      <c r="AY7" s="608" t="s">
        <v>204</v>
      </c>
      <c r="AZ7" s="609"/>
      <c r="BA7" s="608" t="s">
        <v>203</v>
      </c>
      <c r="BB7" s="609"/>
      <c r="BC7" s="608" t="s">
        <v>204</v>
      </c>
      <c r="BD7" s="609"/>
      <c r="BE7" s="608" t="s">
        <v>203</v>
      </c>
      <c r="BF7" s="609"/>
      <c r="BG7" s="608" t="s">
        <v>204</v>
      </c>
      <c r="BH7" s="609"/>
      <c r="BI7" s="608" t="s">
        <v>203</v>
      </c>
      <c r="BJ7" s="609"/>
      <c r="BK7" s="608" t="s">
        <v>204</v>
      </c>
      <c r="BL7" s="609"/>
      <c r="BM7" s="608" t="s">
        <v>203</v>
      </c>
      <c r="BN7" s="609"/>
      <c r="BO7" s="608" t="s">
        <v>204</v>
      </c>
      <c r="BP7" s="609"/>
      <c r="BQ7" s="608" t="s">
        <v>203</v>
      </c>
      <c r="BR7" s="609"/>
      <c r="BS7" s="608" t="s">
        <v>204</v>
      </c>
      <c r="BT7" s="609"/>
      <c r="BU7" s="608" t="s">
        <v>203</v>
      </c>
      <c r="BV7" s="609"/>
      <c r="BW7" s="608" t="s">
        <v>204</v>
      </c>
      <c r="BX7" s="609"/>
      <c r="BY7" s="608" t="s">
        <v>203</v>
      </c>
      <c r="BZ7" s="609"/>
      <c r="CA7" s="608" t="s">
        <v>204</v>
      </c>
      <c r="CB7" s="609"/>
      <c r="CC7" s="608" t="s">
        <v>203</v>
      </c>
      <c r="CD7" s="609"/>
      <c r="CE7" s="608" t="s">
        <v>204</v>
      </c>
      <c r="CF7" s="609"/>
      <c r="CG7" s="608" t="s">
        <v>203</v>
      </c>
      <c r="CH7" s="609"/>
      <c r="CI7" s="608" t="s">
        <v>204</v>
      </c>
      <c r="CJ7" s="609"/>
      <c r="CK7" s="611" t="s">
        <v>203</v>
      </c>
      <c r="CL7" s="611"/>
      <c r="CM7" s="611" t="s">
        <v>204</v>
      </c>
      <c r="CN7" s="611"/>
      <c r="CO7" s="610" t="s">
        <v>69</v>
      </c>
      <c r="CP7" s="612"/>
      <c r="CQ7" s="624"/>
      <c r="CR7" s="624"/>
      <c r="CS7" s="624"/>
      <c r="CT7" s="624"/>
      <c r="CU7" s="638"/>
      <c r="CV7" s="639"/>
      <c r="CW7" s="624"/>
      <c r="CX7" s="624"/>
      <c r="CY7" s="638"/>
      <c r="CZ7" s="639"/>
      <c r="DA7" s="624"/>
      <c r="DB7" s="638"/>
      <c r="DC7" s="639"/>
      <c r="DD7" s="648"/>
      <c r="DE7" s="649"/>
      <c r="DF7" s="650"/>
      <c r="DH7" s="633" t="s">
        <v>69</v>
      </c>
      <c r="DI7" s="633"/>
      <c r="DJ7" s="630"/>
      <c r="DK7" s="630"/>
      <c r="DL7" s="630"/>
    </row>
    <row r="8" spans="1:124" s="267" customFormat="1" ht="11.45" customHeight="1" x14ac:dyDescent="0.2">
      <c r="A8" s="617"/>
      <c r="B8" s="620"/>
      <c r="C8" s="623"/>
      <c r="D8" s="623"/>
      <c r="E8" s="608">
        <v>19</v>
      </c>
      <c r="F8" s="609"/>
      <c r="G8" s="608">
        <v>23</v>
      </c>
      <c r="H8" s="609"/>
      <c r="I8" s="608">
        <v>19</v>
      </c>
      <c r="J8" s="609"/>
      <c r="K8" s="608">
        <v>23</v>
      </c>
      <c r="L8" s="609"/>
      <c r="M8" s="608">
        <v>19</v>
      </c>
      <c r="N8" s="609"/>
      <c r="O8" s="608">
        <v>23</v>
      </c>
      <c r="P8" s="609"/>
      <c r="Q8" s="608">
        <v>19</v>
      </c>
      <c r="R8" s="609"/>
      <c r="S8" s="608">
        <v>23</v>
      </c>
      <c r="T8" s="609"/>
      <c r="U8" s="608">
        <v>19</v>
      </c>
      <c r="V8" s="609"/>
      <c r="W8" s="608">
        <v>23</v>
      </c>
      <c r="X8" s="609"/>
      <c r="Y8" s="623"/>
      <c r="Z8" s="623"/>
      <c r="AA8" s="608">
        <v>19</v>
      </c>
      <c r="AB8" s="609"/>
      <c r="AC8" s="608">
        <v>23</v>
      </c>
      <c r="AD8" s="609"/>
      <c r="AE8" s="268"/>
      <c r="AF8" s="268"/>
      <c r="AG8" s="268"/>
      <c r="AH8" s="268"/>
      <c r="AI8" s="608"/>
      <c r="AJ8" s="609"/>
      <c r="AK8" s="608"/>
      <c r="AL8" s="609"/>
      <c r="AM8" s="608">
        <v>19</v>
      </c>
      <c r="AN8" s="609"/>
      <c r="AO8" s="608">
        <v>23</v>
      </c>
      <c r="AP8" s="609"/>
      <c r="AQ8" s="608"/>
      <c r="AR8" s="609"/>
      <c r="AS8" s="608"/>
      <c r="AT8" s="609"/>
      <c r="AU8" s="623"/>
      <c r="AV8" s="623"/>
      <c r="AW8" s="608">
        <v>19</v>
      </c>
      <c r="AX8" s="609"/>
      <c r="AY8" s="608">
        <v>23</v>
      </c>
      <c r="AZ8" s="609"/>
      <c r="BA8" s="268"/>
      <c r="BB8" s="268"/>
      <c r="BC8" s="268"/>
      <c r="BD8" s="268"/>
      <c r="BE8" s="608"/>
      <c r="BF8" s="609"/>
      <c r="BG8" s="608"/>
      <c r="BH8" s="609"/>
      <c r="BI8" s="608">
        <v>19</v>
      </c>
      <c r="BJ8" s="609"/>
      <c r="BK8" s="608">
        <v>23</v>
      </c>
      <c r="BL8" s="609"/>
      <c r="BM8" s="608"/>
      <c r="BN8" s="609"/>
      <c r="BO8" s="608"/>
      <c r="BP8" s="609"/>
      <c r="BQ8" s="608">
        <v>19</v>
      </c>
      <c r="BR8" s="609"/>
      <c r="BS8" s="608">
        <v>23</v>
      </c>
      <c r="BT8" s="609"/>
      <c r="BU8" s="268"/>
      <c r="BV8" s="268"/>
      <c r="BW8" s="268"/>
      <c r="BX8" s="268"/>
      <c r="BY8" s="608"/>
      <c r="BZ8" s="609"/>
      <c r="CA8" s="608"/>
      <c r="CB8" s="609"/>
      <c r="CC8" s="608">
        <v>19</v>
      </c>
      <c r="CD8" s="609"/>
      <c r="CE8" s="608">
        <v>23</v>
      </c>
      <c r="CF8" s="609"/>
      <c r="CG8" s="608"/>
      <c r="CH8" s="609"/>
      <c r="CI8" s="608"/>
      <c r="CJ8" s="609"/>
      <c r="CK8" s="610"/>
      <c r="CL8" s="610"/>
      <c r="CM8" s="610"/>
      <c r="CN8" s="610"/>
      <c r="CO8" s="269"/>
      <c r="CP8" s="270"/>
      <c r="CQ8" s="624"/>
      <c r="CR8" s="624"/>
      <c r="CS8" s="624"/>
      <c r="CT8" s="624"/>
      <c r="CU8" s="640"/>
      <c r="CV8" s="641"/>
      <c r="CW8" s="624"/>
      <c r="CX8" s="624"/>
      <c r="CY8" s="640"/>
      <c r="CZ8" s="641"/>
      <c r="DA8" s="624"/>
      <c r="DB8" s="640"/>
      <c r="DC8" s="641"/>
      <c r="DD8" s="651"/>
      <c r="DE8" s="652"/>
      <c r="DF8" s="653"/>
      <c r="DH8" s="633"/>
      <c r="DI8" s="633"/>
      <c r="DJ8" s="631"/>
      <c r="DK8" s="631"/>
      <c r="DL8" s="631"/>
    </row>
    <row r="9" spans="1:124" s="274" customFormat="1" ht="11.45" customHeight="1" x14ac:dyDescent="0.2">
      <c r="A9" s="271"/>
      <c r="B9" s="272"/>
      <c r="C9" s="272"/>
      <c r="D9" s="272"/>
      <c r="E9" s="272" t="s">
        <v>215</v>
      </c>
      <c r="F9" s="272" t="s">
        <v>183</v>
      </c>
      <c r="G9" s="272" t="s">
        <v>215</v>
      </c>
      <c r="H9" s="272" t="s">
        <v>183</v>
      </c>
      <c r="I9" s="272" t="s">
        <v>215</v>
      </c>
      <c r="J9" s="272" t="s">
        <v>183</v>
      </c>
      <c r="K9" s="272" t="s">
        <v>215</v>
      </c>
      <c r="L9" s="272" t="s">
        <v>183</v>
      </c>
      <c r="M9" s="272" t="s">
        <v>215</v>
      </c>
      <c r="N9" s="272" t="s">
        <v>183</v>
      </c>
      <c r="O9" s="272" t="s">
        <v>215</v>
      </c>
      <c r="P9" s="272" t="s">
        <v>183</v>
      </c>
      <c r="Q9" s="272" t="s">
        <v>215</v>
      </c>
      <c r="R9" s="272" t="s">
        <v>183</v>
      </c>
      <c r="S9" s="272" t="s">
        <v>215</v>
      </c>
      <c r="T9" s="272" t="s">
        <v>183</v>
      </c>
      <c r="U9" s="272" t="s">
        <v>215</v>
      </c>
      <c r="V9" s="272" t="s">
        <v>183</v>
      </c>
      <c r="W9" s="272" t="s">
        <v>215</v>
      </c>
      <c r="X9" s="272" t="s">
        <v>183</v>
      </c>
      <c r="Y9" s="272"/>
      <c r="Z9" s="272"/>
      <c r="AA9" s="272" t="s">
        <v>215</v>
      </c>
      <c r="AB9" s="272" t="s">
        <v>183</v>
      </c>
      <c r="AC9" s="272" t="s">
        <v>215</v>
      </c>
      <c r="AD9" s="272" t="s">
        <v>183</v>
      </c>
      <c r="AE9" s="272" t="s">
        <v>215</v>
      </c>
      <c r="AF9" s="272" t="s">
        <v>183</v>
      </c>
      <c r="AG9" s="272" t="s">
        <v>215</v>
      </c>
      <c r="AH9" s="272" t="s">
        <v>183</v>
      </c>
      <c r="AI9" s="272" t="s">
        <v>215</v>
      </c>
      <c r="AJ9" s="272" t="s">
        <v>183</v>
      </c>
      <c r="AK9" s="272" t="s">
        <v>215</v>
      </c>
      <c r="AL9" s="272" t="s">
        <v>183</v>
      </c>
      <c r="AM9" s="272" t="s">
        <v>215</v>
      </c>
      <c r="AN9" s="272" t="s">
        <v>183</v>
      </c>
      <c r="AO9" s="272" t="s">
        <v>215</v>
      </c>
      <c r="AP9" s="272" t="s">
        <v>183</v>
      </c>
      <c r="AQ9" s="272" t="s">
        <v>215</v>
      </c>
      <c r="AR9" s="272" t="s">
        <v>183</v>
      </c>
      <c r="AS9" s="272" t="s">
        <v>215</v>
      </c>
      <c r="AT9" s="272" t="s">
        <v>183</v>
      </c>
      <c r="AU9" s="272"/>
      <c r="AV9" s="272"/>
      <c r="AW9" s="272" t="s">
        <v>215</v>
      </c>
      <c r="AX9" s="272" t="s">
        <v>183</v>
      </c>
      <c r="AY9" s="272" t="s">
        <v>215</v>
      </c>
      <c r="AZ9" s="272" t="s">
        <v>183</v>
      </c>
      <c r="BA9" s="272" t="s">
        <v>215</v>
      </c>
      <c r="BB9" s="272" t="s">
        <v>183</v>
      </c>
      <c r="BC9" s="272" t="s">
        <v>215</v>
      </c>
      <c r="BD9" s="272" t="s">
        <v>183</v>
      </c>
      <c r="BE9" s="272" t="s">
        <v>215</v>
      </c>
      <c r="BF9" s="272" t="s">
        <v>183</v>
      </c>
      <c r="BG9" s="272" t="s">
        <v>215</v>
      </c>
      <c r="BH9" s="272" t="s">
        <v>183</v>
      </c>
      <c r="BI9" s="272" t="s">
        <v>215</v>
      </c>
      <c r="BJ9" s="272" t="s">
        <v>183</v>
      </c>
      <c r="BK9" s="272" t="s">
        <v>215</v>
      </c>
      <c r="BL9" s="272" t="s">
        <v>183</v>
      </c>
      <c r="BM9" s="272" t="s">
        <v>215</v>
      </c>
      <c r="BN9" s="272" t="s">
        <v>183</v>
      </c>
      <c r="BO9" s="272" t="s">
        <v>215</v>
      </c>
      <c r="BP9" s="272" t="s">
        <v>183</v>
      </c>
      <c r="BQ9" s="272" t="s">
        <v>215</v>
      </c>
      <c r="BR9" s="272" t="s">
        <v>183</v>
      </c>
      <c r="BS9" s="272" t="s">
        <v>215</v>
      </c>
      <c r="BT9" s="272" t="s">
        <v>183</v>
      </c>
      <c r="BU9" s="272" t="s">
        <v>215</v>
      </c>
      <c r="BV9" s="272" t="s">
        <v>183</v>
      </c>
      <c r="BW9" s="272" t="s">
        <v>215</v>
      </c>
      <c r="BX9" s="272" t="s">
        <v>183</v>
      </c>
      <c r="BY9" s="272" t="s">
        <v>215</v>
      </c>
      <c r="BZ9" s="272" t="s">
        <v>183</v>
      </c>
      <c r="CA9" s="272" t="s">
        <v>215</v>
      </c>
      <c r="CB9" s="272" t="s">
        <v>183</v>
      </c>
      <c r="CC9" s="272" t="s">
        <v>215</v>
      </c>
      <c r="CD9" s="272" t="s">
        <v>183</v>
      </c>
      <c r="CE9" s="272" t="s">
        <v>215</v>
      </c>
      <c r="CF9" s="272" t="s">
        <v>183</v>
      </c>
      <c r="CG9" s="272" t="s">
        <v>215</v>
      </c>
      <c r="CH9" s="272" t="s">
        <v>183</v>
      </c>
      <c r="CI9" s="272" t="s">
        <v>215</v>
      </c>
      <c r="CJ9" s="272" t="s">
        <v>183</v>
      </c>
      <c r="CK9" s="292" t="s">
        <v>215</v>
      </c>
      <c r="CL9" s="292" t="s">
        <v>183</v>
      </c>
      <c r="CM9" s="292" t="s">
        <v>215</v>
      </c>
      <c r="CN9" s="292" t="s">
        <v>183</v>
      </c>
      <c r="CO9" s="292" t="s">
        <v>215</v>
      </c>
      <c r="CP9" s="273" t="s">
        <v>183</v>
      </c>
      <c r="CQ9" s="293"/>
      <c r="CR9" s="293"/>
      <c r="CS9" s="293"/>
      <c r="CT9" s="312"/>
      <c r="CU9" s="273" t="s">
        <v>183</v>
      </c>
      <c r="CV9" s="292" t="s">
        <v>215</v>
      </c>
      <c r="CW9" s="293"/>
      <c r="CX9" s="312"/>
      <c r="CY9" s="273" t="s">
        <v>183</v>
      </c>
      <c r="CZ9" s="292" t="s">
        <v>215</v>
      </c>
      <c r="DA9" s="293"/>
      <c r="DB9" s="273" t="s">
        <v>183</v>
      </c>
      <c r="DC9" s="292" t="s">
        <v>215</v>
      </c>
      <c r="DD9" s="318">
        <v>2021</v>
      </c>
      <c r="DE9" s="318">
        <v>2022</v>
      </c>
      <c r="DF9" s="318">
        <v>2023</v>
      </c>
      <c r="DH9" s="297" t="s">
        <v>215</v>
      </c>
      <c r="DI9" s="299" t="s">
        <v>183</v>
      </c>
      <c r="DJ9" s="293"/>
      <c r="DK9" s="293"/>
      <c r="DL9" s="293"/>
    </row>
    <row r="10" spans="1:124" s="267" customFormat="1" ht="10.15" hidden="1" customHeight="1" x14ac:dyDescent="0.2">
      <c r="A10" s="275">
        <v>3</v>
      </c>
      <c r="B10" s="276" t="s">
        <v>216</v>
      </c>
      <c r="C10" s="276"/>
      <c r="D10" s="276"/>
      <c r="E10" s="277"/>
      <c r="F10" s="277">
        <f>'[3]Норматив 1'!$E$583</f>
        <v>3453</v>
      </c>
      <c r="G10" s="277"/>
      <c r="H10" s="277">
        <f>'[3]Норматив 1'!$E$584</f>
        <v>2804</v>
      </c>
      <c r="I10" s="277"/>
      <c r="J10" s="277">
        <f>'[3]Норматив 1'!$F$583</f>
        <v>7251</v>
      </c>
      <c r="K10" s="277"/>
      <c r="L10" s="277">
        <f>'[3]Норматив 1'!$F$584</f>
        <v>5888</v>
      </c>
      <c r="M10" s="277"/>
      <c r="N10" s="277">
        <f>'[3]Норматив 1'!$G$583</f>
        <v>8286</v>
      </c>
      <c r="O10" s="277"/>
      <c r="P10" s="277">
        <f>'[3]Норматив 1'!$G$584</f>
        <v>6729</v>
      </c>
      <c r="Q10" s="277"/>
      <c r="R10" s="277">
        <v>9293</v>
      </c>
      <c r="S10" s="277"/>
      <c r="T10" s="277">
        <v>7546</v>
      </c>
      <c r="U10" s="277"/>
      <c r="V10" s="277">
        <v>9293</v>
      </c>
      <c r="W10" s="277"/>
      <c r="X10" s="277">
        <v>7546</v>
      </c>
      <c r="Y10" s="277"/>
      <c r="Z10" s="277"/>
      <c r="AA10" s="277"/>
      <c r="AB10" s="277">
        <f>'[3]Норматив 1'!$E$583</f>
        <v>3453</v>
      </c>
      <c r="AC10" s="277"/>
      <c r="AD10" s="277">
        <f>'[3]Норматив 1'!$E$584</f>
        <v>2804</v>
      </c>
      <c r="AE10" s="277"/>
      <c r="AF10" s="277">
        <f>'[3]Норматив 1'!F585</f>
        <v>9184</v>
      </c>
      <c r="AG10" s="277"/>
      <c r="AH10" s="277">
        <f>'[3]Норматив 1'!F586</f>
        <v>6771</v>
      </c>
      <c r="AI10" s="277"/>
      <c r="AJ10" s="277">
        <f>'[3]Норматив 1'!$G$585</f>
        <v>10496</v>
      </c>
      <c r="AK10" s="277"/>
      <c r="AL10" s="277">
        <f>'[3]Норматив 1'!$G$586</f>
        <v>7738</v>
      </c>
      <c r="AM10" s="277"/>
      <c r="AN10" s="277">
        <v>9293</v>
      </c>
      <c r="AO10" s="277"/>
      <c r="AP10" s="277">
        <v>7546</v>
      </c>
      <c r="AQ10" s="277"/>
      <c r="AR10" s="277">
        <f>'[3]Норматив 1'!$I$585</f>
        <v>12246</v>
      </c>
      <c r="AS10" s="277"/>
      <c r="AT10" s="277">
        <f>'[3]Норматив 1'!$I$586</f>
        <v>9028</v>
      </c>
      <c r="AU10" s="277"/>
      <c r="AV10" s="277"/>
      <c r="AW10" s="277"/>
      <c r="AX10" s="277">
        <f>'[3]Норматив 1'!$E$583</f>
        <v>3453</v>
      </c>
      <c r="AY10" s="277"/>
      <c r="AZ10" s="277">
        <f>'[3]Норматив 1'!$E$584</f>
        <v>2804</v>
      </c>
      <c r="BA10" s="277"/>
      <c r="BB10" s="277">
        <f>'[3]Норматив 1'!Y585</f>
        <v>0</v>
      </c>
      <c r="BC10" s="277"/>
      <c r="BD10" s="277">
        <f>'[3]Норматив 1'!Y586</f>
        <v>0</v>
      </c>
      <c r="BE10" s="277"/>
      <c r="BF10" s="277">
        <f>'[3]Норматив 1'!$G$585</f>
        <v>10496</v>
      </c>
      <c r="BG10" s="277"/>
      <c r="BH10" s="277">
        <f>'[3]Норматив 1'!$G$586</f>
        <v>7738</v>
      </c>
      <c r="BI10" s="277"/>
      <c r="BJ10" s="277">
        <v>9293</v>
      </c>
      <c r="BK10" s="277"/>
      <c r="BL10" s="277">
        <v>7546</v>
      </c>
      <c r="BM10" s="277"/>
      <c r="BN10" s="277">
        <f>'[3]Норматив 1'!$I$585</f>
        <v>12246</v>
      </c>
      <c r="BO10" s="277"/>
      <c r="BP10" s="277">
        <f>'[3]Норматив 1'!$I$586</f>
        <v>9028</v>
      </c>
      <c r="BQ10" s="277"/>
      <c r="BR10" s="277">
        <f>'[3]Норматив 1'!$E$621</f>
        <v>13712</v>
      </c>
      <c r="BS10" s="277"/>
      <c r="BT10" s="277">
        <f>'[3]Норматив 1'!$E$622</f>
        <v>9034</v>
      </c>
      <c r="BU10" s="277"/>
      <c r="BV10" s="277">
        <f>'[3]Норматив 1'!$F$621</f>
        <v>28796</v>
      </c>
      <c r="BW10" s="277"/>
      <c r="BX10" s="277">
        <f>'[3]Норматив 1'!$F$622</f>
        <v>18972</v>
      </c>
      <c r="BY10" s="277"/>
      <c r="BZ10" s="277">
        <f>'[3]Норматив 1'!$G$621</f>
        <v>32910</v>
      </c>
      <c r="CA10" s="277"/>
      <c r="CB10" s="277">
        <f>'[3]Норматив 1'!$G$622</f>
        <v>21682</v>
      </c>
      <c r="CC10" s="277"/>
      <c r="CD10" s="277">
        <f>'[3]Норматив 1'!$H$621</f>
        <v>38395</v>
      </c>
      <c r="CE10" s="277"/>
      <c r="CF10" s="277">
        <f>'[3]Норматив 1'!$H$622</f>
        <v>25296</v>
      </c>
      <c r="CG10" s="277"/>
      <c r="CH10" s="277">
        <f>'[3]Норматив 1'!$I$621</f>
        <v>38395</v>
      </c>
      <c r="CI10" s="277"/>
      <c r="CJ10" s="277">
        <f>'[3]Норматив 1'!$I$622</f>
        <v>25296</v>
      </c>
      <c r="CK10" s="277"/>
      <c r="CL10" s="277"/>
      <c r="CM10" s="277"/>
      <c r="CN10" s="277"/>
      <c r="CO10" s="277"/>
      <c r="CP10" s="278"/>
      <c r="CQ10" s="294"/>
      <c r="CR10" s="294"/>
      <c r="CS10" s="294"/>
      <c r="CT10" s="294"/>
      <c r="CU10" s="294"/>
      <c r="CV10" s="294"/>
      <c r="CW10" s="294"/>
      <c r="CX10" s="294"/>
      <c r="CY10" s="294"/>
      <c r="CZ10" s="294"/>
      <c r="DA10" s="294"/>
      <c r="DB10" s="294"/>
      <c r="DC10" s="294"/>
      <c r="DD10" s="294"/>
      <c r="DE10" s="294"/>
      <c r="DF10" s="294"/>
      <c r="DH10" s="298"/>
      <c r="DI10" s="300"/>
      <c r="DJ10" s="294"/>
      <c r="DK10" s="294"/>
      <c r="DL10" s="294"/>
    </row>
    <row r="11" spans="1:124" s="267" customFormat="1" ht="18.600000000000001" hidden="1" customHeight="1" x14ac:dyDescent="0.2">
      <c r="A11" s="275">
        <v>5</v>
      </c>
      <c r="B11" s="276" t="s">
        <v>217</v>
      </c>
      <c r="C11" s="276"/>
      <c r="D11" s="276"/>
      <c r="E11" s="277"/>
      <c r="F11" s="277">
        <f>'[3]Норматив 2'!$D$385</f>
        <v>3319</v>
      </c>
      <c r="G11" s="277"/>
      <c r="H11" s="277">
        <f>'[3]Норматив 2'!$D$386</f>
        <v>2695</v>
      </c>
      <c r="I11" s="277"/>
      <c r="J11" s="277">
        <f>'[3]Норматив 2'!$E$385</f>
        <v>6970</v>
      </c>
      <c r="K11" s="277"/>
      <c r="L11" s="277">
        <f>'[3]Норматив 2'!$E$386</f>
        <v>5660</v>
      </c>
      <c r="M11" s="277"/>
      <c r="N11" s="277">
        <f>'[3]Норматив 2'!$F$385</f>
        <v>7966</v>
      </c>
      <c r="O11" s="277"/>
      <c r="P11" s="277">
        <f>'[3]Норматив 2'!$F$386</f>
        <v>6468</v>
      </c>
      <c r="Q11" s="277"/>
      <c r="R11" s="277">
        <v>9293</v>
      </c>
      <c r="S11" s="277"/>
      <c r="T11" s="277">
        <v>7546</v>
      </c>
      <c r="U11" s="277"/>
      <c r="V11" s="277">
        <v>9293</v>
      </c>
      <c r="W11" s="277"/>
      <c r="X11" s="277">
        <v>7546</v>
      </c>
      <c r="Y11" s="277"/>
      <c r="Z11" s="277"/>
      <c r="AA11" s="277"/>
      <c r="AB11" s="277">
        <f>'[3]Норматив 2'!$D$385</f>
        <v>3319</v>
      </c>
      <c r="AC11" s="277"/>
      <c r="AD11" s="277">
        <f>'[3]Норматив 2'!$D$386</f>
        <v>2695</v>
      </c>
      <c r="AE11" s="277"/>
      <c r="AF11" s="277">
        <f>'[3]Норматив 2'!E387</f>
        <v>8829</v>
      </c>
      <c r="AG11" s="277"/>
      <c r="AH11" s="277">
        <f>'[3]Норматив 2'!E388</f>
        <v>6509</v>
      </c>
      <c r="AI11" s="277"/>
      <c r="AJ11" s="277">
        <f>'[3]Норматив 2'!$F$387</f>
        <v>10090</v>
      </c>
      <c r="AK11" s="277"/>
      <c r="AL11" s="277">
        <f>'[3]Норматив 2'!$F$388</f>
        <v>7438</v>
      </c>
      <c r="AM11" s="277"/>
      <c r="AN11" s="277">
        <v>9293</v>
      </c>
      <c r="AO11" s="277"/>
      <c r="AP11" s="277">
        <v>7546</v>
      </c>
      <c r="AQ11" s="277"/>
      <c r="AR11" s="277">
        <f>'[3]Норматив 2'!$H$387</f>
        <v>11771</v>
      </c>
      <c r="AS11" s="277"/>
      <c r="AT11" s="277">
        <f>'[3]Норматив 2'!$H$388</f>
        <v>8678</v>
      </c>
      <c r="AU11" s="277"/>
      <c r="AV11" s="277"/>
      <c r="AW11" s="277"/>
      <c r="AX11" s="277">
        <f>'[3]Норматив 2'!$D$385</f>
        <v>3319</v>
      </c>
      <c r="AY11" s="277"/>
      <c r="AZ11" s="277">
        <f>'[3]Норматив 2'!$D$386</f>
        <v>2695</v>
      </c>
      <c r="BA11" s="277"/>
      <c r="BB11" s="277">
        <f>'[3]Норматив 2'!Y387</f>
        <v>0</v>
      </c>
      <c r="BC11" s="277"/>
      <c r="BD11" s="277">
        <f>'[3]Норматив 2'!Y388</f>
        <v>0</v>
      </c>
      <c r="BE11" s="277"/>
      <c r="BF11" s="277">
        <f>'[3]Норматив 2'!$F$387</f>
        <v>10090</v>
      </c>
      <c r="BG11" s="277"/>
      <c r="BH11" s="277">
        <f>'[3]Норматив 2'!$F$388</f>
        <v>7438</v>
      </c>
      <c r="BI11" s="277"/>
      <c r="BJ11" s="277">
        <v>9293</v>
      </c>
      <c r="BK11" s="277"/>
      <c r="BL11" s="277">
        <v>7546</v>
      </c>
      <c r="BM11" s="277"/>
      <c r="BN11" s="277">
        <f>'[3]Норматив 2'!$H$387</f>
        <v>11771</v>
      </c>
      <c r="BO11" s="277"/>
      <c r="BP11" s="277">
        <f>'[3]Норматив 2'!$H$388</f>
        <v>8678</v>
      </c>
      <c r="BQ11" s="277"/>
      <c r="BR11" s="277">
        <f>'[3]Норматив 2'!$D$385</f>
        <v>3319</v>
      </c>
      <c r="BS11" s="277"/>
      <c r="BT11" s="277">
        <f>'[3]Норматив 2'!$D$386</f>
        <v>2695</v>
      </c>
      <c r="BU11" s="277"/>
      <c r="BV11" s="277">
        <f>'[3]Норматив 2'!AS387</f>
        <v>0</v>
      </c>
      <c r="BW11" s="277"/>
      <c r="BX11" s="277">
        <f>'[3]Норматив 2'!AS388</f>
        <v>0</v>
      </c>
      <c r="BY11" s="277"/>
      <c r="BZ11" s="277">
        <f>'[3]Норматив 2'!$F$387</f>
        <v>10090</v>
      </c>
      <c r="CA11" s="277"/>
      <c r="CB11" s="277">
        <f>'[3]Норматив 2'!$F$388</f>
        <v>7438</v>
      </c>
      <c r="CC11" s="277"/>
      <c r="CD11" s="277">
        <v>9293</v>
      </c>
      <c r="CE11" s="277"/>
      <c r="CF11" s="277">
        <v>7546</v>
      </c>
      <c r="CG11" s="277"/>
      <c r="CH11" s="277">
        <f>'[3]Норматив 2'!$H$387</f>
        <v>11771</v>
      </c>
      <c r="CI11" s="277"/>
      <c r="CJ11" s="277">
        <f>'[3]Норматив 2'!$H$388</f>
        <v>8678</v>
      </c>
      <c r="CK11" s="277"/>
      <c r="CL11" s="277"/>
      <c r="CM11" s="277"/>
      <c r="CN11" s="277"/>
      <c r="CO11" s="277"/>
      <c r="CP11" s="278"/>
      <c r="CQ11" s="294"/>
      <c r="CR11" s="294"/>
      <c r="CS11" s="294"/>
      <c r="CT11" s="294"/>
      <c r="CU11" s="294"/>
      <c r="CV11" s="294"/>
      <c r="CW11" s="294"/>
      <c r="CX11" s="294"/>
      <c r="CY11" s="294"/>
      <c r="CZ11" s="294"/>
      <c r="DA11" s="294"/>
      <c r="DB11" s="294"/>
      <c r="DC11" s="294"/>
      <c r="DD11" s="294"/>
      <c r="DE11" s="294"/>
      <c r="DF11" s="294"/>
      <c r="DH11" s="298"/>
      <c r="DI11" s="300"/>
      <c r="DJ11" s="294"/>
      <c r="DK11" s="294"/>
      <c r="DL11" s="294"/>
    </row>
    <row r="12" spans="1:124" s="267" customFormat="1" x14ac:dyDescent="0.2">
      <c r="A12" s="275">
        <v>4</v>
      </c>
      <c r="B12" s="276" t="s">
        <v>218</v>
      </c>
      <c r="C12" s="276"/>
      <c r="D12" s="276"/>
      <c r="E12" s="277"/>
      <c r="F12" s="277">
        <f>'[3]Норматив 3'!$D$385</f>
        <v>3319</v>
      </c>
      <c r="G12" s="277"/>
      <c r="H12" s="277">
        <f>'[3]Норматив 3'!$D$386</f>
        <v>2695</v>
      </c>
      <c r="I12" s="277"/>
      <c r="J12" s="277">
        <f>'[3]Норматив 3'!$E$385</f>
        <v>6970</v>
      </c>
      <c r="K12" s="277"/>
      <c r="L12" s="277">
        <f>'[3]Норматив 3'!$E$386</f>
        <v>5660</v>
      </c>
      <c r="M12" s="277"/>
      <c r="N12" s="277">
        <f>'[3]Норматив 3'!$F$385</f>
        <v>7966</v>
      </c>
      <c r="O12" s="277"/>
      <c r="P12" s="277">
        <f>'[3]Норматив 3'!$F$386</f>
        <v>6468</v>
      </c>
      <c r="Q12" s="277"/>
      <c r="R12" s="277">
        <v>9293</v>
      </c>
      <c r="S12" s="277"/>
      <c r="T12" s="277">
        <v>7546</v>
      </c>
      <c r="U12" s="277"/>
      <c r="V12" s="277">
        <v>9293</v>
      </c>
      <c r="W12" s="277"/>
      <c r="X12" s="277">
        <v>7546</v>
      </c>
      <c r="Y12" s="277"/>
      <c r="Z12" s="277"/>
      <c r="AA12" s="277"/>
      <c r="AB12" s="277">
        <f>'[3]Норматив 3'!$D$385</f>
        <v>3319</v>
      </c>
      <c r="AC12" s="277"/>
      <c r="AD12" s="277">
        <f>'[3]Норматив 3'!$D$386</f>
        <v>2695</v>
      </c>
      <c r="AE12" s="277"/>
      <c r="AF12" s="277">
        <f>'[3]Норматив 3'!E387</f>
        <v>8829</v>
      </c>
      <c r="AG12" s="277"/>
      <c r="AH12" s="277">
        <f>'[3]Норматив 3'!E388</f>
        <v>6509</v>
      </c>
      <c r="AI12" s="277"/>
      <c r="AJ12" s="277">
        <f>'[3]Норматив 3'!$F$387</f>
        <v>10090</v>
      </c>
      <c r="AK12" s="277"/>
      <c r="AL12" s="277">
        <f>'[3]Норматив 3'!$F$388</f>
        <v>7438</v>
      </c>
      <c r="AM12" s="277"/>
      <c r="AN12" s="277">
        <v>9293</v>
      </c>
      <c r="AO12" s="277"/>
      <c r="AP12" s="277">
        <v>7546</v>
      </c>
      <c r="AQ12" s="277"/>
      <c r="AR12" s="277">
        <f>'[3]Норматив 3'!$H$387</f>
        <v>11771</v>
      </c>
      <c r="AS12" s="277"/>
      <c r="AT12" s="277">
        <f>'[3]Норматив 3'!$H$388</f>
        <v>8678</v>
      </c>
      <c r="AU12" s="277"/>
      <c r="AV12" s="277"/>
      <c r="AW12" s="277"/>
      <c r="AX12" s="277">
        <f>'[3]Норматив 3'!$D$385</f>
        <v>3319</v>
      </c>
      <c r="AY12" s="277"/>
      <c r="AZ12" s="277">
        <f>'[3]Норматив 3'!$D$386</f>
        <v>2695</v>
      </c>
      <c r="BA12" s="277"/>
      <c r="BB12" s="277">
        <f>'[3]Норматив 3'!Y387</f>
        <v>0</v>
      </c>
      <c r="BC12" s="277"/>
      <c r="BD12" s="277">
        <f>'[3]Норматив 3'!Y388</f>
        <v>0</v>
      </c>
      <c r="BE12" s="277"/>
      <c r="BF12" s="277">
        <f>'[3]Норматив 3'!$F$387</f>
        <v>10090</v>
      </c>
      <c r="BG12" s="277"/>
      <c r="BH12" s="277">
        <f>'[3]Норматив 3'!$F$388</f>
        <v>7438</v>
      </c>
      <c r="BI12" s="277"/>
      <c r="BJ12" s="277">
        <v>9293</v>
      </c>
      <c r="BK12" s="277"/>
      <c r="BL12" s="277">
        <v>7546</v>
      </c>
      <c r="BM12" s="277"/>
      <c r="BN12" s="277">
        <f>'[3]Норматив 3'!$H$387</f>
        <v>11771</v>
      </c>
      <c r="BO12" s="277"/>
      <c r="BP12" s="277">
        <f>'[3]Норматив 3'!$H$388</f>
        <v>8678</v>
      </c>
      <c r="BQ12" s="277"/>
      <c r="BR12" s="277">
        <f>'[3]Норматив 3'!$D$385</f>
        <v>3319</v>
      </c>
      <c r="BS12" s="277"/>
      <c r="BT12" s="277">
        <f>'[3]Норматив 3'!$D$386</f>
        <v>2695</v>
      </c>
      <c r="BU12" s="277"/>
      <c r="BV12" s="277">
        <f>'[3]Норматив 3'!AS387</f>
        <v>0</v>
      </c>
      <c r="BW12" s="277"/>
      <c r="BX12" s="277">
        <f>'[3]Норматив 3'!AS388</f>
        <v>0</v>
      </c>
      <c r="BY12" s="277"/>
      <c r="BZ12" s="277">
        <f>'[3]Норматив 3'!$F$387</f>
        <v>10090</v>
      </c>
      <c r="CA12" s="277"/>
      <c r="CB12" s="277">
        <f>'[3]Норматив 3'!$F$388</f>
        <v>7438</v>
      </c>
      <c r="CC12" s="277"/>
      <c r="CD12" s="277">
        <v>9293</v>
      </c>
      <c r="CE12" s="277"/>
      <c r="CF12" s="277">
        <v>7546</v>
      </c>
      <c r="CG12" s="277"/>
      <c r="CH12" s="277">
        <f>'[3]Норматив 3'!$H$387</f>
        <v>11771</v>
      </c>
      <c r="CI12" s="277"/>
      <c r="CJ12" s="277">
        <f>'[3]Норматив 3'!$H$388</f>
        <v>8678</v>
      </c>
      <c r="CK12" s="277"/>
      <c r="CL12" s="277"/>
      <c r="CM12" s="277"/>
      <c r="CN12" s="277"/>
      <c r="CO12" s="277"/>
      <c r="CP12" s="278"/>
      <c r="CQ12" s="294"/>
      <c r="CR12" s="294"/>
      <c r="CS12" s="294"/>
      <c r="CT12" s="294"/>
      <c r="CU12" s="294"/>
      <c r="CV12" s="294"/>
      <c r="CW12" s="294"/>
      <c r="CX12" s="294"/>
      <c r="CY12" s="294"/>
      <c r="CZ12" s="294"/>
      <c r="DA12" s="294"/>
      <c r="DB12" s="294"/>
      <c r="DC12" s="294"/>
      <c r="DD12" s="294"/>
      <c r="DE12" s="294"/>
      <c r="DF12" s="294"/>
      <c r="DH12" s="298"/>
      <c r="DI12" s="300"/>
      <c r="DJ12" s="294"/>
      <c r="DK12" s="294"/>
      <c r="DL12" s="294"/>
      <c r="DN12" s="496" t="s">
        <v>306</v>
      </c>
      <c r="DO12" s="627"/>
      <c r="DP12" s="628"/>
      <c r="DQ12" s="2"/>
      <c r="DR12" s="496" t="s">
        <v>226</v>
      </c>
      <c r="DS12" s="627"/>
      <c r="DT12" s="628"/>
    </row>
    <row r="13" spans="1:124" s="282" customFormat="1" x14ac:dyDescent="0.2">
      <c r="A13" s="279">
        <v>1</v>
      </c>
      <c r="B13" s="215" t="s">
        <v>32</v>
      </c>
      <c r="C13" s="280">
        <v>544</v>
      </c>
      <c r="D13" s="280">
        <v>6175</v>
      </c>
      <c r="E13" s="214">
        <v>0</v>
      </c>
      <c r="F13" s="214">
        <v>0</v>
      </c>
      <c r="G13" s="214">
        <v>0</v>
      </c>
      <c r="H13" s="214">
        <v>0</v>
      </c>
      <c r="I13" s="214">
        <v>386</v>
      </c>
      <c r="J13" s="214">
        <v>36593892</v>
      </c>
      <c r="K13" s="214">
        <v>1121</v>
      </c>
      <c r="L13" s="214">
        <v>83980032</v>
      </c>
      <c r="M13" s="214">
        <v>158</v>
      </c>
      <c r="N13" s="214">
        <v>16343520</v>
      </c>
      <c r="O13" s="214">
        <v>341</v>
      </c>
      <c r="P13" s="214">
        <v>28833000</v>
      </c>
      <c r="Q13" s="214">
        <v>0</v>
      </c>
      <c r="R13" s="214">
        <v>0</v>
      </c>
      <c r="S13" s="214">
        <v>0</v>
      </c>
      <c r="T13" s="214">
        <v>0</v>
      </c>
      <c r="U13" s="214">
        <v>0</v>
      </c>
      <c r="V13" s="214">
        <v>0</v>
      </c>
      <c r="W13" s="214">
        <v>0</v>
      </c>
      <c r="X13" s="214">
        <v>0</v>
      </c>
      <c r="Y13" s="280">
        <v>0</v>
      </c>
      <c r="Z13" s="280">
        <v>211</v>
      </c>
      <c r="AA13" s="214">
        <v>0</v>
      </c>
      <c r="AB13" s="214">
        <v>0</v>
      </c>
      <c r="AC13" s="214">
        <v>0</v>
      </c>
      <c r="AD13" s="214">
        <v>0</v>
      </c>
      <c r="AE13" s="214">
        <v>0</v>
      </c>
      <c r="AF13" s="214">
        <v>0</v>
      </c>
      <c r="AG13" s="214">
        <v>211</v>
      </c>
      <c r="AH13" s="214">
        <v>66009372</v>
      </c>
      <c r="AI13" s="214">
        <v>0</v>
      </c>
      <c r="AJ13" s="214">
        <v>0</v>
      </c>
      <c r="AK13" s="214">
        <v>0</v>
      </c>
      <c r="AL13" s="214">
        <v>0</v>
      </c>
      <c r="AM13" s="214">
        <v>0</v>
      </c>
      <c r="AN13" s="214">
        <v>0</v>
      </c>
      <c r="AO13" s="214">
        <v>0</v>
      </c>
      <c r="AP13" s="214">
        <v>0</v>
      </c>
      <c r="AQ13" s="214">
        <v>0</v>
      </c>
      <c r="AR13" s="214">
        <v>0</v>
      </c>
      <c r="AS13" s="214">
        <v>0</v>
      </c>
      <c r="AT13" s="214">
        <v>0</v>
      </c>
      <c r="AU13" s="280">
        <v>0</v>
      </c>
      <c r="AV13" s="280">
        <v>42</v>
      </c>
      <c r="AW13" s="214">
        <v>0</v>
      </c>
      <c r="AX13" s="214">
        <v>0</v>
      </c>
      <c r="AY13" s="214">
        <v>0</v>
      </c>
      <c r="AZ13" s="214">
        <v>0</v>
      </c>
      <c r="BA13" s="214">
        <v>0</v>
      </c>
      <c r="BB13" s="214">
        <v>0</v>
      </c>
      <c r="BC13" s="214">
        <v>42</v>
      </c>
      <c r="BD13" s="214">
        <v>5175072</v>
      </c>
      <c r="BE13" s="214">
        <v>0</v>
      </c>
      <c r="BF13" s="214">
        <v>0</v>
      </c>
      <c r="BG13" s="214">
        <v>0</v>
      </c>
      <c r="BH13" s="214">
        <v>0</v>
      </c>
      <c r="BI13" s="214">
        <v>0</v>
      </c>
      <c r="BJ13" s="214">
        <v>0</v>
      </c>
      <c r="BK13" s="214">
        <v>0</v>
      </c>
      <c r="BL13" s="214">
        <v>0</v>
      </c>
      <c r="BM13" s="214">
        <v>0</v>
      </c>
      <c r="BN13" s="214">
        <v>0</v>
      </c>
      <c r="BO13" s="214">
        <v>0</v>
      </c>
      <c r="BP13" s="214">
        <v>0</v>
      </c>
      <c r="BQ13" s="214">
        <v>0</v>
      </c>
      <c r="BR13" s="214">
        <v>0</v>
      </c>
      <c r="BS13" s="214">
        <v>0</v>
      </c>
      <c r="BT13" s="214">
        <v>0</v>
      </c>
      <c r="BU13" s="214">
        <v>386</v>
      </c>
      <c r="BV13" s="214">
        <v>36593892</v>
      </c>
      <c r="BW13" s="214">
        <v>1374</v>
      </c>
      <c r="BX13" s="214">
        <v>155164476</v>
      </c>
      <c r="BY13" s="214">
        <v>158</v>
      </c>
      <c r="BZ13" s="214">
        <v>16343520</v>
      </c>
      <c r="CA13" s="214">
        <v>341</v>
      </c>
      <c r="CB13" s="214">
        <v>28833000</v>
      </c>
      <c r="CC13" s="214">
        <v>0</v>
      </c>
      <c r="CD13" s="214">
        <v>0</v>
      </c>
      <c r="CE13" s="214">
        <v>0</v>
      </c>
      <c r="CF13" s="214">
        <v>0</v>
      </c>
      <c r="CG13" s="214">
        <v>0</v>
      </c>
      <c r="CH13" s="214">
        <v>0</v>
      </c>
      <c r="CI13" s="214">
        <v>0</v>
      </c>
      <c r="CJ13" s="214">
        <v>0</v>
      </c>
      <c r="CK13" s="214">
        <v>544</v>
      </c>
      <c r="CL13" s="214">
        <v>52937412</v>
      </c>
      <c r="CM13" s="214">
        <v>1715</v>
      </c>
      <c r="CN13" s="214">
        <v>183997476</v>
      </c>
      <c r="CO13" s="214">
        <v>2259</v>
      </c>
      <c r="CP13" s="281">
        <v>236934900</v>
      </c>
      <c r="CQ13" s="296">
        <v>242633.3</v>
      </c>
      <c r="CR13" s="296">
        <v>240992.1</v>
      </c>
      <c r="CS13" s="166">
        <f>ROUND(CQ13*1.04,1)</f>
        <v>252338.6</v>
      </c>
      <c r="CT13" s="166">
        <f>ROUND(CR13*1.04,1)</f>
        <v>250631.8</v>
      </c>
      <c r="CU13" s="281">
        <f>ROUND(CP13*$CU$4,-2)</f>
        <v>230079800</v>
      </c>
      <c r="CV13" s="281">
        <f>CV36</f>
        <v>2193.6416635962028</v>
      </c>
      <c r="CW13" s="166">
        <v>242633.3</v>
      </c>
      <c r="CX13" s="166">
        <f>ROUND(CW13*1.04,1)</f>
        <v>252338.6</v>
      </c>
      <c r="CY13" s="281">
        <f t="shared" ref="CY13:CY30" si="0">ROUND(CP13*$CY$4,-2)</f>
        <v>229656500</v>
      </c>
      <c r="CZ13" s="281">
        <f>CZ36</f>
        <v>2189.6058094438599</v>
      </c>
      <c r="DA13" s="166">
        <f t="shared" ref="DA13:DA30" si="1">CS13</f>
        <v>252338.6</v>
      </c>
      <c r="DB13" s="281">
        <f t="shared" ref="DB13:DB30" si="2">ROUND(CP13*$DB$4,-2)</f>
        <v>223577000</v>
      </c>
      <c r="DC13" s="281">
        <f>DC36</f>
        <v>2131.6422485670114</v>
      </c>
      <c r="DD13" s="166">
        <f>DB13/1000</f>
        <v>223577</v>
      </c>
      <c r="DE13" s="166">
        <f>ROUND(DD13*1.04,1)</f>
        <v>232520.1</v>
      </c>
      <c r="DF13" s="166">
        <f>ROUND(DE13*1.04,1)</f>
        <v>241820.9</v>
      </c>
      <c r="DH13" s="298">
        <v>2319</v>
      </c>
      <c r="DI13" s="300">
        <v>242633300</v>
      </c>
      <c r="DJ13" s="301">
        <f t="shared" ref="DJ13:DJ30" si="3">CO13-DH13</f>
        <v>-60</v>
      </c>
      <c r="DK13" s="295">
        <v>2319</v>
      </c>
      <c r="DL13" s="301">
        <f t="shared" ref="DL13:DL30" si="4">CO13-DK13</f>
        <v>-60</v>
      </c>
      <c r="DN13" s="162">
        <f>CP13</f>
        <v>236934900</v>
      </c>
      <c r="DO13" s="162">
        <f>ROUNDUP(DN13*1.04,-2)</f>
        <v>246412300</v>
      </c>
      <c r="DP13" s="162">
        <f>ROUNDUP(DO13*1.04,-2)</f>
        <v>256268800</v>
      </c>
      <c r="DQ13" s="162"/>
      <c r="DR13" s="162">
        <f>DN13/1000</f>
        <v>236934.9</v>
      </c>
      <c r="DS13" s="162">
        <f t="shared" ref="DS13:DT28" si="5">DO13/1000</f>
        <v>246412.3</v>
      </c>
      <c r="DT13" s="162">
        <f t="shared" si="5"/>
        <v>256268.79999999999</v>
      </c>
    </row>
    <row r="14" spans="1:124" s="282" customFormat="1" x14ac:dyDescent="0.2">
      <c r="A14" s="279">
        <v>2</v>
      </c>
      <c r="B14" s="215" t="s">
        <v>64</v>
      </c>
      <c r="C14" s="280">
        <v>497</v>
      </c>
      <c r="D14" s="280">
        <v>2851</v>
      </c>
      <c r="E14" s="214">
        <v>0</v>
      </c>
      <c r="F14" s="214">
        <v>0</v>
      </c>
      <c r="G14" s="214">
        <v>0</v>
      </c>
      <c r="H14" s="214">
        <v>0</v>
      </c>
      <c r="I14" s="214">
        <v>0</v>
      </c>
      <c r="J14" s="214">
        <v>0</v>
      </c>
      <c r="K14" s="214">
        <v>0</v>
      </c>
      <c r="L14" s="214">
        <v>0</v>
      </c>
      <c r="M14" s="214">
        <v>497</v>
      </c>
      <c r="N14" s="214">
        <v>61006224</v>
      </c>
      <c r="O14" s="214">
        <v>1536</v>
      </c>
      <c r="P14" s="214">
        <v>142308816</v>
      </c>
      <c r="Q14" s="214">
        <v>0</v>
      </c>
      <c r="R14" s="214">
        <v>0</v>
      </c>
      <c r="S14" s="214">
        <v>0</v>
      </c>
      <c r="T14" s="214">
        <v>0</v>
      </c>
      <c r="U14" s="214">
        <v>0</v>
      </c>
      <c r="V14" s="214">
        <v>0</v>
      </c>
      <c r="W14" s="214">
        <v>0</v>
      </c>
      <c r="X14" s="214">
        <v>0</v>
      </c>
      <c r="Y14" s="280">
        <v>0</v>
      </c>
      <c r="Z14" s="280">
        <v>130</v>
      </c>
      <c r="AA14" s="214">
        <v>0</v>
      </c>
      <c r="AB14" s="214">
        <v>0</v>
      </c>
      <c r="AC14" s="214">
        <v>0</v>
      </c>
      <c r="AD14" s="214">
        <v>0</v>
      </c>
      <c r="AE14" s="214">
        <v>0</v>
      </c>
      <c r="AF14" s="214">
        <v>0</v>
      </c>
      <c r="AG14" s="214">
        <v>0</v>
      </c>
      <c r="AH14" s="214">
        <v>0</v>
      </c>
      <c r="AI14" s="214">
        <v>0</v>
      </c>
      <c r="AJ14" s="214">
        <v>0</v>
      </c>
      <c r="AK14" s="214">
        <v>130</v>
      </c>
      <c r="AL14" s="214">
        <v>42686064</v>
      </c>
      <c r="AM14" s="214">
        <v>0</v>
      </c>
      <c r="AN14" s="214">
        <v>0</v>
      </c>
      <c r="AO14" s="214">
        <v>0</v>
      </c>
      <c r="AP14" s="214">
        <v>0</v>
      </c>
      <c r="AQ14" s="214">
        <v>0</v>
      </c>
      <c r="AR14" s="214">
        <v>0</v>
      </c>
      <c r="AS14" s="214">
        <v>0</v>
      </c>
      <c r="AT14" s="214">
        <v>0</v>
      </c>
      <c r="AU14" s="280">
        <v>0</v>
      </c>
      <c r="AV14" s="280">
        <v>0</v>
      </c>
      <c r="AW14" s="214">
        <v>0</v>
      </c>
      <c r="AX14" s="214">
        <v>0</v>
      </c>
      <c r="AY14" s="214">
        <v>0</v>
      </c>
      <c r="AZ14" s="214">
        <v>0</v>
      </c>
      <c r="BA14" s="214">
        <v>0</v>
      </c>
      <c r="BB14" s="214">
        <v>0</v>
      </c>
      <c r="BC14" s="214">
        <v>0</v>
      </c>
      <c r="BD14" s="214">
        <v>0</v>
      </c>
      <c r="BE14" s="214">
        <v>0</v>
      </c>
      <c r="BF14" s="214">
        <v>0</v>
      </c>
      <c r="BG14" s="214">
        <v>0</v>
      </c>
      <c r="BH14" s="214">
        <v>0</v>
      </c>
      <c r="BI14" s="214">
        <v>0</v>
      </c>
      <c r="BJ14" s="214">
        <v>0</v>
      </c>
      <c r="BK14" s="214">
        <v>0</v>
      </c>
      <c r="BL14" s="214">
        <v>0</v>
      </c>
      <c r="BM14" s="214">
        <v>0</v>
      </c>
      <c r="BN14" s="214">
        <v>0</v>
      </c>
      <c r="BO14" s="214">
        <v>0</v>
      </c>
      <c r="BP14" s="214">
        <v>0</v>
      </c>
      <c r="BQ14" s="214">
        <v>0</v>
      </c>
      <c r="BR14" s="214">
        <v>0</v>
      </c>
      <c r="BS14" s="214">
        <v>0</v>
      </c>
      <c r="BT14" s="214">
        <v>0</v>
      </c>
      <c r="BU14" s="214">
        <v>0</v>
      </c>
      <c r="BV14" s="214">
        <v>0</v>
      </c>
      <c r="BW14" s="214">
        <v>0</v>
      </c>
      <c r="BX14" s="214">
        <v>0</v>
      </c>
      <c r="BY14" s="214">
        <v>497</v>
      </c>
      <c r="BZ14" s="214">
        <v>61006224</v>
      </c>
      <c r="CA14" s="214">
        <v>1666</v>
      </c>
      <c r="CB14" s="214">
        <v>184994880</v>
      </c>
      <c r="CC14" s="214">
        <v>0</v>
      </c>
      <c r="CD14" s="214">
        <v>0</v>
      </c>
      <c r="CE14" s="214">
        <v>0</v>
      </c>
      <c r="CF14" s="214">
        <v>0</v>
      </c>
      <c r="CG14" s="214">
        <v>0</v>
      </c>
      <c r="CH14" s="214">
        <v>0</v>
      </c>
      <c r="CI14" s="214">
        <v>0</v>
      </c>
      <c r="CJ14" s="214">
        <v>0</v>
      </c>
      <c r="CK14" s="214">
        <v>497</v>
      </c>
      <c r="CL14" s="214">
        <v>61006224</v>
      </c>
      <c r="CM14" s="214">
        <v>1666</v>
      </c>
      <c r="CN14" s="214">
        <v>184994880</v>
      </c>
      <c r="CO14" s="214">
        <v>2163</v>
      </c>
      <c r="CP14" s="281">
        <v>246001100</v>
      </c>
      <c r="CQ14" s="296">
        <v>226642.9</v>
      </c>
      <c r="CR14" s="296">
        <v>232761.3</v>
      </c>
      <c r="CS14" s="166">
        <f t="shared" ref="CS14:CS30" si="6">ROUND(CQ14*1.04,1)</f>
        <v>235708.6</v>
      </c>
      <c r="CT14" s="166">
        <f t="shared" ref="CT14:CT30" si="7">ROUND(CR14*1.04,1)</f>
        <v>242071.8</v>
      </c>
      <c r="CU14" s="281">
        <f t="shared" ref="CU14:CU30" si="8">ROUND(CP14*$CU$4,-2)</f>
        <v>238883700</v>
      </c>
      <c r="CV14" s="281">
        <f t="shared" ref="CV14:CV30" si="9">CV37</f>
        <v>2100.4192383692593</v>
      </c>
      <c r="CW14" s="166">
        <v>229327.9</v>
      </c>
      <c r="CX14" s="166">
        <f t="shared" ref="CX14:CX30" si="10">ROUND(CW14*1.04,1)</f>
        <v>238501</v>
      </c>
      <c r="CY14" s="281">
        <f t="shared" si="0"/>
        <v>238444200</v>
      </c>
      <c r="CZ14" s="281">
        <f t="shared" ref="CZ14:CZ30" si="11">CZ37</f>
        <v>2096.5548715026071</v>
      </c>
      <c r="DA14" s="166">
        <f t="shared" si="1"/>
        <v>235708.6</v>
      </c>
      <c r="DB14" s="281">
        <f t="shared" si="2"/>
        <v>232132100</v>
      </c>
      <c r="DC14" s="281">
        <f t="shared" ref="DC14:DC30" si="12">DC37</f>
        <v>2041.0548257711043</v>
      </c>
      <c r="DD14" s="166">
        <f t="shared" ref="DD14:DD30" si="13">DB14/1000</f>
        <v>232132.1</v>
      </c>
      <c r="DE14" s="166">
        <f t="shared" ref="DE14:DF30" si="14">ROUND(DD14*1.04,1)</f>
        <v>241417.4</v>
      </c>
      <c r="DF14" s="166">
        <f t="shared" si="14"/>
        <v>251074.1</v>
      </c>
      <c r="DH14" s="298">
        <v>2210</v>
      </c>
      <c r="DI14" s="300">
        <v>226642900</v>
      </c>
      <c r="DJ14" s="301">
        <f t="shared" si="3"/>
        <v>-47</v>
      </c>
      <c r="DK14" s="295">
        <v>2220</v>
      </c>
      <c r="DL14" s="301">
        <f t="shared" si="4"/>
        <v>-57</v>
      </c>
      <c r="DN14" s="162">
        <f t="shared" ref="DN14:DN30" si="15">CP14</f>
        <v>246001100</v>
      </c>
      <c r="DO14" s="162">
        <f>ROUNDUP(DN14*1.04,-2)</f>
        <v>255841200</v>
      </c>
      <c r="DP14" s="162">
        <f>ROUNDUP(DO14*1.04,-2)</f>
        <v>266074900</v>
      </c>
      <c r="DQ14" s="162"/>
      <c r="DR14" s="162">
        <f t="shared" ref="DR14:DT30" si="16">DN14/1000</f>
        <v>246001.1</v>
      </c>
      <c r="DS14" s="162">
        <f t="shared" si="5"/>
        <v>255841.2</v>
      </c>
      <c r="DT14" s="162">
        <f t="shared" si="5"/>
        <v>266074.90000000002</v>
      </c>
    </row>
    <row r="15" spans="1:124" s="282" customFormat="1" x14ac:dyDescent="0.2">
      <c r="A15" s="279">
        <v>3</v>
      </c>
      <c r="B15" s="215" t="s">
        <v>65</v>
      </c>
      <c r="C15" s="280">
        <v>918</v>
      </c>
      <c r="D15" s="280">
        <v>2500</v>
      </c>
      <c r="E15" s="214">
        <v>0</v>
      </c>
      <c r="F15" s="214">
        <v>0</v>
      </c>
      <c r="G15" s="214">
        <v>0</v>
      </c>
      <c r="H15" s="214">
        <v>0</v>
      </c>
      <c r="I15" s="214">
        <v>0</v>
      </c>
      <c r="J15" s="214">
        <v>0</v>
      </c>
      <c r="K15" s="214">
        <v>0</v>
      </c>
      <c r="L15" s="214">
        <v>0</v>
      </c>
      <c r="M15" s="214">
        <v>911</v>
      </c>
      <c r="N15" s="214">
        <v>99649620</v>
      </c>
      <c r="O15" s="214">
        <v>2383</v>
      </c>
      <c r="P15" s="214">
        <v>211849920</v>
      </c>
      <c r="Q15" s="214">
        <v>7</v>
      </c>
      <c r="R15" s="214">
        <v>844788</v>
      </c>
      <c r="S15" s="214">
        <v>10</v>
      </c>
      <c r="T15" s="214">
        <v>979920</v>
      </c>
      <c r="U15" s="214">
        <v>0</v>
      </c>
      <c r="V15" s="214">
        <v>0</v>
      </c>
      <c r="W15" s="214">
        <v>20</v>
      </c>
      <c r="X15" s="214">
        <v>1959840</v>
      </c>
      <c r="Y15" s="280">
        <v>0</v>
      </c>
      <c r="Z15" s="280">
        <v>588</v>
      </c>
      <c r="AA15" s="214">
        <v>0</v>
      </c>
      <c r="AB15" s="214">
        <v>0</v>
      </c>
      <c r="AC15" s="214">
        <v>0</v>
      </c>
      <c r="AD15" s="214">
        <v>0</v>
      </c>
      <c r="AE15" s="214">
        <v>0</v>
      </c>
      <c r="AF15" s="214">
        <v>0</v>
      </c>
      <c r="AG15" s="214">
        <v>0</v>
      </c>
      <c r="AH15" s="214">
        <v>0</v>
      </c>
      <c r="AI15" s="214">
        <v>0</v>
      </c>
      <c r="AJ15" s="214">
        <v>0</v>
      </c>
      <c r="AK15" s="214">
        <v>588</v>
      </c>
      <c r="AL15" s="214">
        <v>221330160</v>
      </c>
      <c r="AM15" s="214">
        <v>0</v>
      </c>
      <c r="AN15" s="214">
        <v>0</v>
      </c>
      <c r="AO15" s="214">
        <v>0</v>
      </c>
      <c r="AP15" s="214">
        <v>0</v>
      </c>
      <c r="AQ15" s="214">
        <v>0</v>
      </c>
      <c r="AR15" s="214">
        <v>0</v>
      </c>
      <c r="AS15" s="214">
        <v>0</v>
      </c>
      <c r="AT15" s="214">
        <v>0</v>
      </c>
      <c r="AU15" s="280">
        <v>0</v>
      </c>
      <c r="AV15" s="280">
        <v>0</v>
      </c>
      <c r="AW15" s="214">
        <v>0</v>
      </c>
      <c r="AX15" s="214">
        <v>0</v>
      </c>
      <c r="AY15" s="214">
        <v>0</v>
      </c>
      <c r="AZ15" s="214">
        <v>0</v>
      </c>
      <c r="BA15" s="214">
        <v>0</v>
      </c>
      <c r="BB15" s="214">
        <v>0</v>
      </c>
      <c r="BC15" s="214">
        <v>0</v>
      </c>
      <c r="BD15" s="214">
        <v>0</v>
      </c>
      <c r="BE15" s="214">
        <v>0</v>
      </c>
      <c r="BF15" s="214">
        <v>0</v>
      </c>
      <c r="BG15" s="214">
        <v>0</v>
      </c>
      <c r="BH15" s="214">
        <v>0</v>
      </c>
      <c r="BI15" s="214">
        <v>0</v>
      </c>
      <c r="BJ15" s="214">
        <v>0</v>
      </c>
      <c r="BK15" s="214">
        <v>0</v>
      </c>
      <c r="BL15" s="214">
        <v>0</v>
      </c>
      <c r="BM15" s="214">
        <v>0</v>
      </c>
      <c r="BN15" s="214">
        <v>0</v>
      </c>
      <c r="BO15" s="214">
        <v>0</v>
      </c>
      <c r="BP15" s="214">
        <v>0</v>
      </c>
      <c r="BQ15" s="214">
        <v>0</v>
      </c>
      <c r="BR15" s="214">
        <v>0</v>
      </c>
      <c r="BS15" s="214">
        <v>0</v>
      </c>
      <c r="BT15" s="214">
        <v>0</v>
      </c>
      <c r="BU15" s="214">
        <v>0</v>
      </c>
      <c r="BV15" s="214">
        <v>0</v>
      </c>
      <c r="BW15" s="214">
        <v>0</v>
      </c>
      <c r="BX15" s="214">
        <v>0</v>
      </c>
      <c r="BY15" s="214">
        <v>911</v>
      </c>
      <c r="BZ15" s="214">
        <v>99649620</v>
      </c>
      <c r="CA15" s="214">
        <v>2971</v>
      </c>
      <c r="CB15" s="214">
        <v>433180080</v>
      </c>
      <c r="CC15" s="214">
        <v>7</v>
      </c>
      <c r="CD15" s="214">
        <v>844788</v>
      </c>
      <c r="CE15" s="214">
        <v>10</v>
      </c>
      <c r="CF15" s="214">
        <v>979920</v>
      </c>
      <c r="CG15" s="214">
        <v>0</v>
      </c>
      <c r="CH15" s="214">
        <v>0</v>
      </c>
      <c r="CI15" s="214">
        <v>20</v>
      </c>
      <c r="CJ15" s="214">
        <v>1959840</v>
      </c>
      <c r="CK15" s="214">
        <v>918</v>
      </c>
      <c r="CL15" s="214">
        <v>100494408</v>
      </c>
      <c r="CM15" s="214">
        <v>3001</v>
      </c>
      <c r="CN15" s="214">
        <v>436119840</v>
      </c>
      <c r="CO15" s="214">
        <v>3919</v>
      </c>
      <c r="CP15" s="281">
        <v>536614200</v>
      </c>
      <c r="CQ15" s="296">
        <v>545567.5</v>
      </c>
      <c r="CR15" s="296">
        <v>524370.80000000005</v>
      </c>
      <c r="CS15" s="166">
        <f t="shared" si="6"/>
        <v>567390.19999999995</v>
      </c>
      <c r="CT15" s="166">
        <f t="shared" si="7"/>
        <v>545345.6</v>
      </c>
      <c r="CU15" s="281">
        <f t="shared" si="8"/>
        <v>521088700</v>
      </c>
      <c r="CV15" s="281">
        <f t="shared" si="9"/>
        <v>3805.6141922819033</v>
      </c>
      <c r="CW15" s="166">
        <v>545567.5</v>
      </c>
      <c r="CX15" s="166">
        <f t="shared" si="10"/>
        <v>567390.19999999995</v>
      </c>
      <c r="CY15" s="281">
        <f t="shared" si="0"/>
        <v>520130100</v>
      </c>
      <c r="CZ15" s="281">
        <f t="shared" si="11"/>
        <v>3798.6133462364578</v>
      </c>
      <c r="DA15" s="166">
        <f t="shared" si="1"/>
        <v>567390.19999999995</v>
      </c>
      <c r="DB15" s="281">
        <f t="shared" si="2"/>
        <v>506361100</v>
      </c>
      <c r="DC15" s="281">
        <f t="shared" si="12"/>
        <v>3698.0556066164477</v>
      </c>
      <c r="DD15" s="166">
        <f t="shared" si="13"/>
        <v>506361.1</v>
      </c>
      <c r="DE15" s="166">
        <f t="shared" si="14"/>
        <v>526615.5</v>
      </c>
      <c r="DF15" s="166">
        <f t="shared" si="14"/>
        <v>547680.1</v>
      </c>
      <c r="DH15" s="298">
        <v>4121</v>
      </c>
      <c r="DI15" s="300">
        <v>545567500</v>
      </c>
      <c r="DJ15" s="301">
        <f t="shared" si="3"/>
        <v>-202</v>
      </c>
      <c r="DK15" s="295">
        <v>4121</v>
      </c>
      <c r="DL15" s="301">
        <f t="shared" si="4"/>
        <v>-202</v>
      </c>
      <c r="DN15" s="162">
        <f t="shared" si="15"/>
        <v>536614200</v>
      </c>
      <c r="DO15" s="162">
        <f t="shared" ref="DO15" si="17">ROUND(DN15*1.04,-2)</f>
        <v>558078800</v>
      </c>
      <c r="DP15" s="162">
        <f t="shared" ref="DP15:DP22" si="18">ROUND(DO15*1.04,-2)</f>
        <v>580402000</v>
      </c>
      <c r="DQ15" s="162"/>
      <c r="DR15" s="162">
        <f t="shared" si="16"/>
        <v>536614.19999999995</v>
      </c>
      <c r="DS15" s="162">
        <f t="shared" si="5"/>
        <v>558078.80000000005</v>
      </c>
      <c r="DT15" s="162">
        <f t="shared" si="5"/>
        <v>580402</v>
      </c>
    </row>
    <row r="16" spans="1:124" s="282" customFormat="1" x14ac:dyDescent="0.2">
      <c r="A16" s="279">
        <v>4</v>
      </c>
      <c r="B16" s="215" t="s">
        <v>8</v>
      </c>
      <c r="C16" s="280">
        <v>968</v>
      </c>
      <c r="D16" s="280">
        <v>2818</v>
      </c>
      <c r="E16" s="214">
        <v>130</v>
      </c>
      <c r="F16" s="214">
        <v>5603520</v>
      </c>
      <c r="G16" s="214">
        <v>24</v>
      </c>
      <c r="H16" s="214">
        <v>840096</v>
      </c>
      <c r="I16" s="214">
        <v>0</v>
      </c>
      <c r="J16" s="214">
        <v>0</v>
      </c>
      <c r="K16" s="214">
        <v>0</v>
      </c>
      <c r="L16" s="214">
        <v>0</v>
      </c>
      <c r="M16" s="214">
        <v>838</v>
      </c>
      <c r="N16" s="214">
        <v>86682720</v>
      </c>
      <c r="O16" s="214">
        <v>15079</v>
      </c>
      <c r="P16" s="214">
        <v>1267883400</v>
      </c>
      <c r="Q16" s="214">
        <v>0</v>
      </c>
      <c r="R16" s="214">
        <v>0</v>
      </c>
      <c r="S16" s="214">
        <v>0</v>
      </c>
      <c r="T16" s="214">
        <v>0</v>
      </c>
      <c r="U16" s="214">
        <v>0</v>
      </c>
      <c r="V16" s="214">
        <v>0</v>
      </c>
      <c r="W16" s="214">
        <v>32</v>
      </c>
      <c r="X16" s="214">
        <v>3135744</v>
      </c>
      <c r="Y16" s="280">
        <v>0</v>
      </c>
      <c r="Z16" s="280">
        <v>3636</v>
      </c>
      <c r="AA16" s="214">
        <v>0</v>
      </c>
      <c r="AB16" s="214">
        <v>0</v>
      </c>
      <c r="AC16" s="214">
        <v>5</v>
      </c>
      <c r="AD16" s="214">
        <v>1623360</v>
      </c>
      <c r="AE16" s="214">
        <v>0</v>
      </c>
      <c r="AF16" s="214">
        <v>0</v>
      </c>
      <c r="AG16" s="214">
        <v>0</v>
      </c>
      <c r="AH16" s="214">
        <v>0</v>
      </c>
      <c r="AI16" s="214">
        <v>0</v>
      </c>
      <c r="AJ16" s="214">
        <v>0</v>
      </c>
      <c r="AK16" s="214">
        <v>3631</v>
      </c>
      <c r="AL16" s="214">
        <v>1371159876</v>
      </c>
      <c r="AM16" s="214">
        <v>0</v>
      </c>
      <c r="AN16" s="214">
        <v>0</v>
      </c>
      <c r="AO16" s="214">
        <v>0</v>
      </c>
      <c r="AP16" s="214">
        <v>0</v>
      </c>
      <c r="AQ16" s="214">
        <v>0</v>
      </c>
      <c r="AR16" s="214">
        <v>0</v>
      </c>
      <c r="AS16" s="214">
        <v>0</v>
      </c>
      <c r="AT16" s="214">
        <v>0</v>
      </c>
      <c r="AU16" s="280">
        <v>0</v>
      </c>
      <c r="AV16" s="280">
        <v>423</v>
      </c>
      <c r="AW16" s="214">
        <v>0</v>
      </c>
      <c r="AX16" s="214">
        <v>0</v>
      </c>
      <c r="AY16" s="214">
        <v>0</v>
      </c>
      <c r="AZ16" s="214">
        <v>0</v>
      </c>
      <c r="BA16" s="214">
        <v>0</v>
      </c>
      <c r="BB16" s="214">
        <v>0</v>
      </c>
      <c r="BC16" s="214">
        <v>0</v>
      </c>
      <c r="BD16" s="214">
        <v>0</v>
      </c>
      <c r="BE16" s="214">
        <v>0</v>
      </c>
      <c r="BF16" s="214">
        <v>0</v>
      </c>
      <c r="BG16" s="214">
        <v>423</v>
      </c>
      <c r="BH16" s="214">
        <v>60227196</v>
      </c>
      <c r="BI16" s="214">
        <v>0</v>
      </c>
      <c r="BJ16" s="214">
        <v>0</v>
      </c>
      <c r="BK16" s="214">
        <v>0</v>
      </c>
      <c r="BL16" s="214">
        <v>0</v>
      </c>
      <c r="BM16" s="214">
        <v>0</v>
      </c>
      <c r="BN16" s="214">
        <v>0</v>
      </c>
      <c r="BO16" s="214">
        <v>0</v>
      </c>
      <c r="BP16" s="214">
        <v>0</v>
      </c>
      <c r="BQ16" s="214">
        <v>130</v>
      </c>
      <c r="BR16" s="214">
        <v>5603520</v>
      </c>
      <c r="BS16" s="214">
        <v>29</v>
      </c>
      <c r="BT16" s="214">
        <v>2463456</v>
      </c>
      <c r="BU16" s="214">
        <v>0</v>
      </c>
      <c r="BV16" s="214">
        <v>0</v>
      </c>
      <c r="BW16" s="214">
        <v>0</v>
      </c>
      <c r="BX16" s="214">
        <v>0</v>
      </c>
      <c r="BY16" s="214">
        <v>838</v>
      </c>
      <c r="BZ16" s="214">
        <v>86682720</v>
      </c>
      <c r="CA16" s="214">
        <v>19133</v>
      </c>
      <c r="CB16" s="214">
        <v>2699270472</v>
      </c>
      <c r="CC16" s="214">
        <v>0</v>
      </c>
      <c r="CD16" s="214">
        <v>0</v>
      </c>
      <c r="CE16" s="214">
        <v>0</v>
      </c>
      <c r="CF16" s="214">
        <v>0</v>
      </c>
      <c r="CG16" s="214">
        <v>0</v>
      </c>
      <c r="CH16" s="214">
        <v>0</v>
      </c>
      <c r="CI16" s="214">
        <v>32</v>
      </c>
      <c r="CJ16" s="214">
        <v>3135744</v>
      </c>
      <c r="CK16" s="214">
        <v>968</v>
      </c>
      <c r="CL16" s="214">
        <v>92286240</v>
      </c>
      <c r="CM16" s="214">
        <v>19194</v>
      </c>
      <c r="CN16" s="214">
        <v>2704869672</v>
      </c>
      <c r="CO16" s="214">
        <v>20162</v>
      </c>
      <c r="CP16" s="281">
        <v>2797155900</v>
      </c>
      <c r="CQ16" s="296">
        <v>2222804.4</v>
      </c>
      <c r="CR16" s="296">
        <v>2469276</v>
      </c>
      <c r="CS16" s="166">
        <f t="shared" si="6"/>
        <v>2311716.6</v>
      </c>
      <c r="CT16" s="166">
        <f t="shared" si="7"/>
        <v>2568047</v>
      </c>
      <c r="CU16" s="281">
        <f t="shared" si="8"/>
        <v>2716227400</v>
      </c>
      <c r="CV16" s="281">
        <f t="shared" si="9"/>
        <v>19578.664470864849</v>
      </c>
      <c r="CW16" s="166">
        <v>2381773.9</v>
      </c>
      <c r="CX16" s="166">
        <f t="shared" si="10"/>
        <v>2477044.9</v>
      </c>
      <c r="CY16" s="281">
        <f t="shared" si="0"/>
        <v>2711230600</v>
      </c>
      <c r="CZ16" s="281">
        <f t="shared" si="11"/>
        <v>19542.64735733893</v>
      </c>
      <c r="DA16" s="166">
        <f t="shared" si="1"/>
        <v>2311716.6</v>
      </c>
      <c r="DB16" s="281">
        <f t="shared" si="2"/>
        <v>2639458500</v>
      </c>
      <c r="DC16" s="281">
        <f t="shared" si="12"/>
        <v>19025.311487643572</v>
      </c>
      <c r="DD16" s="166">
        <f t="shared" si="13"/>
        <v>2639458.5</v>
      </c>
      <c r="DE16" s="166">
        <f t="shared" si="14"/>
        <v>2745036.7999999998</v>
      </c>
      <c r="DF16" s="166">
        <f t="shared" si="14"/>
        <v>2854838.3</v>
      </c>
      <c r="DH16" s="298">
        <v>16168.867</v>
      </c>
      <c r="DI16" s="300">
        <v>2222804400</v>
      </c>
      <c r="DJ16" s="303">
        <f t="shared" si="3"/>
        <v>3993.1329999999998</v>
      </c>
      <c r="DK16" s="295">
        <v>18679</v>
      </c>
      <c r="DL16" s="301">
        <f t="shared" si="4"/>
        <v>1483</v>
      </c>
      <c r="DN16" s="162">
        <f t="shared" si="15"/>
        <v>2797155900</v>
      </c>
      <c r="DO16" s="162">
        <f t="shared" ref="DO16" si="19">ROUND(DN16*1.04,-2)</f>
        <v>2909042100</v>
      </c>
      <c r="DP16" s="162">
        <f t="shared" si="18"/>
        <v>3025403800</v>
      </c>
      <c r="DQ16" s="162"/>
      <c r="DR16" s="162">
        <f t="shared" si="16"/>
        <v>2797155.9</v>
      </c>
      <c r="DS16" s="162">
        <f t="shared" si="5"/>
        <v>2909042.1</v>
      </c>
      <c r="DT16" s="162">
        <f t="shared" si="5"/>
        <v>3025403.8</v>
      </c>
    </row>
    <row r="17" spans="1:124" s="282" customFormat="1" x14ac:dyDescent="0.2">
      <c r="A17" s="279">
        <v>5</v>
      </c>
      <c r="B17" s="215" t="s">
        <v>9</v>
      </c>
      <c r="C17" s="280">
        <v>1863</v>
      </c>
      <c r="D17" s="280">
        <v>727</v>
      </c>
      <c r="E17" s="214">
        <v>32</v>
      </c>
      <c r="F17" s="214">
        <v>1379328</v>
      </c>
      <c r="G17" s="214">
        <v>0</v>
      </c>
      <c r="H17" s="214">
        <v>0</v>
      </c>
      <c r="I17" s="214">
        <v>176</v>
      </c>
      <c r="J17" s="214">
        <v>16183728</v>
      </c>
      <c r="K17" s="214">
        <v>478</v>
      </c>
      <c r="L17" s="214">
        <v>34847388</v>
      </c>
      <c r="M17" s="214">
        <v>1629</v>
      </c>
      <c r="N17" s="214">
        <v>184515600</v>
      </c>
      <c r="O17" s="214">
        <v>4882</v>
      </c>
      <c r="P17" s="214">
        <v>426331332</v>
      </c>
      <c r="Q17" s="214">
        <v>0</v>
      </c>
      <c r="R17" s="214">
        <v>0</v>
      </c>
      <c r="S17" s="214">
        <v>0</v>
      </c>
      <c r="T17" s="214">
        <v>0</v>
      </c>
      <c r="U17" s="214">
        <v>26</v>
      </c>
      <c r="V17" s="214">
        <v>3137784</v>
      </c>
      <c r="W17" s="214">
        <v>0</v>
      </c>
      <c r="X17" s="214">
        <v>0</v>
      </c>
      <c r="Y17" s="280">
        <v>0</v>
      </c>
      <c r="Z17" s="280">
        <v>1769</v>
      </c>
      <c r="AA17" s="214">
        <v>0</v>
      </c>
      <c r="AB17" s="214">
        <v>0</v>
      </c>
      <c r="AC17" s="214">
        <v>0</v>
      </c>
      <c r="AD17" s="214">
        <v>0</v>
      </c>
      <c r="AE17" s="214">
        <v>0</v>
      </c>
      <c r="AF17" s="214">
        <v>0</v>
      </c>
      <c r="AG17" s="214">
        <v>838</v>
      </c>
      <c r="AH17" s="214">
        <v>262218096</v>
      </c>
      <c r="AI17" s="214">
        <v>0</v>
      </c>
      <c r="AJ17" s="214">
        <v>0</v>
      </c>
      <c r="AK17" s="214">
        <v>921</v>
      </c>
      <c r="AL17" s="214">
        <v>349709928</v>
      </c>
      <c r="AM17" s="214">
        <v>0</v>
      </c>
      <c r="AN17" s="214">
        <v>0</v>
      </c>
      <c r="AO17" s="214">
        <v>0</v>
      </c>
      <c r="AP17" s="214">
        <v>0</v>
      </c>
      <c r="AQ17" s="214">
        <v>0</v>
      </c>
      <c r="AR17" s="214">
        <v>0</v>
      </c>
      <c r="AS17" s="214">
        <v>10</v>
      </c>
      <c r="AT17" s="214">
        <v>4432800</v>
      </c>
      <c r="AU17" s="280">
        <v>0</v>
      </c>
      <c r="AV17" s="280">
        <v>0</v>
      </c>
      <c r="AW17" s="214">
        <v>0</v>
      </c>
      <c r="AX17" s="214">
        <v>0</v>
      </c>
      <c r="AY17" s="214">
        <v>0</v>
      </c>
      <c r="AZ17" s="214">
        <v>0</v>
      </c>
      <c r="BA17" s="214">
        <v>0</v>
      </c>
      <c r="BB17" s="214">
        <v>0</v>
      </c>
      <c r="BC17" s="214">
        <v>0</v>
      </c>
      <c r="BD17" s="214">
        <v>0</v>
      </c>
      <c r="BE17" s="214">
        <v>0</v>
      </c>
      <c r="BF17" s="214">
        <v>0</v>
      </c>
      <c r="BG17" s="214">
        <v>0</v>
      </c>
      <c r="BH17" s="214">
        <v>0</v>
      </c>
      <c r="BI17" s="214">
        <v>0</v>
      </c>
      <c r="BJ17" s="214">
        <v>0</v>
      </c>
      <c r="BK17" s="214">
        <v>0</v>
      </c>
      <c r="BL17" s="214">
        <v>0</v>
      </c>
      <c r="BM17" s="214">
        <v>0</v>
      </c>
      <c r="BN17" s="214">
        <v>0</v>
      </c>
      <c r="BO17" s="214">
        <v>0</v>
      </c>
      <c r="BP17" s="214">
        <v>0</v>
      </c>
      <c r="BQ17" s="214">
        <v>32</v>
      </c>
      <c r="BR17" s="214">
        <v>1379328</v>
      </c>
      <c r="BS17" s="214">
        <v>0</v>
      </c>
      <c r="BT17" s="214">
        <v>0</v>
      </c>
      <c r="BU17" s="214">
        <v>176</v>
      </c>
      <c r="BV17" s="214">
        <v>16183728</v>
      </c>
      <c r="BW17" s="214">
        <v>1316</v>
      </c>
      <c r="BX17" s="214">
        <v>297065484</v>
      </c>
      <c r="BY17" s="214">
        <v>1629</v>
      </c>
      <c r="BZ17" s="214">
        <v>184515600</v>
      </c>
      <c r="CA17" s="214">
        <v>5803</v>
      </c>
      <c r="CB17" s="214">
        <v>776041260</v>
      </c>
      <c r="CC17" s="214">
        <v>0</v>
      </c>
      <c r="CD17" s="214">
        <v>0</v>
      </c>
      <c r="CE17" s="214">
        <v>0</v>
      </c>
      <c r="CF17" s="214">
        <v>0</v>
      </c>
      <c r="CG17" s="214">
        <v>26</v>
      </c>
      <c r="CH17" s="214">
        <v>3137784</v>
      </c>
      <c r="CI17" s="214">
        <v>10</v>
      </c>
      <c r="CJ17" s="214">
        <v>4432800</v>
      </c>
      <c r="CK17" s="214">
        <v>1863</v>
      </c>
      <c r="CL17" s="214">
        <v>205216440</v>
      </c>
      <c r="CM17" s="214">
        <v>7129</v>
      </c>
      <c r="CN17" s="214">
        <v>1077539544</v>
      </c>
      <c r="CO17" s="214">
        <v>8992</v>
      </c>
      <c r="CP17" s="281">
        <v>1282756000</v>
      </c>
      <c r="CQ17" s="296">
        <v>1276037.3999999999</v>
      </c>
      <c r="CR17" s="296">
        <v>1259738.3</v>
      </c>
      <c r="CS17" s="166">
        <f t="shared" si="6"/>
        <v>1327078.8999999999</v>
      </c>
      <c r="CT17" s="166">
        <f t="shared" si="7"/>
        <v>1310127.8</v>
      </c>
      <c r="CU17" s="281">
        <f t="shared" si="8"/>
        <v>1245642800</v>
      </c>
      <c r="CV17" s="281">
        <f t="shared" si="9"/>
        <v>8731.8399271568396</v>
      </c>
      <c r="CW17" s="166">
        <v>1276037.3999999999</v>
      </c>
      <c r="CX17" s="166">
        <f t="shared" si="10"/>
        <v>1327078.8999999999</v>
      </c>
      <c r="CY17" s="281">
        <f t="shared" si="0"/>
        <v>1243351300</v>
      </c>
      <c r="CZ17" s="281">
        <f t="shared" si="11"/>
        <v>8715.7767257373962</v>
      </c>
      <c r="DA17" s="166">
        <f t="shared" si="1"/>
        <v>1327078.8999999999</v>
      </c>
      <c r="DB17" s="281">
        <f t="shared" si="2"/>
        <v>1210437100</v>
      </c>
      <c r="DC17" s="281">
        <f t="shared" si="12"/>
        <v>8485.0512515240625</v>
      </c>
      <c r="DD17" s="166">
        <f t="shared" si="13"/>
        <v>1210437.1000000001</v>
      </c>
      <c r="DE17" s="166">
        <f t="shared" si="14"/>
        <v>1258854.6000000001</v>
      </c>
      <c r="DF17" s="166">
        <f t="shared" si="14"/>
        <v>1309208.8</v>
      </c>
      <c r="DH17" s="298">
        <v>9213</v>
      </c>
      <c r="DI17" s="300">
        <v>1276037400</v>
      </c>
      <c r="DJ17" s="301">
        <f t="shared" si="3"/>
        <v>-221</v>
      </c>
      <c r="DK17" s="295">
        <v>9213</v>
      </c>
      <c r="DL17" s="301">
        <f t="shared" si="4"/>
        <v>-221</v>
      </c>
      <c r="DN17" s="162">
        <f t="shared" si="15"/>
        <v>1282756000</v>
      </c>
      <c r="DO17" s="162">
        <f t="shared" ref="DO17" si="20">ROUND(DN17*1.04,-2)</f>
        <v>1334066200</v>
      </c>
      <c r="DP17" s="162">
        <f t="shared" si="18"/>
        <v>1387428800</v>
      </c>
      <c r="DQ17" s="162"/>
      <c r="DR17" s="162">
        <f t="shared" si="16"/>
        <v>1282756</v>
      </c>
      <c r="DS17" s="162">
        <f t="shared" si="5"/>
        <v>1334066.2</v>
      </c>
      <c r="DT17" s="162">
        <f t="shared" si="5"/>
        <v>1387428.8</v>
      </c>
    </row>
    <row r="18" spans="1:124" s="282" customFormat="1" x14ac:dyDescent="0.2">
      <c r="A18" s="279">
        <v>6</v>
      </c>
      <c r="B18" s="215" t="s">
        <v>66</v>
      </c>
      <c r="C18" s="280">
        <v>1704</v>
      </c>
      <c r="D18" s="280">
        <v>6175</v>
      </c>
      <c r="E18" s="214">
        <v>0</v>
      </c>
      <c r="F18" s="214">
        <v>0</v>
      </c>
      <c r="G18" s="214">
        <v>0</v>
      </c>
      <c r="H18" s="214">
        <v>0</v>
      </c>
      <c r="I18" s="214">
        <v>0</v>
      </c>
      <c r="J18" s="214">
        <v>0</v>
      </c>
      <c r="K18" s="214">
        <v>685</v>
      </c>
      <c r="L18" s="214">
        <v>48377760</v>
      </c>
      <c r="M18" s="214">
        <v>1704</v>
      </c>
      <c r="N18" s="214">
        <v>179710260</v>
      </c>
      <c r="O18" s="214">
        <v>5442</v>
      </c>
      <c r="P18" s="214">
        <v>460958400</v>
      </c>
      <c r="Q18" s="214">
        <v>0</v>
      </c>
      <c r="R18" s="214">
        <v>0</v>
      </c>
      <c r="S18" s="214">
        <v>0</v>
      </c>
      <c r="T18" s="214">
        <v>0</v>
      </c>
      <c r="U18" s="214">
        <v>0</v>
      </c>
      <c r="V18" s="214">
        <v>0</v>
      </c>
      <c r="W18" s="214">
        <v>48</v>
      </c>
      <c r="X18" s="214">
        <v>4909416</v>
      </c>
      <c r="Y18" s="280">
        <v>0</v>
      </c>
      <c r="Z18" s="280">
        <v>2493</v>
      </c>
      <c r="AA18" s="214">
        <v>0</v>
      </c>
      <c r="AB18" s="214">
        <v>0</v>
      </c>
      <c r="AC18" s="214">
        <v>0</v>
      </c>
      <c r="AD18" s="214">
        <v>0</v>
      </c>
      <c r="AE18" s="214">
        <v>0</v>
      </c>
      <c r="AF18" s="214">
        <v>0</v>
      </c>
      <c r="AG18" s="214">
        <v>2493</v>
      </c>
      <c r="AH18" s="214">
        <v>801636264</v>
      </c>
      <c r="AI18" s="214">
        <v>0</v>
      </c>
      <c r="AJ18" s="214">
        <v>0</v>
      </c>
      <c r="AK18" s="214">
        <v>0</v>
      </c>
      <c r="AL18" s="214">
        <v>0</v>
      </c>
      <c r="AM18" s="214">
        <v>0</v>
      </c>
      <c r="AN18" s="214">
        <v>0</v>
      </c>
      <c r="AO18" s="214">
        <v>0</v>
      </c>
      <c r="AP18" s="214">
        <v>0</v>
      </c>
      <c r="AQ18" s="214">
        <v>0</v>
      </c>
      <c r="AR18" s="214">
        <v>0</v>
      </c>
      <c r="AS18" s="214">
        <v>0</v>
      </c>
      <c r="AT18" s="214">
        <v>0</v>
      </c>
      <c r="AU18" s="280">
        <v>0</v>
      </c>
      <c r="AV18" s="280">
        <v>0</v>
      </c>
      <c r="AW18" s="214">
        <v>0</v>
      </c>
      <c r="AX18" s="214">
        <v>0</v>
      </c>
      <c r="AY18" s="214">
        <v>0</v>
      </c>
      <c r="AZ18" s="214">
        <v>0</v>
      </c>
      <c r="BA18" s="214">
        <v>0</v>
      </c>
      <c r="BB18" s="214">
        <v>0</v>
      </c>
      <c r="BC18" s="214">
        <v>0</v>
      </c>
      <c r="BD18" s="214">
        <v>0</v>
      </c>
      <c r="BE18" s="214">
        <v>0</v>
      </c>
      <c r="BF18" s="214">
        <v>0</v>
      </c>
      <c r="BG18" s="214">
        <v>0</v>
      </c>
      <c r="BH18" s="214">
        <v>0</v>
      </c>
      <c r="BI18" s="214">
        <v>0</v>
      </c>
      <c r="BJ18" s="214">
        <v>0</v>
      </c>
      <c r="BK18" s="214">
        <v>0</v>
      </c>
      <c r="BL18" s="214">
        <v>0</v>
      </c>
      <c r="BM18" s="214">
        <v>0</v>
      </c>
      <c r="BN18" s="214">
        <v>0</v>
      </c>
      <c r="BO18" s="214">
        <v>0</v>
      </c>
      <c r="BP18" s="214">
        <v>0</v>
      </c>
      <c r="BQ18" s="214">
        <v>0</v>
      </c>
      <c r="BR18" s="214">
        <v>0</v>
      </c>
      <c r="BS18" s="214">
        <v>0</v>
      </c>
      <c r="BT18" s="214">
        <v>0</v>
      </c>
      <c r="BU18" s="214">
        <v>0</v>
      </c>
      <c r="BV18" s="214">
        <v>0</v>
      </c>
      <c r="BW18" s="214">
        <v>3178</v>
      </c>
      <c r="BX18" s="214">
        <v>850014024</v>
      </c>
      <c r="BY18" s="214">
        <v>1704</v>
      </c>
      <c r="BZ18" s="214">
        <v>179710260</v>
      </c>
      <c r="CA18" s="214">
        <v>5442</v>
      </c>
      <c r="CB18" s="214">
        <v>460958400</v>
      </c>
      <c r="CC18" s="214">
        <v>0</v>
      </c>
      <c r="CD18" s="214">
        <v>0</v>
      </c>
      <c r="CE18" s="214">
        <v>0</v>
      </c>
      <c r="CF18" s="214">
        <v>0</v>
      </c>
      <c r="CG18" s="214">
        <v>0</v>
      </c>
      <c r="CH18" s="214">
        <v>0</v>
      </c>
      <c r="CI18" s="214">
        <v>48</v>
      </c>
      <c r="CJ18" s="214">
        <v>4909416</v>
      </c>
      <c r="CK18" s="214">
        <v>1704</v>
      </c>
      <c r="CL18" s="214">
        <v>179710260</v>
      </c>
      <c r="CM18" s="214">
        <v>8668</v>
      </c>
      <c r="CN18" s="214">
        <v>1315881840</v>
      </c>
      <c r="CO18" s="214">
        <v>10372</v>
      </c>
      <c r="CP18" s="281">
        <v>1495592100</v>
      </c>
      <c r="CQ18" s="296">
        <v>1432257.3</v>
      </c>
      <c r="CR18" s="296">
        <v>1469364.6</v>
      </c>
      <c r="CS18" s="166">
        <f t="shared" si="6"/>
        <v>1489547.6</v>
      </c>
      <c r="CT18" s="166">
        <f t="shared" si="7"/>
        <v>1528139.2</v>
      </c>
      <c r="CU18" s="281">
        <f t="shared" si="8"/>
        <v>1452321000</v>
      </c>
      <c r="CV18" s="281">
        <f t="shared" si="9"/>
        <v>10071.912931340035</v>
      </c>
      <c r="CW18" s="166">
        <v>1441217.2</v>
      </c>
      <c r="CX18" s="166">
        <f t="shared" si="10"/>
        <v>1498865.9</v>
      </c>
      <c r="CY18" s="281">
        <f t="shared" si="0"/>
        <v>1449649300</v>
      </c>
      <c r="CZ18" s="281">
        <f t="shared" si="11"/>
        <v>10053.384568961015</v>
      </c>
      <c r="DA18" s="166">
        <f t="shared" si="1"/>
        <v>1489547.6</v>
      </c>
      <c r="DB18" s="281">
        <f t="shared" si="2"/>
        <v>1411274000</v>
      </c>
      <c r="DC18" s="281">
        <f t="shared" si="12"/>
        <v>9787.2500984727048</v>
      </c>
      <c r="DD18" s="166">
        <f t="shared" si="13"/>
        <v>1411274</v>
      </c>
      <c r="DE18" s="166">
        <f t="shared" si="14"/>
        <v>1467725</v>
      </c>
      <c r="DF18" s="166">
        <f t="shared" si="14"/>
        <v>1526434</v>
      </c>
      <c r="DH18" s="298">
        <v>10300</v>
      </c>
      <c r="DI18" s="300">
        <v>1432257300</v>
      </c>
      <c r="DJ18" s="301">
        <f t="shared" si="3"/>
        <v>72</v>
      </c>
      <c r="DK18" s="295">
        <v>10346</v>
      </c>
      <c r="DL18" s="301">
        <f t="shared" si="4"/>
        <v>26</v>
      </c>
      <c r="DN18" s="162">
        <f t="shared" si="15"/>
        <v>1495592100</v>
      </c>
      <c r="DO18" s="162">
        <f t="shared" ref="DO18" si="21">ROUND(DN18*1.04,-2)</f>
        <v>1555415800</v>
      </c>
      <c r="DP18" s="162">
        <f t="shared" si="18"/>
        <v>1617632400</v>
      </c>
      <c r="DQ18" s="162"/>
      <c r="DR18" s="162">
        <f t="shared" si="16"/>
        <v>1495592.1</v>
      </c>
      <c r="DS18" s="162">
        <f t="shared" si="5"/>
        <v>1555415.8</v>
      </c>
      <c r="DT18" s="162">
        <f t="shared" si="5"/>
        <v>1617632.4</v>
      </c>
    </row>
    <row r="19" spans="1:124" s="282" customFormat="1" x14ac:dyDescent="0.2">
      <c r="A19" s="279">
        <v>7</v>
      </c>
      <c r="B19" s="215" t="s">
        <v>11</v>
      </c>
      <c r="C19" s="280">
        <v>980</v>
      </c>
      <c r="D19" s="280">
        <v>2851</v>
      </c>
      <c r="E19" s="214">
        <v>0</v>
      </c>
      <c r="F19" s="214">
        <v>0</v>
      </c>
      <c r="G19" s="214">
        <v>0</v>
      </c>
      <c r="H19" s="214">
        <v>0</v>
      </c>
      <c r="I19" s="214">
        <v>0</v>
      </c>
      <c r="J19" s="214">
        <v>0</v>
      </c>
      <c r="K19" s="214">
        <v>0</v>
      </c>
      <c r="L19" s="214">
        <v>0</v>
      </c>
      <c r="M19" s="214">
        <v>980</v>
      </c>
      <c r="N19" s="214">
        <v>101371200</v>
      </c>
      <c r="O19" s="214">
        <v>2836</v>
      </c>
      <c r="P19" s="214">
        <v>238224000</v>
      </c>
      <c r="Q19" s="214">
        <v>0</v>
      </c>
      <c r="R19" s="214">
        <v>0</v>
      </c>
      <c r="S19" s="214">
        <v>0</v>
      </c>
      <c r="T19" s="214">
        <v>0</v>
      </c>
      <c r="U19" s="214">
        <v>0</v>
      </c>
      <c r="V19" s="214">
        <v>0</v>
      </c>
      <c r="W19" s="214">
        <v>15</v>
      </c>
      <c r="X19" s="214">
        <v>1469880</v>
      </c>
      <c r="Y19" s="280">
        <v>0</v>
      </c>
      <c r="Z19" s="280">
        <v>244</v>
      </c>
      <c r="AA19" s="214">
        <v>0</v>
      </c>
      <c r="AB19" s="214">
        <v>0</v>
      </c>
      <c r="AC19" s="214">
        <v>0</v>
      </c>
      <c r="AD19" s="214">
        <v>0</v>
      </c>
      <c r="AE19" s="214">
        <v>0</v>
      </c>
      <c r="AF19" s="214">
        <v>0</v>
      </c>
      <c r="AG19" s="214">
        <v>0</v>
      </c>
      <c r="AH19" s="214">
        <v>0</v>
      </c>
      <c r="AI19" s="214">
        <v>0</v>
      </c>
      <c r="AJ19" s="214">
        <v>0</v>
      </c>
      <c r="AK19" s="214">
        <v>244</v>
      </c>
      <c r="AL19" s="214">
        <v>91725168</v>
      </c>
      <c r="AM19" s="214">
        <v>0</v>
      </c>
      <c r="AN19" s="214">
        <v>0</v>
      </c>
      <c r="AO19" s="214">
        <v>0</v>
      </c>
      <c r="AP19" s="214">
        <v>0</v>
      </c>
      <c r="AQ19" s="214">
        <v>0</v>
      </c>
      <c r="AR19" s="214">
        <v>0</v>
      </c>
      <c r="AS19" s="214">
        <v>0</v>
      </c>
      <c r="AT19" s="214">
        <v>0</v>
      </c>
      <c r="AU19" s="280">
        <v>0</v>
      </c>
      <c r="AV19" s="280">
        <v>0</v>
      </c>
      <c r="AW19" s="214">
        <v>0</v>
      </c>
      <c r="AX19" s="214">
        <v>0</v>
      </c>
      <c r="AY19" s="214">
        <v>0</v>
      </c>
      <c r="AZ19" s="214">
        <v>0</v>
      </c>
      <c r="BA19" s="214">
        <v>0</v>
      </c>
      <c r="BB19" s="214">
        <v>0</v>
      </c>
      <c r="BC19" s="214">
        <v>0</v>
      </c>
      <c r="BD19" s="214">
        <v>0</v>
      </c>
      <c r="BE19" s="214">
        <v>0</v>
      </c>
      <c r="BF19" s="214">
        <v>0</v>
      </c>
      <c r="BG19" s="214">
        <v>0</v>
      </c>
      <c r="BH19" s="214">
        <v>0</v>
      </c>
      <c r="BI19" s="214">
        <v>0</v>
      </c>
      <c r="BJ19" s="214">
        <v>0</v>
      </c>
      <c r="BK19" s="214">
        <v>0</v>
      </c>
      <c r="BL19" s="214">
        <v>0</v>
      </c>
      <c r="BM19" s="214">
        <v>0</v>
      </c>
      <c r="BN19" s="214">
        <v>0</v>
      </c>
      <c r="BO19" s="214">
        <v>0</v>
      </c>
      <c r="BP19" s="214">
        <v>0</v>
      </c>
      <c r="BQ19" s="214">
        <v>0</v>
      </c>
      <c r="BR19" s="214">
        <v>0</v>
      </c>
      <c r="BS19" s="214">
        <v>0</v>
      </c>
      <c r="BT19" s="214">
        <v>0</v>
      </c>
      <c r="BU19" s="214">
        <v>0</v>
      </c>
      <c r="BV19" s="214">
        <v>0</v>
      </c>
      <c r="BW19" s="214">
        <v>0</v>
      </c>
      <c r="BX19" s="214">
        <v>0</v>
      </c>
      <c r="BY19" s="214">
        <v>980</v>
      </c>
      <c r="BZ19" s="214">
        <v>101371200</v>
      </c>
      <c r="CA19" s="214">
        <v>3080</v>
      </c>
      <c r="CB19" s="214">
        <v>329949168</v>
      </c>
      <c r="CC19" s="214">
        <v>0</v>
      </c>
      <c r="CD19" s="214">
        <v>0</v>
      </c>
      <c r="CE19" s="214">
        <v>0</v>
      </c>
      <c r="CF19" s="214">
        <v>0</v>
      </c>
      <c r="CG19" s="214">
        <v>0</v>
      </c>
      <c r="CH19" s="214">
        <v>0</v>
      </c>
      <c r="CI19" s="214">
        <v>15</v>
      </c>
      <c r="CJ19" s="214">
        <v>1469880</v>
      </c>
      <c r="CK19" s="214">
        <v>980</v>
      </c>
      <c r="CL19" s="214">
        <v>101371200</v>
      </c>
      <c r="CM19" s="214">
        <v>3095</v>
      </c>
      <c r="CN19" s="214">
        <v>331419048</v>
      </c>
      <c r="CO19" s="214">
        <v>4075</v>
      </c>
      <c r="CP19" s="281">
        <v>432790200</v>
      </c>
      <c r="CQ19" s="296">
        <v>397731.9</v>
      </c>
      <c r="CR19" s="296">
        <v>402469.2</v>
      </c>
      <c r="CS19" s="166">
        <f t="shared" si="6"/>
        <v>413641.2</v>
      </c>
      <c r="CT19" s="166">
        <f t="shared" si="7"/>
        <v>418568</v>
      </c>
      <c r="CU19" s="281">
        <f t="shared" si="8"/>
        <v>420268500</v>
      </c>
      <c r="CV19" s="281">
        <f t="shared" si="9"/>
        <v>3957.1000856766168</v>
      </c>
      <c r="CW19" s="166">
        <v>421597.7</v>
      </c>
      <c r="CX19" s="166">
        <f t="shared" si="10"/>
        <v>438461.6</v>
      </c>
      <c r="CY19" s="281">
        <f t="shared" si="0"/>
        <v>419495400</v>
      </c>
      <c r="CZ19" s="281">
        <f t="shared" si="11"/>
        <v>3949.8208485312284</v>
      </c>
      <c r="DA19" s="166">
        <f t="shared" si="1"/>
        <v>413641.2</v>
      </c>
      <c r="DB19" s="281">
        <f t="shared" si="2"/>
        <v>408390500</v>
      </c>
      <c r="DC19" s="281">
        <f t="shared" si="12"/>
        <v>3845.2610237015538</v>
      </c>
      <c r="DD19" s="166">
        <f t="shared" si="13"/>
        <v>408390.5</v>
      </c>
      <c r="DE19" s="166">
        <f t="shared" si="14"/>
        <v>424726.1</v>
      </c>
      <c r="DF19" s="166">
        <f t="shared" si="14"/>
        <v>441715.1</v>
      </c>
      <c r="DH19" s="298">
        <v>4190</v>
      </c>
      <c r="DI19" s="300">
        <v>397731900</v>
      </c>
      <c r="DJ19" s="301">
        <f t="shared" si="3"/>
        <v>-115</v>
      </c>
      <c r="DK19" s="295">
        <v>4188</v>
      </c>
      <c r="DL19" s="301">
        <f t="shared" si="4"/>
        <v>-113</v>
      </c>
      <c r="DN19" s="162">
        <f t="shared" si="15"/>
        <v>432790200</v>
      </c>
      <c r="DO19" s="162">
        <f t="shared" ref="DO19" si="22">ROUND(DN19*1.04,-2)</f>
        <v>450101800</v>
      </c>
      <c r="DP19" s="162">
        <f t="shared" si="18"/>
        <v>468105900</v>
      </c>
      <c r="DQ19" s="162"/>
      <c r="DR19" s="162">
        <f t="shared" si="16"/>
        <v>432790.2</v>
      </c>
      <c r="DS19" s="162">
        <f t="shared" si="5"/>
        <v>450101.8</v>
      </c>
      <c r="DT19" s="162">
        <f t="shared" si="5"/>
        <v>468105.9</v>
      </c>
    </row>
    <row r="20" spans="1:124" s="282" customFormat="1" x14ac:dyDescent="0.2">
      <c r="A20" s="279">
        <v>8</v>
      </c>
      <c r="B20" s="215" t="s">
        <v>12</v>
      </c>
      <c r="C20" s="280">
        <v>820</v>
      </c>
      <c r="D20" s="280">
        <v>2500</v>
      </c>
      <c r="E20" s="214">
        <v>0</v>
      </c>
      <c r="F20" s="214">
        <v>0</v>
      </c>
      <c r="G20" s="214">
        <v>0</v>
      </c>
      <c r="H20" s="214">
        <v>0</v>
      </c>
      <c r="I20" s="214">
        <v>0</v>
      </c>
      <c r="J20" s="214">
        <v>0</v>
      </c>
      <c r="K20" s="214">
        <v>0</v>
      </c>
      <c r="L20" s="214">
        <v>0</v>
      </c>
      <c r="M20" s="214">
        <v>820</v>
      </c>
      <c r="N20" s="214">
        <v>88778148</v>
      </c>
      <c r="O20" s="214">
        <v>2500</v>
      </c>
      <c r="P20" s="214">
        <v>215282940</v>
      </c>
      <c r="Q20" s="214">
        <v>0</v>
      </c>
      <c r="R20" s="214">
        <v>0</v>
      </c>
      <c r="S20" s="214">
        <v>0</v>
      </c>
      <c r="T20" s="214">
        <v>0</v>
      </c>
      <c r="U20" s="214">
        <v>0</v>
      </c>
      <c r="V20" s="214">
        <v>0</v>
      </c>
      <c r="W20" s="214">
        <v>0</v>
      </c>
      <c r="X20" s="214">
        <v>0</v>
      </c>
      <c r="Y20" s="280">
        <v>20</v>
      </c>
      <c r="Z20" s="280">
        <v>414</v>
      </c>
      <c r="AA20" s="214">
        <v>0</v>
      </c>
      <c r="AB20" s="214">
        <v>0</v>
      </c>
      <c r="AC20" s="214">
        <v>0</v>
      </c>
      <c r="AD20" s="214">
        <v>0</v>
      </c>
      <c r="AE20" s="214">
        <v>0</v>
      </c>
      <c r="AF20" s="214">
        <v>0</v>
      </c>
      <c r="AG20" s="214">
        <v>0</v>
      </c>
      <c r="AH20" s="214">
        <v>0</v>
      </c>
      <c r="AI20" s="214">
        <v>20</v>
      </c>
      <c r="AJ20" s="214">
        <v>8216640</v>
      </c>
      <c r="AK20" s="214">
        <v>414</v>
      </c>
      <c r="AL20" s="214">
        <v>149026656</v>
      </c>
      <c r="AM20" s="214">
        <v>0</v>
      </c>
      <c r="AN20" s="214">
        <v>0</v>
      </c>
      <c r="AO20" s="214">
        <v>0</v>
      </c>
      <c r="AP20" s="214">
        <v>0</v>
      </c>
      <c r="AQ20" s="214">
        <v>0</v>
      </c>
      <c r="AR20" s="214">
        <v>0</v>
      </c>
      <c r="AS20" s="214">
        <v>0</v>
      </c>
      <c r="AT20" s="214">
        <v>0</v>
      </c>
      <c r="AU20" s="280">
        <v>0</v>
      </c>
      <c r="AV20" s="280">
        <v>0</v>
      </c>
      <c r="AW20" s="214">
        <v>0</v>
      </c>
      <c r="AX20" s="214">
        <v>0</v>
      </c>
      <c r="AY20" s="214">
        <v>0</v>
      </c>
      <c r="AZ20" s="214">
        <v>0</v>
      </c>
      <c r="BA20" s="214">
        <v>0</v>
      </c>
      <c r="BB20" s="214">
        <v>0</v>
      </c>
      <c r="BC20" s="214">
        <v>0</v>
      </c>
      <c r="BD20" s="214">
        <v>0</v>
      </c>
      <c r="BE20" s="214">
        <v>0</v>
      </c>
      <c r="BF20" s="214">
        <v>0</v>
      </c>
      <c r="BG20" s="214">
        <v>0</v>
      </c>
      <c r="BH20" s="214">
        <v>0</v>
      </c>
      <c r="BI20" s="214">
        <v>0</v>
      </c>
      <c r="BJ20" s="214">
        <v>0</v>
      </c>
      <c r="BK20" s="214">
        <v>0</v>
      </c>
      <c r="BL20" s="214">
        <v>0</v>
      </c>
      <c r="BM20" s="214">
        <v>0</v>
      </c>
      <c r="BN20" s="214">
        <v>0</v>
      </c>
      <c r="BO20" s="214">
        <v>0</v>
      </c>
      <c r="BP20" s="214">
        <v>0</v>
      </c>
      <c r="BQ20" s="214">
        <v>0</v>
      </c>
      <c r="BR20" s="214">
        <v>0</v>
      </c>
      <c r="BS20" s="214">
        <v>0</v>
      </c>
      <c r="BT20" s="214">
        <v>0</v>
      </c>
      <c r="BU20" s="214">
        <v>0</v>
      </c>
      <c r="BV20" s="214">
        <v>0</v>
      </c>
      <c r="BW20" s="214">
        <v>0</v>
      </c>
      <c r="BX20" s="214">
        <v>0</v>
      </c>
      <c r="BY20" s="214">
        <v>840</v>
      </c>
      <c r="BZ20" s="214">
        <v>96994788</v>
      </c>
      <c r="CA20" s="214">
        <v>2914</v>
      </c>
      <c r="CB20" s="214">
        <v>364309596</v>
      </c>
      <c r="CC20" s="214">
        <v>0</v>
      </c>
      <c r="CD20" s="214">
        <v>0</v>
      </c>
      <c r="CE20" s="214">
        <v>0</v>
      </c>
      <c r="CF20" s="214">
        <v>0</v>
      </c>
      <c r="CG20" s="214">
        <v>0</v>
      </c>
      <c r="CH20" s="214">
        <v>0</v>
      </c>
      <c r="CI20" s="214">
        <v>0</v>
      </c>
      <c r="CJ20" s="214">
        <v>0</v>
      </c>
      <c r="CK20" s="214">
        <v>840</v>
      </c>
      <c r="CL20" s="214">
        <v>96994788</v>
      </c>
      <c r="CM20" s="214">
        <v>2914</v>
      </c>
      <c r="CN20" s="214">
        <v>364309596</v>
      </c>
      <c r="CO20" s="214">
        <v>3754</v>
      </c>
      <c r="CP20" s="281">
        <v>461304400</v>
      </c>
      <c r="CQ20" s="296">
        <v>416898.2</v>
      </c>
      <c r="CR20" s="296">
        <v>414732.3</v>
      </c>
      <c r="CS20" s="166">
        <f t="shared" si="6"/>
        <v>433574.1</v>
      </c>
      <c r="CT20" s="166">
        <f t="shared" si="7"/>
        <v>431321.59999999998</v>
      </c>
      <c r="CU20" s="281">
        <f t="shared" si="8"/>
        <v>447957700</v>
      </c>
      <c r="CV20" s="281">
        <f t="shared" si="9"/>
        <v>3645.38730998447</v>
      </c>
      <c r="CW20" s="166">
        <v>440571.6</v>
      </c>
      <c r="CX20" s="166">
        <f t="shared" si="10"/>
        <v>458194.5</v>
      </c>
      <c r="CY20" s="281">
        <f t="shared" si="0"/>
        <v>447133700</v>
      </c>
      <c r="CZ20" s="281">
        <f t="shared" si="11"/>
        <v>3638.6817680473023</v>
      </c>
      <c r="DA20" s="166">
        <f t="shared" si="1"/>
        <v>433574.1</v>
      </c>
      <c r="DB20" s="281">
        <f t="shared" si="2"/>
        <v>435297100</v>
      </c>
      <c r="DC20" s="281">
        <f t="shared" si="12"/>
        <v>3542.3579601668657</v>
      </c>
      <c r="DD20" s="166">
        <f t="shared" si="13"/>
        <v>435297.1</v>
      </c>
      <c r="DE20" s="166">
        <f t="shared" si="14"/>
        <v>452709</v>
      </c>
      <c r="DF20" s="166">
        <f t="shared" si="14"/>
        <v>470817.4</v>
      </c>
      <c r="DH20" s="298">
        <v>3897</v>
      </c>
      <c r="DI20" s="300">
        <v>416898200</v>
      </c>
      <c r="DJ20" s="301">
        <f t="shared" si="3"/>
        <v>-143</v>
      </c>
      <c r="DK20" s="295">
        <v>3816</v>
      </c>
      <c r="DL20" s="301">
        <f t="shared" si="4"/>
        <v>-62</v>
      </c>
      <c r="DN20" s="162">
        <f t="shared" si="15"/>
        <v>461304400</v>
      </c>
      <c r="DO20" s="162">
        <f t="shared" ref="DO20" si="23">ROUND(DN20*1.04,-2)</f>
        <v>479756600</v>
      </c>
      <c r="DP20" s="162">
        <f t="shared" si="18"/>
        <v>498946900</v>
      </c>
      <c r="DQ20" s="162"/>
      <c r="DR20" s="162">
        <f t="shared" si="16"/>
        <v>461304.4</v>
      </c>
      <c r="DS20" s="162">
        <f t="shared" si="5"/>
        <v>479756.6</v>
      </c>
      <c r="DT20" s="162">
        <f t="shared" si="5"/>
        <v>498946.9</v>
      </c>
    </row>
    <row r="21" spans="1:124" s="282" customFormat="1" x14ac:dyDescent="0.2">
      <c r="A21" s="279">
        <v>9</v>
      </c>
      <c r="B21" s="215" t="s">
        <v>13</v>
      </c>
      <c r="C21" s="280">
        <v>860</v>
      </c>
      <c r="D21" s="280">
        <v>2818</v>
      </c>
      <c r="E21" s="214">
        <v>0</v>
      </c>
      <c r="F21" s="214">
        <v>0</v>
      </c>
      <c r="G21" s="214">
        <v>69</v>
      </c>
      <c r="H21" s="214">
        <v>2415276</v>
      </c>
      <c r="I21" s="214">
        <v>0</v>
      </c>
      <c r="J21" s="214">
        <v>0</v>
      </c>
      <c r="K21" s="214">
        <v>0</v>
      </c>
      <c r="L21" s="214">
        <v>0</v>
      </c>
      <c r="M21" s="214">
        <v>860</v>
      </c>
      <c r="N21" s="214">
        <v>89372220</v>
      </c>
      <c r="O21" s="214">
        <v>2724</v>
      </c>
      <c r="P21" s="214">
        <v>232857216</v>
      </c>
      <c r="Q21" s="214">
        <v>0</v>
      </c>
      <c r="R21" s="214">
        <v>0</v>
      </c>
      <c r="S21" s="214">
        <v>0</v>
      </c>
      <c r="T21" s="214">
        <v>0</v>
      </c>
      <c r="U21" s="214">
        <v>0</v>
      </c>
      <c r="V21" s="214">
        <v>0</v>
      </c>
      <c r="W21" s="214">
        <v>25</v>
      </c>
      <c r="X21" s="214">
        <v>2449800</v>
      </c>
      <c r="Y21" s="280">
        <v>0</v>
      </c>
      <c r="Z21" s="280">
        <v>1455</v>
      </c>
      <c r="AA21" s="214">
        <v>0</v>
      </c>
      <c r="AB21" s="214">
        <v>0</v>
      </c>
      <c r="AC21" s="214">
        <v>0</v>
      </c>
      <c r="AD21" s="214">
        <v>0</v>
      </c>
      <c r="AE21" s="214">
        <v>0</v>
      </c>
      <c r="AF21" s="214">
        <v>0</v>
      </c>
      <c r="AG21" s="214">
        <v>0</v>
      </c>
      <c r="AH21" s="214">
        <v>0</v>
      </c>
      <c r="AI21" s="214">
        <v>0</v>
      </c>
      <c r="AJ21" s="214">
        <v>0</v>
      </c>
      <c r="AK21" s="214">
        <v>1455</v>
      </c>
      <c r="AL21" s="214">
        <v>546526188</v>
      </c>
      <c r="AM21" s="214">
        <v>0</v>
      </c>
      <c r="AN21" s="214">
        <v>0</v>
      </c>
      <c r="AO21" s="214">
        <v>0</v>
      </c>
      <c r="AP21" s="214">
        <v>0</v>
      </c>
      <c r="AQ21" s="214">
        <v>0</v>
      </c>
      <c r="AR21" s="214">
        <v>0</v>
      </c>
      <c r="AS21" s="214">
        <v>0</v>
      </c>
      <c r="AT21" s="214">
        <v>0</v>
      </c>
      <c r="AU21" s="280">
        <v>0</v>
      </c>
      <c r="AV21" s="280">
        <v>0</v>
      </c>
      <c r="AW21" s="214">
        <v>0</v>
      </c>
      <c r="AX21" s="214">
        <v>0</v>
      </c>
      <c r="AY21" s="214">
        <v>0</v>
      </c>
      <c r="AZ21" s="214">
        <v>0</v>
      </c>
      <c r="BA21" s="214">
        <v>0</v>
      </c>
      <c r="BB21" s="214">
        <v>0</v>
      </c>
      <c r="BC21" s="214">
        <v>0</v>
      </c>
      <c r="BD21" s="214">
        <v>0</v>
      </c>
      <c r="BE21" s="214">
        <v>0</v>
      </c>
      <c r="BF21" s="214">
        <v>0</v>
      </c>
      <c r="BG21" s="214">
        <v>0</v>
      </c>
      <c r="BH21" s="214">
        <v>0</v>
      </c>
      <c r="BI21" s="214">
        <v>0</v>
      </c>
      <c r="BJ21" s="214">
        <v>0</v>
      </c>
      <c r="BK21" s="214">
        <v>0</v>
      </c>
      <c r="BL21" s="214">
        <v>0</v>
      </c>
      <c r="BM21" s="214">
        <v>0</v>
      </c>
      <c r="BN21" s="214">
        <v>0</v>
      </c>
      <c r="BO21" s="214">
        <v>0</v>
      </c>
      <c r="BP21" s="214">
        <v>0</v>
      </c>
      <c r="BQ21" s="214">
        <v>0</v>
      </c>
      <c r="BR21" s="214">
        <v>0</v>
      </c>
      <c r="BS21" s="214">
        <v>69</v>
      </c>
      <c r="BT21" s="214">
        <v>2415276</v>
      </c>
      <c r="BU21" s="214">
        <v>0</v>
      </c>
      <c r="BV21" s="214">
        <v>0</v>
      </c>
      <c r="BW21" s="214">
        <v>0</v>
      </c>
      <c r="BX21" s="214">
        <v>0</v>
      </c>
      <c r="BY21" s="214">
        <v>860</v>
      </c>
      <c r="BZ21" s="214">
        <v>89372220</v>
      </c>
      <c r="CA21" s="214">
        <v>4179</v>
      </c>
      <c r="CB21" s="214">
        <v>779383404</v>
      </c>
      <c r="CC21" s="214">
        <v>0</v>
      </c>
      <c r="CD21" s="214">
        <v>0</v>
      </c>
      <c r="CE21" s="214">
        <v>0</v>
      </c>
      <c r="CF21" s="214">
        <v>0</v>
      </c>
      <c r="CG21" s="214">
        <v>0</v>
      </c>
      <c r="CH21" s="214">
        <v>0</v>
      </c>
      <c r="CI21" s="214">
        <v>25</v>
      </c>
      <c r="CJ21" s="214">
        <v>2449800</v>
      </c>
      <c r="CK21" s="214">
        <v>860</v>
      </c>
      <c r="CL21" s="214">
        <v>89372220</v>
      </c>
      <c r="CM21" s="214">
        <v>4273</v>
      </c>
      <c r="CN21" s="214">
        <v>784248480</v>
      </c>
      <c r="CO21" s="214">
        <v>5133</v>
      </c>
      <c r="CP21" s="281">
        <v>873620700</v>
      </c>
      <c r="CQ21" s="296">
        <v>811506.6</v>
      </c>
      <c r="CR21" s="296">
        <v>835805.4</v>
      </c>
      <c r="CS21" s="166">
        <f t="shared" si="6"/>
        <v>843966.9</v>
      </c>
      <c r="CT21" s="166">
        <f t="shared" si="7"/>
        <v>869237.6</v>
      </c>
      <c r="CU21" s="281">
        <f t="shared" si="8"/>
        <v>848344700</v>
      </c>
      <c r="CV21" s="281">
        <f t="shared" si="9"/>
        <v>4984.4896590705775</v>
      </c>
      <c r="CW21" s="166">
        <v>811506.6</v>
      </c>
      <c r="CX21" s="166">
        <f t="shared" si="10"/>
        <v>843966.9</v>
      </c>
      <c r="CY21" s="281">
        <f t="shared" si="0"/>
        <v>846784100</v>
      </c>
      <c r="CZ21" s="281">
        <f t="shared" si="11"/>
        <v>4975.3202794988711</v>
      </c>
      <c r="DA21" s="166">
        <f t="shared" si="1"/>
        <v>843966.9</v>
      </c>
      <c r="DB21" s="281">
        <f t="shared" si="2"/>
        <v>824367900</v>
      </c>
      <c r="DC21" s="281">
        <f t="shared" si="12"/>
        <v>4843.6128295723756</v>
      </c>
      <c r="DD21" s="166">
        <f t="shared" si="13"/>
        <v>824367.9</v>
      </c>
      <c r="DE21" s="166">
        <f t="shared" si="14"/>
        <v>857342.6</v>
      </c>
      <c r="DF21" s="166">
        <f t="shared" si="14"/>
        <v>891636.3</v>
      </c>
      <c r="DH21" s="298">
        <v>5033</v>
      </c>
      <c r="DI21" s="300">
        <v>811506600</v>
      </c>
      <c r="DJ21" s="301">
        <f t="shared" si="3"/>
        <v>100</v>
      </c>
      <c r="DK21" s="295">
        <v>5033</v>
      </c>
      <c r="DL21" s="301">
        <f t="shared" si="4"/>
        <v>100</v>
      </c>
      <c r="DN21" s="162">
        <f t="shared" si="15"/>
        <v>873620700</v>
      </c>
      <c r="DO21" s="162">
        <f t="shared" ref="DO21" si="24">ROUND(DN21*1.04,-2)</f>
        <v>908565500</v>
      </c>
      <c r="DP21" s="162">
        <f t="shared" si="18"/>
        <v>944908100</v>
      </c>
      <c r="DQ21" s="162"/>
      <c r="DR21" s="162">
        <f t="shared" si="16"/>
        <v>873620.7</v>
      </c>
      <c r="DS21" s="162">
        <f t="shared" si="5"/>
        <v>908565.5</v>
      </c>
      <c r="DT21" s="162">
        <f t="shared" si="5"/>
        <v>944908.1</v>
      </c>
    </row>
    <row r="22" spans="1:124" s="282" customFormat="1" x14ac:dyDescent="0.2">
      <c r="A22" s="279">
        <v>10</v>
      </c>
      <c r="B22" s="215" t="s">
        <v>33</v>
      </c>
      <c r="C22" s="280">
        <v>296</v>
      </c>
      <c r="D22" s="280">
        <v>727</v>
      </c>
      <c r="E22" s="214">
        <v>0</v>
      </c>
      <c r="F22" s="214">
        <v>0</v>
      </c>
      <c r="G22" s="214">
        <v>0</v>
      </c>
      <c r="H22" s="214">
        <v>0</v>
      </c>
      <c r="I22" s="214">
        <v>0</v>
      </c>
      <c r="J22" s="214">
        <v>0</v>
      </c>
      <c r="K22" s="214">
        <v>0</v>
      </c>
      <c r="L22" s="214">
        <v>0</v>
      </c>
      <c r="M22" s="214">
        <v>296</v>
      </c>
      <c r="N22" s="214">
        <v>33719244</v>
      </c>
      <c r="O22" s="214">
        <v>727</v>
      </c>
      <c r="P22" s="214">
        <v>65250492</v>
      </c>
      <c r="Q22" s="214">
        <v>0</v>
      </c>
      <c r="R22" s="214">
        <v>0</v>
      </c>
      <c r="S22" s="214">
        <v>0</v>
      </c>
      <c r="T22" s="214">
        <v>0</v>
      </c>
      <c r="U22" s="214">
        <v>0</v>
      </c>
      <c r="V22" s="214">
        <v>0</v>
      </c>
      <c r="W22" s="214">
        <v>0</v>
      </c>
      <c r="X22" s="214">
        <v>0</v>
      </c>
      <c r="Y22" s="280">
        <v>0</v>
      </c>
      <c r="Z22" s="280">
        <v>183</v>
      </c>
      <c r="AA22" s="214">
        <v>0</v>
      </c>
      <c r="AB22" s="214">
        <v>0</v>
      </c>
      <c r="AC22" s="214">
        <v>0</v>
      </c>
      <c r="AD22" s="214">
        <v>0</v>
      </c>
      <c r="AE22" s="214">
        <v>0</v>
      </c>
      <c r="AF22" s="214">
        <v>0</v>
      </c>
      <c r="AG22" s="214">
        <v>0</v>
      </c>
      <c r="AH22" s="214">
        <v>0</v>
      </c>
      <c r="AI22" s="214">
        <v>0</v>
      </c>
      <c r="AJ22" s="214">
        <v>0</v>
      </c>
      <c r="AK22" s="214">
        <v>183</v>
      </c>
      <c r="AL22" s="214">
        <v>75235164</v>
      </c>
      <c r="AM22" s="214">
        <v>0</v>
      </c>
      <c r="AN22" s="214">
        <v>0</v>
      </c>
      <c r="AO22" s="214">
        <v>0</v>
      </c>
      <c r="AP22" s="214">
        <v>0</v>
      </c>
      <c r="AQ22" s="214">
        <v>0</v>
      </c>
      <c r="AR22" s="214">
        <v>0</v>
      </c>
      <c r="AS22" s="214">
        <v>0</v>
      </c>
      <c r="AT22" s="214">
        <v>0</v>
      </c>
      <c r="AU22" s="280">
        <v>0</v>
      </c>
      <c r="AV22" s="280">
        <v>114</v>
      </c>
      <c r="AW22" s="214">
        <v>0</v>
      </c>
      <c r="AX22" s="214">
        <v>0</v>
      </c>
      <c r="AY22" s="214">
        <v>0</v>
      </c>
      <c r="AZ22" s="214">
        <v>0</v>
      </c>
      <c r="BA22" s="214">
        <v>0</v>
      </c>
      <c r="BB22" s="214">
        <v>0</v>
      </c>
      <c r="BC22" s="214">
        <v>0</v>
      </c>
      <c r="BD22" s="214">
        <v>0</v>
      </c>
      <c r="BE22" s="214">
        <v>0</v>
      </c>
      <c r="BF22" s="214">
        <v>0</v>
      </c>
      <c r="BG22" s="214">
        <v>114</v>
      </c>
      <c r="BH22" s="214">
        <v>16855128</v>
      </c>
      <c r="BI22" s="214">
        <v>0</v>
      </c>
      <c r="BJ22" s="214">
        <v>0</v>
      </c>
      <c r="BK22" s="214">
        <v>0</v>
      </c>
      <c r="BL22" s="214">
        <v>0</v>
      </c>
      <c r="BM22" s="214">
        <v>0</v>
      </c>
      <c r="BN22" s="214">
        <v>0</v>
      </c>
      <c r="BO22" s="214">
        <v>0</v>
      </c>
      <c r="BP22" s="214">
        <v>0</v>
      </c>
      <c r="BQ22" s="214">
        <v>0</v>
      </c>
      <c r="BR22" s="214">
        <v>0</v>
      </c>
      <c r="BS22" s="214">
        <v>0</v>
      </c>
      <c r="BT22" s="214">
        <v>0</v>
      </c>
      <c r="BU22" s="214">
        <v>0</v>
      </c>
      <c r="BV22" s="214">
        <v>0</v>
      </c>
      <c r="BW22" s="214">
        <v>0</v>
      </c>
      <c r="BX22" s="214">
        <v>0</v>
      </c>
      <c r="BY22" s="214">
        <v>296</v>
      </c>
      <c r="BZ22" s="214">
        <v>33719244</v>
      </c>
      <c r="CA22" s="214">
        <v>1024</v>
      </c>
      <c r="CB22" s="214">
        <v>157340784</v>
      </c>
      <c r="CC22" s="214">
        <v>0</v>
      </c>
      <c r="CD22" s="214">
        <v>0</v>
      </c>
      <c r="CE22" s="214">
        <v>0</v>
      </c>
      <c r="CF22" s="214">
        <v>0</v>
      </c>
      <c r="CG22" s="214">
        <v>0</v>
      </c>
      <c r="CH22" s="214">
        <v>0</v>
      </c>
      <c r="CI22" s="214">
        <v>0</v>
      </c>
      <c r="CJ22" s="214">
        <v>0</v>
      </c>
      <c r="CK22" s="214">
        <v>296</v>
      </c>
      <c r="CL22" s="214">
        <v>33719244</v>
      </c>
      <c r="CM22" s="214">
        <v>1024</v>
      </c>
      <c r="CN22" s="214">
        <v>157340784</v>
      </c>
      <c r="CO22" s="214">
        <v>1320</v>
      </c>
      <c r="CP22" s="281">
        <v>191060000</v>
      </c>
      <c r="CQ22" s="296">
        <v>167362.20000000001</v>
      </c>
      <c r="CR22" s="296">
        <v>187774.2</v>
      </c>
      <c r="CS22" s="166">
        <f t="shared" si="6"/>
        <v>174056.7</v>
      </c>
      <c r="CT22" s="166">
        <f t="shared" si="7"/>
        <v>195285.2</v>
      </c>
      <c r="CU22" s="281">
        <f t="shared" si="8"/>
        <v>185532200</v>
      </c>
      <c r="CV22" s="281">
        <f t="shared" si="9"/>
        <v>1281.8094001884224</v>
      </c>
      <c r="CW22" s="166">
        <v>167362.20000000001</v>
      </c>
      <c r="CX22" s="166">
        <f t="shared" si="10"/>
        <v>174056.7</v>
      </c>
      <c r="CY22" s="281">
        <f t="shared" si="0"/>
        <v>185190900</v>
      </c>
      <c r="CZ22" s="281">
        <f t="shared" si="11"/>
        <v>1279.4514184025959</v>
      </c>
      <c r="DA22" s="166">
        <f t="shared" si="1"/>
        <v>174056.7</v>
      </c>
      <c r="DB22" s="281">
        <f t="shared" si="2"/>
        <v>180288500</v>
      </c>
      <c r="DC22" s="281">
        <f t="shared" si="12"/>
        <v>1245.5815974039567</v>
      </c>
      <c r="DD22" s="166">
        <f t="shared" si="13"/>
        <v>180288.5</v>
      </c>
      <c r="DE22" s="166">
        <f t="shared" si="14"/>
        <v>187500</v>
      </c>
      <c r="DF22" s="166">
        <f t="shared" si="14"/>
        <v>195000</v>
      </c>
      <c r="DH22" s="298">
        <v>1403</v>
      </c>
      <c r="DI22" s="300">
        <v>167362200</v>
      </c>
      <c r="DJ22" s="301">
        <f t="shared" si="3"/>
        <v>-83</v>
      </c>
      <c r="DK22" s="295">
        <v>1403</v>
      </c>
      <c r="DL22" s="301">
        <f t="shared" si="4"/>
        <v>-83</v>
      </c>
      <c r="DN22" s="162">
        <f t="shared" si="15"/>
        <v>191060000</v>
      </c>
      <c r="DO22" s="162">
        <f t="shared" ref="DO22" si="25">ROUND(DN22*1.04,-2)</f>
        <v>198702400</v>
      </c>
      <c r="DP22" s="162">
        <f t="shared" si="18"/>
        <v>206650500</v>
      </c>
      <c r="DQ22" s="162"/>
      <c r="DR22" s="162">
        <f t="shared" si="16"/>
        <v>191060</v>
      </c>
      <c r="DS22" s="162">
        <f t="shared" si="5"/>
        <v>198702.4</v>
      </c>
      <c r="DT22" s="162">
        <f t="shared" si="5"/>
        <v>206650.5</v>
      </c>
    </row>
    <row r="23" spans="1:124" s="282" customFormat="1" x14ac:dyDescent="0.2">
      <c r="A23" s="279">
        <v>11</v>
      </c>
      <c r="B23" s="215" t="s">
        <v>67</v>
      </c>
      <c r="C23" s="280">
        <v>910</v>
      </c>
      <c r="D23" s="280">
        <v>3098</v>
      </c>
      <c r="E23" s="214">
        <v>75</v>
      </c>
      <c r="F23" s="214">
        <v>3232800</v>
      </c>
      <c r="G23" s="214">
        <v>25</v>
      </c>
      <c r="H23" s="214">
        <v>875100</v>
      </c>
      <c r="I23" s="214">
        <v>25</v>
      </c>
      <c r="J23" s="214">
        <v>2155200</v>
      </c>
      <c r="K23" s="214">
        <v>0</v>
      </c>
      <c r="L23" s="214">
        <v>0</v>
      </c>
      <c r="M23" s="214">
        <v>810</v>
      </c>
      <c r="N23" s="214">
        <v>86433216</v>
      </c>
      <c r="O23" s="214">
        <v>3073</v>
      </c>
      <c r="P23" s="214">
        <v>260805504</v>
      </c>
      <c r="Q23" s="214">
        <v>0</v>
      </c>
      <c r="R23" s="214">
        <v>0</v>
      </c>
      <c r="S23" s="214">
        <v>0</v>
      </c>
      <c r="T23" s="214">
        <v>0</v>
      </c>
      <c r="U23" s="214">
        <v>0</v>
      </c>
      <c r="V23" s="214">
        <v>0</v>
      </c>
      <c r="W23" s="214">
        <v>0</v>
      </c>
      <c r="X23" s="214">
        <v>0</v>
      </c>
      <c r="Y23" s="280">
        <v>0</v>
      </c>
      <c r="Z23" s="280">
        <v>263</v>
      </c>
      <c r="AA23" s="214">
        <v>0</v>
      </c>
      <c r="AB23" s="214">
        <v>0</v>
      </c>
      <c r="AC23" s="214">
        <v>0</v>
      </c>
      <c r="AD23" s="214">
        <v>0</v>
      </c>
      <c r="AE23" s="214">
        <v>0</v>
      </c>
      <c r="AF23" s="214">
        <v>0</v>
      </c>
      <c r="AG23" s="214">
        <v>39</v>
      </c>
      <c r="AH23" s="214">
        <v>12284328</v>
      </c>
      <c r="AI23" s="214">
        <v>0</v>
      </c>
      <c r="AJ23" s="214">
        <v>0</v>
      </c>
      <c r="AK23" s="214">
        <v>214</v>
      </c>
      <c r="AL23" s="214">
        <v>82702776</v>
      </c>
      <c r="AM23" s="214">
        <v>0</v>
      </c>
      <c r="AN23" s="214">
        <v>0</v>
      </c>
      <c r="AO23" s="214">
        <v>0</v>
      </c>
      <c r="AP23" s="214">
        <v>0</v>
      </c>
      <c r="AQ23" s="214">
        <v>0</v>
      </c>
      <c r="AR23" s="214">
        <v>0</v>
      </c>
      <c r="AS23" s="214">
        <v>10</v>
      </c>
      <c r="AT23" s="214">
        <v>4376520</v>
      </c>
      <c r="AU23" s="280">
        <v>0</v>
      </c>
      <c r="AV23" s="280">
        <v>0</v>
      </c>
      <c r="AW23" s="214">
        <v>0</v>
      </c>
      <c r="AX23" s="214">
        <v>0</v>
      </c>
      <c r="AY23" s="214">
        <v>0</v>
      </c>
      <c r="AZ23" s="214">
        <v>0</v>
      </c>
      <c r="BA23" s="214">
        <v>0</v>
      </c>
      <c r="BB23" s="214">
        <v>0</v>
      </c>
      <c r="BC23" s="214">
        <v>0</v>
      </c>
      <c r="BD23" s="214">
        <v>0</v>
      </c>
      <c r="BE23" s="214">
        <v>0</v>
      </c>
      <c r="BF23" s="214">
        <v>0</v>
      </c>
      <c r="BG23" s="214">
        <v>0</v>
      </c>
      <c r="BH23" s="214">
        <v>0</v>
      </c>
      <c r="BI23" s="214">
        <v>0</v>
      </c>
      <c r="BJ23" s="214">
        <v>0</v>
      </c>
      <c r="BK23" s="214">
        <v>0</v>
      </c>
      <c r="BL23" s="214">
        <v>0</v>
      </c>
      <c r="BM23" s="214">
        <v>0</v>
      </c>
      <c r="BN23" s="214">
        <v>0</v>
      </c>
      <c r="BO23" s="214">
        <v>0</v>
      </c>
      <c r="BP23" s="214">
        <v>0</v>
      </c>
      <c r="BQ23" s="214">
        <v>75</v>
      </c>
      <c r="BR23" s="214">
        <v>3232800</v>
      </c>
      <c r="BS23" s="214">
        <v>25</v>
      </c>
      <c r="BT23" s="214">
        <v>875100</v>
      </c>
      <c r="BU23" s="214">
        <v>25</v>
      </c>
      <c r="BV23" s="214">
        <v>2155200</v>
      </c>
      <c r="BW23" s="214">
        <v>39</v>
      </c>
      <c r="BX23" s="214">
        <v>12284328</v>
      </c>
      <c r="BY23" s="214">
        <v>810</v>
      </c>
      <c r="BZ23" s="214">
        <v>86433216</v>
      </c>
      <c r="CA23" s="214">
        <v>3287</v>
      </c>
      <c r="CB23" s="214">
        <v>343508280</v>
      </c>
      <c r="CC23" s="214">
        <v>0</v>
      </c>
      <c r="CD23" s="214">
        <v>0</v>
      </c>
      <c r="CE23" s="214">
        <v>0</v>
      </c>
      <c r="CF23" s="214">
        <v>0</v>
      </c>
      <c r="CG23" s="214">
        <v>0</v>
      </c>
      <c r="CH23" s="214">
        <v>0</v>
      </c>
      <c r="CI23" s="214">
        <v>10</v>
      </c>
      <c r="CJ23" s="214">
        <v>4376520</v>
      </c>
      <c r="CK23" s="214">
        <v>910</v>
      </c>
      <c r="CL23" s="214">
        <v>91821216</v>
      </c>
      <c r="CM23" s="214">
        <v>3361</v>
      </c>
      <c r="CN23" s="214">
        <v>361044228</v>
      </c>
      <c r="CO23" s="214">
        <v>4271</v>
      </c>
      <c r="CP23" s="281">
        <v>452865400</v>
      </c>
      <c r="CQ23" s="296">
        <v>383790.1</v>
      </c>
      <c r="CR23" s="296">
        <v>399240.1</v>
      </c>
      <c r="CS23" s="166">
        <f t="shared" si="6"/>
        <v>399141.7</v>
      </c>
      <c r="CT23" s="166">
        <f t="shared" si="7"/>
        <v>415209.7</v>
      </c>
      <c r="CU23" s="281">
        <f t="shared" si="8"/>
        <v>439762900</v>
      </c>
      <c r="CV23" s="281">
        <f t="shared" si="9"/>
        <v>4147.4295583190942</v>
      </c>
      <c r="CW23" s="166">
        <v>402862.6</v>
      </c>
      <c r="CX23" s="166">
        <f t="shared" si="10"/>
        <v>418977.1</v>
      </c>
      <c r="CY23" s="281">
        <f t="shared" si="0"/>
        <v>438953900</v>
      </c>
      <c r="CZ23" s="281">
        <f t="shared" si="11"/>
        <v>4139.7998321355526</v>
      </c>
      <c r="DA23" s="166">
        <f t="shared" si="1"/>
        <v>399141.7</v>
      </c>
      <c r="DB23" s="281">
        <f t="shared" si="2"/>
        <v>427333900</v>
      </c>
      <c r="DC23" s="281">
        <f t="shared" si="12"/>
        <v>4030.2109344189248</v>
      </c>
      <c r="DD23" s="166">
        <f t="shared" si="13"/>
        <v>427333.9</v>
      </c>
      <c r="DE23" s="166">
        <f t="shared" si="14"/>
        <v>444427.3</v>
      </c>
      <c r="DF23" s="166">
        <f t="shared" si="14"/>
        <v>462204.4</v>
      </c>
      <c r="DH23" s="298">
        <v>3758</v>
      </c>
      <c r="DI23" s="300">
        <v>383790100</v>
      </c>
      <c r="DJ23" s="301">
        <f t="shared" si="3"/>
        <v>513</v>
      </c>
      <c r="DK23" s="295">
        <v>3998</v>
      </c>
      <c r="DL23" s="301">
        <f t="shared" si="4"/>
        <v>273</v>
      </c>
      <c r="DN23" s="162">
        <f t="shared" si="15"/>
        <v>452865400</v>
      </c>
      <c r="DO23" s="162">
        <f t="shared" ref="DO23:DP28" si="26">ROUND(DN23*1.04,-2)</f>
        <v>470980000</v>
      </c>
      <c r="DP23" s="162">
        <f t="shared" si="26"/>
        <v>489819200</v>
      </c>
      <c r="DQ23" s="162"/>
      <c r="DR23" s="162">
        <f t="shared" si="16"/>
        <v>452865.4</v>
      </c>
      <c r="DS23" s="162">
        <f t="shared" si="5"/>
        <v>470980</v>
      </c>
      <c r="DT23" s="162">
        <f t="shared" si="5"/>
        <v>489819.2</v>
      </c>
    </row>
    <row r="24" spans="1:124" s="282" customFormat="1" x14ac:dyDescent="0.2">
      <c r="A24" s="279">
        <v>12</v>
      </c>
      <c r="B24" s="215" t="s">
        <v>16</v>
      </c>
      <c r="C24" s="280">
        <v>441</v>
      </c>
      <c r="D24" s="280">
        <v>1980</v>
      </c>
      <c r="E24" s="214">
        <v>0</v>
      </c>
      <c r="F24" s="214">
        <v>0</v>
      </c>
      <c r="G24" s="214">
        <v>0</v>
      </c>
      <c r="H24" s="214">
        <v>0</v>
      </c>
      <c r="I24" s="214">
        <v>0</v>
      </c>
      <c r="J24" s="214">
        <v>0</v>
      </c>
      <c r="K24" s="214">
        <v>0</v>
      </c>
      <c r="L24" s="214">
        <v>0</v>
      </c>
      <c r="M24" s="214">
        <v>441</v>
      </c>
      <c r="N24" s="214">
        <v>52201536</v>
      </c>
      <c r="O24" s="214">
        <v>1980</v>
      </c>
      <c r="P24" s="214">
        <v>187498116</v>
      </c>
      <c r="Q24" s="214">
        <v>0</v>
      </c>
      <c r="R24" s="214">
        <v>0</v>
      </c>
      <c r="S24" s="214">
        <v>0</v>
      </c>
      <c r="T24" s="214">
        <v>0</v>
      </c>
      <c r="U24" s="214">
        <v>0</v>
      </c>
      <c r="V24" s="214">
        <v>0</v>
      </c>
      <c r="W24" s="214">
        <v>0</v>
      </c>
      <c r="X24" s="214">
        <v>0</v>
      </c>
      <c r="Y24" s="280">
        <v>0</v>
      </c>
      <c r="Z24" s="280">
        <v>258</v>
      </c>
      <c r="AA24" s="214">
        <v>0</v>
      </c>
      <c r="AB24" s="214">
        <v>0</v>
      </c>
      <c r="AC24" s="214">
        <v>0</v>
      </c>
      <c r="AD24" s="214">
        <v>0</v>
      </c>
      <c r="AE24" s="214">
        <v>0</v>
      </c>
      <c r="AF24" s="214">
        <v>0</v>
      </c>
      <c r="AG24" s="214">
        <v>0</v>
      </c>
      <c r="AH24" s="214">
        <v>0</v>
      </c>
      <c r="AI24" s="214">
        <v>0</v>
      </c>
      <c r="AJ24" s="214">
        <v>0</v>
      </c>
      <c r="AK24" s="214">
        <v>243</v>
      </c>
      <c r="AL24" s="214">
        <v>94164180</v>
      </c>
      <c r="AM24" s="214">
        <v>0</v>
      </c>
      <c r="AN24" s="214">
        <v>0</v>
      </c>
      <c r="AO24" s="214">
        <v>0</v>
      </c>
      <c r="AP24" s="214">
        <v>0</v>
      </c>
      <c r="AQ24" s="214">
        <v>0</v>
      </c>
      <c r="AR24" s="214">
        <v>0</v>
      </c>
      <c r="AS24" s="214">
        <v>15</v>
      </c>
      <c r="AT24" s="214">
        <v>4736700</v>
      </c>
      <c r="AU24" s="280">
        <v>0</v>
      </c>
      <c r="AV24" s="280">
        <v>0</v>
      </c>
      <c r="AW24" s="214">
        <v>0</v>
      </c>
      <c r="AX24" s="214">
        <v>0</v>
      </c>
      <c r="AY24" s="214">
        <v>0</v>
      </c>
      <c r="AZ24" s="214">
        <v>0</v>
      </c>
      <c r="BA24" s="214">
        <v>0</v>
      </c>
      <c r="BB24" s="214">
        <v>0</v>
      </c>
      <c r="BC24" s="214">
        <v>0</v>
      </c>
      <c r="BD24" s="214">
        <v>0</v>
      </c>
      <c r="BE24" s="214">
        <v>0</v>
      </c>
      <c r="BF24" s="214">
        <v>0</v>
      </c>
      <c r="BG24" s="214">
        <v>0</v>
      </c>
      <c r="BH24" s="214">
        <v>0</v>
      </c>
      <c r="BI24" s="214">
        <v>0</v>
      </c>
      <c r="BJ24" s="214">
        <v>0</v>
      </c>
      <c r="BK24" s="214">
        <v>0</v>
      </c>
      <c r="BL24" s="214">
        <v>0</v>
      </c>
      <c r="BM24" s="214">
        <v>0</v>
      </c>
      <c r="BN24" s="214">
        <v>0</v>
      </c>
      <c r="BO24" s="214">
        <v>0</v>
      </c>
      <c r="BP24" s="214">
        <v>0</v>
      </c>
      <c r="BQ24" s="214">
        <v>0</v>
      </c>
      <c r="BR24" s="214">
        <v>0</v>
      </c>
      <c r="BS24" s="214">
        <v>0</v>
      </c>
      <c r="BT24" s="214">
        <v>0</v>
      </c>
      <c r="BU24" s="214">
        <v>0</v>
      </c>
      <c r="BV24" s="214">
        <v>0</v>
      </c>
      <c r="BW24" s="214">
        <v>0</v>
      </c>
      <c r="BX24" s="214">
        <v>0</v>
      </c>
      <c r="BY24" s="214">
        <v>441</v>
      </c>
      <c r="BZ24" s="214">
        <v>52201536</v>
      </c>
      <c r="CA24" s="214">
        <v>2223</v>
      </c>
      <c r="CB24" s="214">
        <v>281662296</v>
      </c>
      <c r="CC24" s="214">
        <v>0</v>
      </c>
      <c r="CD24" s="214">
        <v>0</v>
      </c>
      <c r="CE24" s="214">
        <v>0</v>
      </c>
      <c r="CF24" s="214">
        <v>0</v>
      </c>
      <c r="CG24" s="214">
        <v>0</v>
      </c>
      <c r="CH24" s="214">
        <v>0</v>
      </c>
      <c r="CI24" s="214">
        <v>15</v>
      </c>
      <c r="CJ24" s="214">
        <v>4736700</v>
      </c>
      <c r="CK24" s="214">
        <v>441</v>
      </c>
      <c r="CL24" s="214">
        <v>52201536</v>
      </c>
      <c r="CM24" s="214">
        <v>2238</v>
      </c>
      <c r="CN24" s="214">
        <v>286398996</v>
      </c>
      <c r="CO24" s="214">
        <v>2679</v>
      </c>
      <c r="CP24" s="281">
        <v>338600500</v>
      </c>
      <c r="CQ24" s="296">
        <v>286634.59999999998</v>
      </c>
      <c r="CR24" s="296">
        <v>289956.40000000002</v>
      </c>
      <c r="CS24" s="166">
        <f t="shared" si="6"/>
        <v>298100</v>
      </c>
      <c r="CT24" s="166">
        <f t="shared" si="7"/>
        <v>301554.7</v>
      </c>
      <c r="CU24" s="281">
        <f t="shared" si="8"/>
        <v>328804000</v>
      </c>
      <c r="CV24" s="281">
        <f t="shared" si="9"/>
        <v>2601.4902990397241</v>
      </c>
      <c r="CW24" s="166">
        <v>286634.59999999998</v>
      </c>
      <c r="CX24" s="166">
        <f t="shared" si="10"/>
        <v>298100</v>
      </c>
      <c r="CY24" s="281">
        <f t="shared" si="0"/>
        <v>328199100</v>
      </c>
      <c r="CZ24" s="281">
        <f t="shared" si="11"/>
        <v>2596.7043430237109</v>
      </c>
      <c r="DA24" s="166">
        <f t="shared" si="1"/>
        <v>298100</v>
      </c>
      <c r="DB24" s="281">
        <f t="shared" si="2"/>
        <v>319511000</v>
      </c>
      <c r="DC24" s="281">
        <f t="shared" si="12"/>
        <v>2527.9642794384536</v>
      </c>
      <c r="DD24" s="166">
        <f t="shared" si="13"/>
        <v>319511</v>
      </c>
      <c r="DE24" s="166">
        <f t="shared" si="14"/>
        <v>332291.40000000002</v>
      </c>
      <c r="DF24" s="166">
        <f t="shared" si="14"/>
        <v>345583.1</v>
      </c>
      <c r="DH24" s="298">
        <v>2826</v>
      </c>
      <c r="DI24" s="300">
        <v>286634600</v>
      </c>
      <c r="DJ24" s="301">
        <f t="shared" si="3"/>
        <v>-147</v>
      </c>
      <c r="DK24" s="295">
        <v>2826</v>
      </c>
      <c r="DL24" s="301">
        <f t="shared" si="4"/>
        <v>-147</v>
      </c>
      <c r="DN24" s="162">
        <f t="shared" si="15"/>
        <v>338600500</v>
      </c>
      <c r="DO24" s="162">
        <f t="shared" si="26"/>
        <v>352144500</v>
      </c>
      <c r="DP24" s="162">
        <f t="shared" si="26"/>
        <v>366230300</v>
      </c>
      <c r="DQ24" s="162"/>
      <c r="DR24" s="162">
        <f t="shared" si="16"/>
        <v>338600.5</v>
      </c>
      <c r="DS24" s="162">
        <f t="shared" si="5"/>
        <v>352144.5</v>
      </c>
      <c r="DT24" s="162">
        <f t="shared" si="5"/>
        <v>366230.3</v>
      </c>
    </row>
    <row r="25" spans="1:124" s="282" customFormat="1" x14ac:dyDescent="0.2">
      <c r="A25" s="279">
        <v>13</v>
      </c>
      <c r="B25" s="215" t="s">
        <v>17</v>
      </c>
      <c r="C25" s="280">
        <v>415</v>
      </c>
      <c r="D25" s="280">
        <v>895</v>
      </c>
      <c r="E25" s="214">
        <v>0</v>
      </c>
      <c r="F25" s="214">
        <v>0</v>
      </c>
      <c r="G25" s="214">
        <v>0</v>
      </c>
      <c r="H25" s="214">
        <v>0</v>
      </c>
      <c r="I25" s="214">
        <v>295</v>
      </c>
      <c r="J25" s="214">
        <v>26797752</v>
      </c>
      <c r="K25" s="214">
        <v>687</v>
      </c>
      <c r="L25" s="214">
        <v>50606484</v>
      </c>
      <c r="M25" s="214">
        <v>120</v>
      </c>
      <c r="N25" s="214">
        <v>12412800</v>
      </c>
      <c r="O25" s="214">
        <v>208</v>
      </c>
      <c r="P25" s="214">
        <v>17472000</v>
      </c>
      <c r="Q25" s="214">
        <v>0</v>
      </c>
      <c r="R25" s="214">
        <v>0</v>
      </c>
      <c r="S25" s="214">
        <v>0</v>
      </c>
      <c r="T25" s="214">
        <v>0</v>
      </c>
      <c r="U25" s="214">
        <v>0</v>
      </c>
      <c r="V25" s="214">
        <v>0</v>
      </c>
      <c r="W25" s="214">
        <v>0</v>
      </c>
      <c r="X25" s="214">
        <v>0</v>
      </c>
      <c r="Y25" s="280">
        <v>0</v>
      </c>
      <c r="Z25" s="280">
        <v>144</v>
      </c>
      <c r="AA25" s="214">
        <v>0</v>
      </c>
      <c r="AB25" s="214">
        <v>0</v>
      </c>
      <c r="AC25" s="214">
        <v>0</v>
      </c>
      <c r="AD25" s="214">
        <v>0</v>
      </c>
      <c r="AE25" s="214">
        <v>0</v>
      </c>
      <c r="AF25" s="214">
        <v>0</v>
      </c>
      <c r="AG25" s="214">
        <v>144</v>
      </c>
      <c r="AH25" s="214">
        <v>47573772</v>
      </c>
      <c r="AI25" s="214">
        <v>0</v>
      </c>
      <c r="AJ25" s="214">
        <v>0</v>
      </c>
      <c r="AK25" s="214">
        <v>0</v>
      </c>
      <c r="AL25" s="214">
        <v>0</v>
      </c>
      <c r="AM25" s="214">
        <v>0</v>
      </c>
      <c r="AN25" s="214">
        <v>0</v>
      </c>
      <c r="AO25" s="214">
        <v>0</v>
      </c>
      <c r="AP25" s="214">
        <v>0</v>
      </c>
      <c r="AQ25" s="214">
        <v>0</v>
      </c>
      <c r="AR25" s="214">
        <v>0</v>
      </c>
      <c r="AS25" s="214">
        <v>0</v>
      </c>
      <c r="AT25" s="214">
        <v>0</v>
      </c>
      <c r="AU25" s="280">
        <v>0</v>
      </c>
      <c r="AV25" s="280">
        <v>25</v>
      </c>
      <c r="AW25" s="214">
        <v>0</v>
      </c>
      <c r="AX25" s="214">
        <v>0</v>
      </c>
      <c r="AY25" s="214">
        <v>0</v>
      </c>
      <c r="AZ25" s="214">
        <v>0</v>
      </c>
      <c r="BA25" s="214">
        <v>0</v>
      </c>
      <c r="BB25" s="214">
        <v>0</v>
      </c>
      <c r="BC25" s="214">
        <v>25</v>
      </c>
      <c r="BD25" s="214">
        <v>3080400</v>
      </c>
      <c r="BE25" s="214">
        <v>0</v>
      </c>
      <c r="BF25" s="214">
        <v>0</v>
      </c>
      <c r="BG25" s="214">
        <v>0</v>
      </c>
      <c r="BH25" s="214">
        <v>0</v>
      </c>
      <c r="BI25" s="214">
        <v>0</v>
      </c>
      <c r="BJ25" s="214">
        <v>0</v>
      </c>
      <c r="BK25" s="214">
        <v>0</v>
      </c>
      <c r="BL25" s="214">
        <v>0</v>
      </c>
      <c r="BM25" s="214">
        <v>0</v>
      </c>
      <c r="BN25" s="214">
        <v>0</v>
      </c>
      <c r="BO25" s="214">
        <v>0</v>
      </c>
      <c r="BP25" s="214">
        <v>0</v>
      </c>
      <c r="BQ25" s="214">
        <v>0</v>
      </c>
      <c r="BR25" s="214">
        <v>0</v>
      </c>
      <c r="BS25" s="214">
        <v>0</v>
      </c>
      <c r="BT25" s="214">
        <v>0</v>
      </c>
      <c r="BU25" s="214">
        <v>295</v>
      </c>
      <c r="BV25" s="214">
        <v>26797752</v>
      </c>
      <c r="BW25" s="214">
        <v>856</v>
      </c>
      <c r="BX25" s="214">
        <v>101260656</v>
      </c>
      <c r="BY25" s="214">
        <v>120</v>
      </c>
      <c r="BZ25" s="214">
        <v>12412800</v>
      </c>
      <c r="CA25" s="214">
        <v>208</v>
      </c>
      <c r="CB25" s="214">
        <v>17472000</v>
      </c>
      <c r="CC25" s="214">
        <v>0</v>
      </c>
      <c r="CD25" s="214">
        <v>0</v>
      </c>
      <c r="CE25" s="214">
        <v>0</v>
      </c>
      <c r="CF25" s="214">
        <v>0</v>
      </c>
      <c r="CG25" s="214">
        <v>0</v>
      </c>
      <c r="CH25" s="214">
        <v>0</v>
      </c>
      <c r="CI25" s="214">
        <v>0</v>
      </c>
      <c r="CJ25" s="214">
        <v>0</v>
      </c>
      <c r="CK25" s="214">
        <v>415</v>
      </c>
      <c r="CL25" s="214">
        <v>39210552</v>
      </c>
      <c r="CM25" s="214">
        <v>1064</v>
      </c>
      <c r="CN25" s="214">
        <v>118732656</v>
      </c>
      <c r="CO25" s="214">
        <v>1479</v>
      </c>
      <c r="CP25" s="281">
        <v>157943200</v>
      </c>
      <c r="CQ25" s="296">
        <v>174553.2</v>
      </c>
      <c r="CR25" s="296">
        <v>165784.6</v>
      </c>
      <c r="CS25" s="166">
        <f t="shared" si="6"/>
        <v>181535.3</v>
      </c>
      <c r="CT25" s="166">
        <f t="shared" si="7"/>
        <v>172416</v>
      </c>
      <c r="CU25" s="281">
        <f t="shared" si="8"/>
        <v>153373500</v>
      </c>
      <c r="CV25" s="281">
        <f t="shared" si="9"/>
        <v>1436.2087541597232</v>
      </c>
      <c r="CW25" s="166">
        <v>174553.2</v>
      </c>
      <c r="CX25" s="166">
        <f t="shared" si="10"/>
        <v>181535.3</v>
      </c>
      <c r="CY25" s="281">
        <f t="shared" si="0"/>
        <v>153091400</v>
      </c>
      <c r="CZ25" s="281">
        <f t="shared" si="11"/>
        <v>1433.5671342609241</v>
      </c>
      <c r="DA25" s="166">
        <f t="shared" si="1"/>
        <v>181535.3</v>
      </c>
      <c r="DB25" s="281">
        <f t="shared" si="2"/>
        <v>149038700</v>
      </c>
      <c r="DC25" s="281">
        <f t="shared" si="12"/>
        <v>1395.6171414787088</v>
      </c>
      <c r="DD25" s="166">
        <f t="shared" si="13"/>
        <v>149038.70000000001</v>
      </c>
      <c r="DE25" s="166">
        <f t="shared" si="14"/>
        <v>155000.20000000001</v>
      </c>
      <c r="DF25" s="166">
        <f t="shared" si="14"/>
        <v>161200.20000000001</v>
      </c>
      <c r="DH25" s="298">
        <v>1560</v>
      </c>
      <c r="DI25" s="300">
        <v>174553200</v>
      </c>
      <c r="DJ25" s="301">
        <f t="shared" si="3"/>
        <v>-81</v>
      </c>
      <c r="DK25" s="295">
        <v>1560</v>
      </c>
      <c r="DL25" s="301">
        <f t="shared" si="4"/>
        <v>-81</v>
      </c>
      <c r="DN25" s="162">
        <f t="shared" si="15"/>
        <v>157943200</v>
      </c>
      <c r="DO25" s="162">
        <f t="shared" si="26"/>
        <v>164260900</v>
      </c>
      <c r="DP25" s="162">
        <f t="shared" si="26"/>
        <v>170831300</v>
      </c>
      <c r="DQ25" s="162"/>
      <c r="DR25" s="162">
        <f t="shared" si="16"/>
        <v>157943.20000000001</v>
      </c>
      <c r="DS25" s="162">
        <f t="shared" si="5"/>
        <v>164260.9</v>
      </c>
      <c r="DT25" s="162">
        <f t="shared" si="5"/>
        <v>170831.3</v>
      </c>
    </row>
    <row r="26" spans="1:124" s="282" customFormat="1" x14ac:dyDescent="0.2">
      <c r="A26" s="279">
        <v>14</v>
      </c>
      <c r="B26" s="215" t="s">
        <v>18</v>
      </c>
      <c r="C26" s="280">
        <v>459</v>
      </c>
      <c r="D26" s="280">
        <v>1895</v>
      </c>
      <c r="E26" s="214">
        <v>0</v>
      </c>
      <c r="F26" s="214">
        <v>0</v>
      </c>
      <c r="G26" s="214">
        <v>0</v>
      </c>
      <c r="H26" s="214">
        <v>0</v>
      </c>
      <c r="I26" s="214">
        <v>330</v>
      </c>
      <c r="J26" s="214">
        <v>31481676</v>
      </c>
      <c r="K26" s="214">
        <v>836</v>
      </c>
      <c r="L26" s="214">
        <v>63709404</v>
      </c>
      <c r="M26" s="214">
        <v>129</v>
      </c>
      <c r="N26" s="214">
        <v>14308320</v>
      </c>
      <c r="O26" s="214">
        <v>1059</v>
      </c>
      <c r="P26" s="214">
        <v>96918048</v>
      </c>
      <c r="Q26" s="214">
        <v>0</v>
      </c>
      <c r="R26" s="214">
        <v>0</v>
      </c>
      <c r="S26" s="214">
        <v>0</v>
      </c>
      <c r="T26" s="214">
        <v>0</v>
      </c>
      <c r="U26" s="214">
        <v>0</v>
      </c>
      <c r="V26" s="214">
        <v>0</v>
      </c>
      <c r="W26" s="214">
        <v>0</v>
      </c>
      <c r="X26" s="214">
        <v>0</v>
      </c>
      <c r="Y26" s="280">
        <v>0</v>
      </c>
      <c r="Z26" s="280">
        <v>335</v>
      </c>
      <c r="AA26" s="214">
        <v>0</v>
      </c>
      <c r="AB26" s="214">
        <v>0</v>
      </c>
      <c r="AC26" s="214">
        <v>0</v>
      </c>
      <c r="AD26" s="214">
        <v>0</v>
      </c>
      <c r="AE26" s="214">
        <v>0</v>
      </c>
      <c r="AF26" s="214">
        <v>0</v>
      </c>
      <c r="AG26" s="214">
        <v>335</v>
      </c>
      <c r="AH26" s="214">
        <v>106694100</v>
      </c>
      <c r="AI26" s="214">
        <v>0</v>
      </c>
      <c r="AJ26" s="214">
        <v>0</v>
      </c>
      <c r="AK26" s="214">
        <v>0</v>
      </c>
      <c r="AL26" s="214">
        <v>0</v>
      </c>
      <c r="AM26" s="214">
        <v>0</v>
      </c>
      <c r="AN26" s="214">
        <v>0</v>
      </c>
      <c r="AO26" s="214">
        <v>0</v>
      </c>
      <c r="AP26" s="214">
        <v>0</v>
      </c>
      <c r="AQ26" s="214">
        <v>0</v>
      </c>
      <c r="AR26" s="214">
        <v>0</v>
      </c>
      <c r="AS26" s="214">
        <v>0</v>
      </c>
      <c r="AT26" s="214">
        <v>0</v>
      </c>
      <c r="AU26" s="280">
        <v>0</v>
      </c>
      <c r="AV26" s="280">
        <v>0</v>
      </c>
      <c r="AW26" s="214">
        <v>0</v>
      </c>
      <c r="AX26" s="214">
        <v>0</v>
      </c>
      <c r="AY26" s="214">
        <v>0</v>
      </c>
      <c r="AZ26" s="214">
        <v>0</v>
      </c>
      <c r="BA26" s="214">
        <v>0</v>
      </c>
      <c r="BB26" s="214">
        <v>0</v>
      </c>
      <c r="BC26" s="214">
        <v>0</v>
      </c>
      <c r="BD26" s="214">
        <v>0</v>
      </c>
      <c r="BE26" s="214">
        <v>0</v>
      </c>
      <c r="BF26" s="214">
        <v>0</v>
      </c>
      <c r="BG26" s="214">
        <v>0</v>
      </c>
      <c r="BH26" s="214">
        <v>0</v>
      </c>
      <c r="BI26" s="214">
        <v>0</v>
      </c>
      <c r="BJ26" s="214">
        <v>0</v>
      </c>
      <c r="BK26" s="214">
        <v>0</v>
      </c>
      <c r="BL26" s="214">
        <v>0</v>
      </c>
      <c r="BM26" s="214">
        <v>0</v>
      </c>
      <c r="BN26" s="214">
        <v>0</v>
      </c>
      <c r="BO26" s="214">
        <v>0</v>
      </c>
      <c r="BP26" s="214">
        <v>0</v>
      </c>
      <c r="BQ26" s="214">
        <v>0</v>
      </c>
      <c r="BR26" s="214">
        <v>0</v>
      </c>
      <c r="BS26" s="214">
        <v>0</v>
      </c>
      <c r="BT26" s="214">
        <v>0</v>
      </c>
      <c r="BU26" s="214">
        <v>330</v>
      </c>
      <c r="BV26" s="214">
        <v>31481676</v>
      </c>
      <c r="BW26" s="214">
        <v>1171</v>
      </c>
      <c r="BX26" s="214">
        <v>170403504</v>
      </c>
      <c r="BY26" s="214">
        <v>129</v>
      </c>
      <c r="BZ26" s="214">
        <v>14308320</v>
      </c>
      <c r="CA26" s="214">
        <v>1059</v>
      </c>
      <c r="CB26" s="214">
        <v>96918048</v>
      </c>
      <c r="CC26" s="214">
        <v>0</v>
      </c>
      <c r="CD26" s="214">
        <v>0</v>
      </c>
      <c r="CE26" s="214">
        <v>0</v>
      </c>
      <c r="CF26" s="214">
        <v>0</v>
      </c>
      <c r="CG26" s="214">
        <v>0</v>
      </c>
      <c r="CH26" s="214">
        <v>0</v>
      </c>
      <c r="CI26" s="214">
        <v>0</v>
      </c>
      <c r="CJ26" s="214">
        <v>0</v>
      </c>
      <c r="CK26" s="214">
        <v>459</v>
      </c>
      <c r="CL26" s="214">
        <v>45789996</v>
      </c>
      <c r="CM26" s="214">
        <v>2230</v>
      </c>
      <c r="CN26" s="214">
        <v>267321552</v>
      </c>
      <c r="CO26" s="214">
        <v>2689</v>
      </c>
      <c r="CP26" s="281">
        <v>313111500</v>
      </c>
      <c r="CQ26" s="296">
        <v>327258.40000000002</v>
      </c>
      <c r="CR26" s="296">
        <v>314942.8</v>
      </c>
      <c r="CS26" s="166">
        <f t="shared" si="6"/>
        <v>340348.7</v>
      </c>
      <c r="CT26" s="166">
        <f t="shared" si="7"/>
        <v>327540.5</v>
      </c>
      <c r="CU26" s="281">
        <f t="shared" si="8"/>
        <v>304052400</v>
      </c>
      <c r="CV26" s="281">
        <f t="shared" si="9"/>
        <v>2611.2004943925726</v>
      </c>
      <c r="CW26" s="166">
        <v>327258.40000000002</v>
      </c>
      <c r="CX26" s="166">
        <f t="shared" si="10"/>
        <v>340348.7</v>
      </c>
      <c r="CY26" s="281">
        <f t="shared" si="0"/>
        <v>303493100</v>
      </c>
      <c r="CZ26" s="281">
        <f t="shared" si="11"/>
        <v>2606.3972287827182</v>
      </c>
      <c r="DA26" s="166">
        <f t="shared" si="1"/>
        <v>340348.7</v>
      </c>
      <c r="DB26" s="281">
        <f t="shared" si="2"/>
        <v>295459000</v>
      </c>
      <c r="DC26" s="281">
        <f t="shared" si="12"/>
        <v>2537.4004180619363</v>
      </c>
      <c r="DD26" s="166">
        <f t="shared" si="13"/>
        <v>295459</v>
      </c>
      <c r="DE26" s="166">
        <f t="shared" si="14"/>
        <v>307277.40000000002</v>
      </c>
      <c r="DF26" s="166">
        <f t="shared" si="14"/>
        <v>319568.5</v>
      </c>
      <c r="DH26" s="298">
        <v>2718</v>
      </c>
      <c r="DI26" s="300">
        <v>327258400</v>
      </c>
      <c r="DJ26" s="301">
        <f t="shared" si="3"/>
        <v>-29</v>
      </c>
      <c r="DK26" s="295">
        <v>2718</v>
      </c>
      <c r="DL26" s="301">
        <f t="shared" si="4"/>
        <v>-29</v>
      </c>
      <c r="DN26" s="162">
        <f t="shared" si="15"/>
        <v>313111500</v>
      </c>
      <c r="DO26" s="162">
        <f t="shared" si="26"/>
        <v>325636000</v>
      </c>
      <c r="DP26" s="162">
        <f t="shared" si="26"/>
        <v>338661400</v>
      </c>
      <c r="DQ26" s="162"/>
      <c r="DR26" s="162">
        <f t="shared" si="16"/>
        <v>313111.5</v>
      </c>
      <c r="DS26" s="162">
        <f t="shared" si="5"/>
        <v>325636</v>
      </c>
      <c r="DT26" s="162">
        <f t="shared" si="5"/>
        <v>338661.4</v>
      </c>
    </row>
    <row r="27" spans="1:124" s="282" customFormat="1" x14ac:dyDescent="0.2">
      <c r="A27" s="279">
        <v>15</v>
      </c>
      <c r="B27" s="215" t="s">
        <v>19</v>
      </c>
      <c r="C27" s="280">
        <v>383</v>
      </c>
      <c r="D27" s="280">
        <v>1252</v>
      </c>
      <c r="E27" s="214">
        <v>0</v>
      </c>
      <c r="F27" s="214">
        <v>0</v>
      </c>
      <c r="G27" s="214">
        <v>0</v>
      </c>
      <c r="H27" s="214">
        <v>0</v>
      </c>
      <c r="I27" s="214">
        <v>0</v>
      </c>
      <c r="J27" s="214">
        <v>0</v>
      </c>
      <c r="K27" s="214">
        <v>0</v>
      </c>
      <c r="L27" s="214">
        <v>0</v>
      </c>
      <c r="M27" s="214">
        <v>383</v>
      </c>
      <c r="N27" s="214">
        <v>43269060</v>
      </c>
      <c r="O27" s="214">
        <v>1234</v>
      </c>
      <c r="P27" s="214">
        <v>114080292</v>
      </c>
      <c r="Q27" s="214">
        <v>0</v>
      </c>
      <c r="R27" s="214">
        <v>0</v>
      </c>
      <c r="S27" s="214">
        <v>0</v>
      </c>
      <c r="T27" s="214">
        <v>0</v>
      </c>
      <c r="U27" s="214">
        <v>0</v>
      </c>
      <c r="V27" s="214">
        <v>0</v>
      </c>
      <c r="W27" s="214">
        <v>18</v>
      </c>
      <c r="X27" s="214">
        <v>1763856</v>
      </c>
      <c r="Y27" s="280">
        <v>0</v>
      </c>
      <c r="Z27" s="280">
        <v>108</v>
      </c>
      <c r="AA27" s="214">
        <v>0</v>
      </c>
      <c r="AB27" s="214">
        <v>0</v>
      </c>
      <c r="AC27" s="214">
        <v>0</v>
      </c>
      <c r="AD27" s="214">
        <v>0</v>
      </c>
      <c r="AE27" s="214">
        <v>0</v>
      </c>
      <c r="AF27" s="214">
        <v>0</v>
      </c>
      <c r="AG27" s="214">
        <v>0</v>
      </c>
      <c r="AH27" s="214">
        <v>0</v>
      </c>
      <c r="AI27" s="214">
        <v>0</v>
      </c>
      <c r="AJ27" s="214">
        <v>0</v>
      </c>
      <c r="AK27" s="214">
        <v>108</v>
      </c>
      <c r="AL27" s="214">
        <v>42645648</v>
      </c>
      <c r="AM27" s="214">
        <v>0</v>
      </c>
      <c r="AN27" s="214">
        <v>0</v>
      </c>
      <c r="AO27" s="214">
        <v>0</v>
      </c>
      <c r="AP27" s="214">
        <v>0</v>
      </c>
      <c r="AQ27" s="214">
        <v>0</v>
      </c>
      <c r="AR27" s="214">
        <v>0</v>
      </c>
      <c r="AS27" s="214">
        <v>0</v>
      </c>
      <c r="AT27" s="214">
        <v>0</v>
      </c>
      <c r="AU27" s="280">
        <v>0</v>
      </c>
      <c r="AV27" s="280">
        <v>0</v>
      </c>
      <c r="AW27" s="214">
        <v>0</v>
      </c>
      <c r="AX27" s="214">
        <v>0</v>
      </c>
      <c r="AY27" s="214">
        <v>0</v>
      </c>
      <c r="AZ27" s="214">
        <v>0</v>
      </c>
      <c r="BA27" s="214">
        <v>0</v>
      </c>
      <c r="BB27" s="214">
        <v>0</v>
      </c>
      <c r="BC27" s="214">
        <v>0</v>
      </c>
      <c r="BD27" s="214">
        <v>0</v>
      </c>
      <c r="BE27" s="214">
        <v>0</v>
      </c>
      <c r="BF27" s="214">
        <v>0</v>
      </c>
      <c r="BG27" s="214">
        <v>0</v>
      </c>
      <c r="BH27" s="214">
        <v>0</v>
      </c>
      <c r="BI27" s="214">
        <v>0</v>
      </c>
      <c r="BJ27" s="214">
        <v>0</v>
      </c>
      <c r="BK27" s="214">
        <v>0</v>
      </c>
      <c r="BL27" s="214">
        <v>0</v>
      </c>
      <c r="BM27" s="214">
        <v>0</v>
      </c>
      <c r="BN27" s="214">
        <v>0</v>
      </c>
      <c r="BO27" s="214">
        <v>0</v>
      </c>
      <c r="BP27" s="214">
        <v>0</v>
      </c>
      <c r="BQ27" s="214">
        <v>0</v>
      </c>
      <c r="BR27" s="214">
        <v>0</v>
      </c>
      <c r="BS27" s="214">
        <v>0</v>
      </c>
      <c r="BT27" s="214">
        <v>0</v>
      </c>
      <c r="BU27" s="214">
        <v>0</v>
      </c>
      <c r="BV27" s="214">
        <v>0</v>
      </c>
      <c r="BW27" s="214">
        <v>0</v>
      </c>
      <c r="BX27" s="214">
        <v>0</v>
      </c>
      <c r="BY27" s="214">
        <v>383</v>
      </c>
      <c r="BZ27" s="214">
        <v>43269060</v>
      </c>
      <c r="CA27" s="214">
        <v>1342</v>
      </c>
      <c r="CB27" s="214">
        <v>156725940</v>
      </c>
      <c r="CC27" s="214">
        <v>0</v>
      </c>
      <c r="CD27" s="214">
        <v>0</v>
      </c>
      <c r="CE27" s="214">
        <v>0</v>
      </c>
      <c r="CF27" s="214">
        <v>0</v>
      </c>
      <c r="CG27" s="214">
        <v>0</v>
      </c>
      <c r="CH27" s="214">
        <v>0</v>
      </c>
      <c r="CI27" s="214">
        <v>18</v>
      </c>
      <c r="CJ27" s="214">
        <v>1763856</v>
      </c>
      <c r="CK27" s="214">
        <v>383</v>
      </c>
      <c r="CL27" s="214">
        <v>43269060</v>
      </c>
      <c r="CM27" s="214">
        <v>1360</v>
      </c>
      <c r="CN27" s="214">
        <v>158489796</v>
      </c>
      <c r="CO27" s="214">
        <v>1743</v>
      </c>
      <c r="CP27" s="281">
        <v>201758900</v>
      </c>
      <c r="CQ27" s="296">
        <v>175963.5</v>
      </c>
      <c r="CR27" s="296">
        <v>168849.1</v>
      </c>
      <c r="CS27" s="166">
        <f t="shared" si="6"/>
        <v>183002</v>
      </c>
      <c r="CT27" s="166">
        <f t="shared" si="7"/>
        <v>175603.1</v>
      </c>
      <c r="CU27" s="281">
        <f t="shared" si="8"/>
        <v>195921500</v>
      </c>
      <c r="CV27" s="281">
        <f t="shared" si="9"/>
        <v>1692.5705607038897</v>
      </c>
      <c r="CW27" s="166">
        <v>187498</v>
      </c>
      <c r="CX27" s="166">
        <f t="shared" si="10"/>
        <v>194997.9</v>
      </c>
      <c r="CY27" s="281">
        <f t="shared" si="0"/>
        <v>195561100</v>
      </c>
      <c r="CZ27" s="281">
        <f t="shared" si="11"/>
        <v>1689.4570564173378</v>
      </c>
      <c r="DA27" s="166">
        <f t="shared" si="1"/>
        <v>183002</v>
      </c>
      <c r="DB27" s="281">
        <f t="shared" si="2"/>
        <v>190384200</v>
      </c>
      <c r="DC27" s="281">
        <f t="shared" si="12"/>
        <v>1644.7336925409486</v>
      </c>
      <c r="DD27" s="166">
        <f t="shared" si="13"/>
        <v>190384.2</v>
      </c>
      <c r="DE27" s="166">
        <f t="shared" si="14"/>
        <v>197999.6</v>
      </c>
      <c r="DF27" s="166">
        <f t="shared" si="14"/>
        <v>205919.6</v>
      </c>
      <c r="DH27" s="298">
        <v>1821</v>
      </c>
      <c r="DI27" s="300">
        <v>175963500</v>
      </c>
      <c r="DJ27" s="301">
        <f t="shared" si="3"/>
        <v>-78</v>
      </c>
      <c r="DK27" s="295">
        <v>1783</v>
      </c>
      <c r="DL27" s="301">
        <f t="shared" si="4"/>
        <v>-40</v>
      </c>
      <c r="DN27" s="162">
        <f t="shared" si="15"/>
        <v>201758900</v>
      </c>
      <c r="DO27" s="162">
        <f t="shared" si="26"/>
        <v>209829300</v>
      </c>
      <c r="DP27" s="162">
        <f t="shared" si="26"/>
        <v>218222500</v>
      </c>
      <c r="DQ27" s="162"/>
      <c r="DR27" s="162">
        <f t="shared" si="16"/>
        <v>201758.9</v>
      </c>
      <c r="DS27" s="162">
        <f t="shared" si="5"/>
        <v>209829.3</v>
      </c>
      <c r="DT27" s="162">
        <f t="shared" si="5"/>
        <v>218222.5</v>
      </c>
    </row>
    <row r="28" spans="1:124" s="282" customFormat="1" x14ac:dyDescent="0.2">
      <c r="A28" s="279">
        <v>16</v>
      </c>
      <c r="B28" s="215" t="s">
        <v>20</v>
      </c>
      <c r="C28" s="280">
        <v>1016</v>
      </c>
      <c r="D28" s="280">
        <v>2726</v>
      </c>
      <c r="E28" s="214">
        <v>0</v>
      </c>
      <c r="F28" s="214">
        <v>0</v>
      </c>
      <c r="G28" s="214">
        <v>0</v>
      </c>
      <c r="H28" s="214">
        <v>0</v>
      </c>
      <c r="I28" s="214">
        <v>0</v>
      </c>
      <c r="J28" s="214">
        <v>0</v>
      </c>
      <c r="K28" s="214">
        <v>0</v>
      </c>
      <c r="L28" s="214">
        <v>0</v>
      </c>
      <c r="M28" s="214">
        <v>1016</v>
      </c>
      <c r="N28" s="214">
        <v>112341888</v>
      </c>
      <c r="O28" s="214">
        <v>2726</v>
      </c>
      <c r="P28" s="214">
        <v>243898212</v>
      </c>
      <c r="Q28" s="214">
        <v>0</v>
      </c>
      <c r="R28" s="214">
        <v>0</v>
      </c>
      <c r="S28" s="214">
        <v>0</v>
      </c>
      <c r="T28" s="214">
        <v>0</v>
      </c>
      <c r="U28" s="214">
        <v>0</v>
      </c>
      <c r="V28" s="214">
        <v>0</v>
      </c>
      <c r="W28" s="214">
        <v>0</v>
      </c>
      <c r="X28" s="214">
        <v>0</v>
      </c>
      <c r="Y28" s="280">
        <v>0</v>
      </c>
      <c r="Z28" s="280">
        <v>216</v>
      </c>
      <c r="AA28" s="214">
        <v>0</v>
      </c>
      <c r="AB28" s="214">
        <v>0</v>
      </c>
      <c r="AC28" s="214">
        <v>0</v>
      </c>
      <c r="AD28" s="214">
        <v>0</v>
      </c>
      <c r="AE28" s="214">
        <v>0</v>
      </c>
      <c r="AF28" s="214">
        <v>0</v>
      </c>
      <c r="AG28" s="214">
        <v>0</v>
      </c>
      <c r="AH28" s="214">
        <v>0</v>
      </c>
      <c r="AI28" s="214">
        <v>0</v>
      </c>
      <c r="AJ28" s="214">
        <v>0</v>
      </c>
      <c r="AK28" s="214">
        <v>216</v>
      </c>
      <c r="AL28" s="214">
        <v>78339960</v>
      </c>
      <c r="AM28" s="214">
        <v>0</v>
      </c>
      <c r="AN28" s="214">
        <v>0</v>
      </c>
      <c r="AO28" s="214">
        <v>0</v>
      </c>
      <c r="AP28" s="214">
        <v>0</v>
      </c>
      <c r="AQ28" s="214">
        <v>0</v>
      </c>
      <c r="AR28" s="214">
        <v>0</v>
      </c>
      <c r="AS28" s="214">
        <v>0</v>
      </c>
      <c r="AT28" s="214">
        <v>0</v>
      </c>
      <c r="AU28" s="280">
        <v>0</v>
      </c>
      <c r="AV28" s="280">
        <v>0</v>
      </c>
      <c r="AW28" s="214">
        <v>0</v>
      </c>
      <c r="AX28" s="214">
        <v>0</v>
      </c>
      <c r="AY28" s="214">
        <v>0</v>
      </c>
      <c r="AZ28" s="214">
        <v>0</v>
      </c>
      <c r="BA28" s="214">
        <v>0</v>
      </c>
      <c r="BB28" s="214">
        <v>0</v>
      </c>
      <c r="BC28" s="214">
        <v>0</v>
      </c>
      <c r="BD28" s="214">
        <v>0</v>
      </c>
      <c r="BE28" s="214">
        <v>0</v>
      </c>
      <c r="BF28" s="214">
        <v>0</v>
      </c>
      <c r="BG28" s="214">
        <v>0</v>
      </c>
      <c r="BH28" s="214">
        <v>0</v>
      </c>
      <c r="BI28" s="214">
        <v>0</v>
      </c>
      <c r="BJ28" s="214">
        <v>0</v>
      </c>
      <c r="BK28" s="214">
        <v>0</v>
      </c>
      <c r="BL28" s="214">
        <v>0</v>
      </c>
      <c r="BM28" s="214">
        <v>0</v>
      </c>
      <c r="BN28" s="214">
        <v>0</v>
      </c>
      <c r="BO28" s="214">
        <v>0</v>
      </c>
      <c r="BP28" s="214">
        <v>0</v>
      </c>
      <c r="BQ28" s="214">
        <v>0</v>
      </c>
      <c r="BR28" s="214">
        <v>0</v>
      </c>
      <c r="BS28" s="214">
        <v>0</v>
      </c>
      <c r="BT28" s="214">
        <v>0</v>
      </c>
      <c r="BU28" s="214">
        <v>0</v>
      </c>
      <c r="BV28" s="214">
        <v>0</v>
      </c>
      <c r="BW28" s="214">
        <v>0</v>
      </c>
      <c r="BX28" s="214">
        <v>0</v>
      </c>
      <c r="BY28" s="214">
        <v>1016</v>
      </c>
      <c r="BZ28" s="214">
        <v>112341888</v>
      </c>
      <c r="CA28" s="214">
        <v>2942</v>
      </c>
      <c r="CB28" s="214">
        <v>322238172</v>
      </c>
      <c r="CC28" s="214">
        <v>0</v>
      </c>
      <c r="CD28" s="214">
        <v>0</v>
      </c>
      <c r="CE28" s="214">
        <v>0</v>
      </c>
      <c r="CF28" s="214">
        <v>0</v>
      </c>
      <c r="CG28" s="214">
        <v>0</v>
      </c>
      <c r="CH28" s="214">
        <v>0</v>
      </c>
      <c r="CI28" s="214">
        <v>0</v>
      </c>
      <c r="CJ28" s="214">
        <v>0</v>
      </c>
      <c r="CK28" s="214">
        <v>1016</v>
      </c>
      <c r="CL28" s="214">
        <v>112341888</v>
      </c>
      <c r="CM28" s="214">
        <v>2942</v>
      </c>
      <c r="CN28" s="214">
        <v>322238172</v>
      </c>
      <c r="CO28" s="214">
        <v>3958</v>
      </c>
      <c r="CP28" s="281">
        <v>434580100</v>
      </c>
      <c r="CQ28" s="296">
        <v>380287.5</v>
      </c>
      <c r="CR28" s="296">
        <v>375564.6</v>
      </c>
      <c r="CS28" s="166">
        <f t="shared" si="6"/>
        <v>395499</v>
      </c>
      <c r="CT28" s="166">
        <f t="shared" si="7"/>
        <v>390587.2</v>
      </c>
      <c r="CU28" s="281">
        <f t="shared" si="8"/>
        <v>422006600</v>
      </c>
      <c r="CV28" s="281">
        <f t="shared" si="9"/>
        <v>3843.4850624775499</v>
      </c>
      <c r="CW28" s="166">
        <v>406977</v>
      </c>
      <c r="CX28" s="166">
        <f t="shared" si="10"/>
        <v>423256.1</v>
      </c>
      <c r="CY28" s="281">
        <f t="shared" si="0"/>
        <v>421230300</v>
      </c>
      <c r="CZ28" s="281">
        <f t="shared" si="11"/>
        <v>3836.4147999413685</v>
      </c>
      <c r="DA28" s="166">
        <f t="shared" si="1"/>
        <v>395499</v>
      </c>
      <c r="DB28" s="281">
        <f t="shared" si="2"/>
        <v>410079400</v>
      </c>
      <c r="DC28" s="281">
        <f t="shared" si="12"/>
        <v>3734.8563940226441</v>
      </c>
      <c r="DD28" s="166">
        <f t="shared" si="13"/>
        <v>410079.4</v>
      </c>
      <c r="DE28" s="166">
        <f t="shared" si="14"/>
        <v>426482.6</v>
      </c>
      <c r="DF28" s="166">
        <f t="shared" si="14"/>
        <v>443541.9</v>
      </c>
      <c r="DH28" s="298">
        <v>3983</v>
      </c>
      <c r="DI28" s="300">
        <v>380287500</v>
      </c>
      <c r="DJ28" s="301">
        <f t="shared" si="3"/>
        <v>-25</v>
      </c>
      <c r="DK28" s="295">
        <v>4006</v>
      </c>
      <c r="DL28" s="301">
        <f t="shared" si="4"/>
        <v>-48</v>
      </c>
      <c r="DN28" s="162">
        <f t="shared" si="15"/>
        <v>434580100</v>
      </c>
      <c r="DO28" s="162">
        <f t="shared" si="26"/>
        <v>451963300</v>
      </c>
      <c r="DP28" s="162">
        <f t="shared" si="26"/>
        <v>470041800</v>
      </c>
      <c r="DQ28" s="162"/>
      <c r="DR28" s="162">
        <f t="shared" si="16"/>
        <v>434580.1</v>
      </c>
      <c r="DS28" s="162">
        <f t="shared" si="5"/>
        <v>451963.3</v>
      </c>
      <c r="DT28" s="162">
        <f t="shared" si="5"/>
        <v>470041.8</v>
      </c>
    </row>
    <row r="29" spans="1:124" s="282" customFormat="1" x14ac:dyDescent="0.2">
      <c r="A29" s="279">
        <v>17</v>
      </c>
      <c r="B29" s="215" t="s">
        <v>21</v>
      </c>
      <c r="C29" s="280">
        <v>766</v>
      </c>
      <c r="D29" s="280">
        <v>4388</v>
      </c>
      <c r="E29" s="214">
        <v>0</v>
      </c>
      <c r="F29" s="214">
        <v>0</v>
      </c>
      <c r="G29" s="214">
        <v>0</v>
      </c>
      <c r="H29" s="214">
        <v>0</v>
      </c>
      <c r="I29" s="214">
        <v>118</v>
      </c>
      <c r="J29" s="214">
        <v>10574424</v>
      </c>
      <c r="K29" s="214">
        <v>617</v>
      </c>
      <c r="L29" s="214">
        <v>45224232</v>
      </c>
      <c r="M29" s="214">
        <v>648</v>
      </c>
      <c r="N29" s="214">
        <v>69262524</v>
      </c>
      <c r="O29" s="214">
        <v>3732</v>
      </c>
      <c r="P29" s="214">
        <v>319466244</v>
      </c>
      <c r="Q29" s="214">
        <v>0</v>
      </c>
      <c r="R29" s="214">
        <v>0</v>
      </c>
      <c r="S29" s="214">
        <v>0</v>
      </c>
      <c r="T29" s="214">
        <v>0</v>
      </c>
      <c r="U29" s="214">
        <v>0</v>
      </c>
      <c r="V29" s="214">
        <v>0</v>
      </c>
      <c r="W29" s="214">
        <v>39</v>
      </c>
      <c r="X29" s="214">
        <v>3821688</v>
      </c>
      <c r="Y29" s="280">
        <v>0</v>
      </c>
      <c r="Z29" s="280">
        <v>279</v>
      </c>
      <c r="AA29" s="214">
        <v>0</v>
      </c>
      <c r="AB29" s="214">
        <v>0</v>
      </c>
      <c r="AC29" s="214">
        <v>0</v>
      </c>
      <c r="AD29" s="214">
        <v>0</v>
      </c>
      <c r="AE29" s="214">
        <v>0</v>
      </c>
      <c r="AF29" s="214">
        <v>0</v>
      </c>
      <c r="AG29" s="214">
        <v>82</v>
      </c>
      <c r="AH29" s="214">
        <v>27775176</v>
      </c>
      <c r="AI29" s="214">
        <v>0</v>
      </c>
      <c r="AJ29" s="214">
        <v>0</v>
      </c>
      <c r="AK29" s="214">
        <v>197</v>
      </c>
      <c r="AL29" s="214">
        <v>73997484</v>
      </c>
      <c r="AM29" s="214">
        <v>0</v>
      </c>
      <c r="AN29" s="214">
        <v>0</v>
      </c>
      <c r="AO29" s="214">
        <v>0</v>
      </c>
      <c r="AP29" s="214">
        <v>0</v>
      </c>
      <c r="AQ29" s="214">
        <v>0</v>
      </c>
      <c r="AR29" s="214">
        <v>0</v>
      </c>
      <c r="AS29" s="214">
        <v>0</v>
      </c>
      <c r="AT29" s="214">
        <v>0</v>
      </c>
      <c r="AU29" s="280">
        <v>0</v>
      </c>
      <c r="AV29" s="280">
        <v>78</v>
      </c>
      <c r="AW29" s="214">
        <v>0</v>
      </c>
      <c r="AX29" s="214">
        <v>0</v>
      </c>
      <c r="AY29" s="214">
        <v>0</v>
      </c>
      <c r="AZ29" s="214">
        <v>0</v>
      </c>
      <c r="BA29" s="214">
        <v>0</v>
      </c>
      <c r="BB29" s="214">
        <v>0</v>
      </c>
      <c r="BC29" s="214">
        <v>11</v>
      </c>
      <c r="BD29" s="214">
        <v>1355376</v>
      </c>
      <c r="BE29" s="214">
        <v>0</v>
      </c>
      <c r="BF29" s="214">
        <v>0</v>
      </c>
      <c r="BG29" s="214">
        <v>67</v>
      </c>
      <c r="BH29" s="214">
        <v>9906084</v>
      </c>
      <c r="BI29" s="214">
        <v>0</v>
      </c>
      <c r="BJ29" s="214">
        <v>0</v>
      </c>
      <c r="BK29" s="214">
        <v>0</v>
      </c>
      <c r="BL29" s="214">
        <v>0</v>
      </c>
      <c r="BM29" s="214">
        <v>0</v>
      </c>
      <c r="BN29" s="214">
        <v>0</v>
      </c>
      <c r="BO29" s="214">
        <v>0</v>
      </c>
      <c r="BP29" s="214">
        <v>0</v>
      </c>
      <c r="BQ29" s="214">
        <v>0</v>
      </c>
      <c r="BR29" s="214">
        <v>0</v>
      </c>
      <c r="BS29" s="214">
        <v>0</v>
      </c>
      <c r="BT29" s="214">
        <v>0</v>
      </c>
      <c r="BU29" s="214">
        <v>118</v>
      </c>
      <c r="BV29" s="214">
        <v>10574424</v>
      </c>
      <c r="BW29" s="214">
        <v>710</v>
      </c>
      <c r="BX29" s="214">
        <v>74354784</v>
      </c>
      <c r="BY29" s="214">
        <v>648</v>
      </c>
      <c r="BZ29" s="214">
        <v>69262524</v>
      </c>
      <c r="CA29" s="214">
        <v>3996</v>
      </c>
      <c r="CB29" s="214">
        <v>403369812</v>
      </c>
      <c r="CC29" s="214">
        <v>0</v>
      </c>
      <c r="CD29" s="214">
        <v>0</v>
      </c>
      <c r="CE29" s="214">
        <v>0</v>
      </c>
      <c r="CF29" s="214">
        <v>0</v>
      </c>
      <c r="CG29" s="214">
        <v>0</v>
      </c>
      <c r="CH29" s="214">
        <v>0</v>
      </c>
      <c r="CI29" s="214">
        <v>39</v>
      </c>
      <c r="CJ29" s="214">
        <v>3821688</v>
      </c>
      <c r="CK29" s="214">
        <v>766</v>
      </c>
      <c r="CL29" s="214">
        <v>79836948</v>
      </c>
      <c r="CM29" s="214">
        <v>4745</v>
      </c>
      <c r="CN29" s="214">
        <v>481546284</v>
      </c>
      <c r="CO29" s="214">
        <v>5511</v>
      </c>
      <c r="CP29" s="281">
        <v>561383200</v>
      </c>
      <c r="CQ29" s="296">
        <v>492326.1</v>
      </c>
      <c r="CR29" s="296">
        <v>504044.1</v>
      </c>
      <c r="CS29" s="166">
        <f t="shared" si="6"/>
        <v>512019.1</v>
      </c>
      <c r="CT29" s="166">
        <f t="shared" si="7"/>
        <v>524205.9</v>
      </c>
      <c r="CU29" s="281">
        <f t="shared" si="8"/>
        <v>545141000</v>
      </c>
      <c r="CV29" s="281">
        <f t="shared" si="9"/>
        <v>5351.5531832801553</v>
      </c>
      <c r="CW29" s="166">
        <v>497468.3</v>
      </c>
      <c r="CX29" s="166">
        <f t="shared" si="10"/>
        <v>517367</v>
      </c>
      <c r="CY29" s="281">
        <f t="shared" si="0"/>
        <v>544138200</v>
      </c>
      <c r="CZ29" s="281">
        <f t="shared" si="11"/>
        <v>5341.7088722997059</v>
      </c>
      <c r="DA29" s="166">
        <f t="shared" si="1"/>
        <v>512019.1</v>
      </c>
      <c r="DB29" s="281">
        <f t="shared" si="2"/>
        <v>529733700</v>
      </c>
      <c r="DC29" s="281">
        <f t="shared" si="12"/>
        <v>5200.302432812382</v>
      </c>
      <c r="DD29" s="166">
        <f t="shared" si="13"/>
        <v>529733.69999999995</v>
      </c>
      <c r="DE29" s="166">
        <f t="shared" si="14"/>
        <v>550923</v>
      </c>
      <c r="DF29" s="166">
        <f t="shared" si="14"/>
        <v>572959.9</v>
      </c>
      <c r="DH29" s="298">
        <v>5304</v>
      </c>
      <c r="DI29" s="300">
        <v>492326100</v>
      </c>
      <c r="DJ29" s="301">
        <f t="shared" si="3"/>
        <v>207</v>
      </c>
      <c r="DK29" s="295">
        <v>5530</v>
      </c>
      <c r="DL29" s="301">
        <f t="shared" si="4"/>
        <v>-19</v>
      </c>
      <c r="DN29" s="162">
        <f t="shared" si="15"/>
        <v>561383200</v>
      </c>
      <c r="DO29" s="162">
        <f t="shared" ref="DO29:DP30" si="27">ROUND(DN29*1.04,-2)</f>
        <v>583838500</v>
      </c>
      <c r="DP29" s="162">
        <f t="shared" si="27"/>
        <v>607192000</v>
      </c>
      <c r="DQ29" s="162"/>
      <c r="DR29" s="162">
        <f t="shared" si="16"/>
        <v>561383.19999999995</v>
      </c>
      <c r="DS29" s="162">
        <f t="shared" si="16"/>
        <v>583838.5</v>
      </c>
      <c r="DT29" s="162">
        <f t="shared" si="16"/>
        <v>607192</v>
      </c>
    </row>
    <row r="30" spans="1:124" s="282" customFormat="1" x14ac:dyDescent="0.2">
      <c r="A30" s="279">
        <v>18</v>
      </c>
      <c r="B30" s="215" t="s">
        <v>22</v>
      </c>
      <c r="C30" s="280">
        <v>755</v>
      </c>
      <c r="D30" s="280">
        <v>2631</v>
      </c>
      <c r="E30" s="214">
        <v>0</v>
      </c>
      <c r="F30" s="214">
        <v>0</v>
      </c>
      <c r="G30" s="214">
        <v>0</v>
      </c>
      <c r="H30" s="214">
        <v>0</v>
      </c>
      <c r="I30" s="214">
        <v>0</v>
      </c>
      <c r="J30" s="214">
        <v>0</v>
      </c>
      <c r="K30" s="214">
        <v>0</v>
      </c>
      <c r="L30" s="214">
        <v>0</v>
      </c>
      <c r="M30" s="214">
        <v>755</v>
      </c>
      <c r="N30" s="214">
        <v>78097200</v>
      </c>
      <c r="O30" s="214">
        <v>2631</v>
      </c>
      <c r="P30" s="214">
        <v>221004000</v>
      </c>
      <c r="Q30" s="214">
        <v>0</v>
      </c>
      <c r="R30" s="214">
        <v>0</v>
      </c>
      <c r="S30" s="214">
        <v>0</v>
      </c>
      <c r="T30" s="214">
        <v>0</v>
      </c>
      <c r="U30" s="214">
        <v>0</v>
      </c>
      <c r="V30" s="214">
        <v>0</v>
      </c>
      <c r="W30" s="214">
        <v>0</v>
      </c>
      <c r="X30" s="214">
        <v>0</v>
      </c>
      <c r="Y30" s="280">
        <v>0</v>
      </c>
      <c r="Z30" s="280">
        <v>409</v>
      </c>
      <c r="AA30" s="214">
        <v>0</v>
      </c>
      <c r="AB30" s="214">
        <v>0</v>
      </c>
      <c r="AC30" s="214">
        <v>0</v>
      </c>
      <c r="AD30" s="214">
        <v>0</v>
      </c>
      <c r="AE30" s="214">
        <v>0</v>
      </c>
      <c r="AF30" s="214">
        <v>0</v>
      </c>
      <c r="AG30" s="214">
        <v>0</v>
      </c>
      <c r="AH30" s="214">
        <v>0</v>
      </c>
      <c r="AI30" s="214">
        <v>0</v>
      </c>
      <c r="AJ30" s="214">
        <v>0</v>
      </c>
      <c r="AK30" s="214">
        <v>409</v>
      </c>
      <c r="AL30" s="214">
        <v>157293684</v>
      </c>
      <c r="AM30" s="214">
        <v>0</v>
      </c>
      <c r="AN30" s="214">
        <v>0</v>
      </c>
      <c r="AO30" s="214">
        <v>0</v>
      </c>
      <c r="AP30" s="214">
        <v>0</v>
      </c>
      <c r="AQ30" s="214">
        <v>0</v>
      </c>
      <c r="AR30" s="214">
        <v>0</v>
      </c>
      <c r="AS30" s="214">
        <v>0</v>
      </c>
      <c r="AT30" s="214">
        <v>0</v>
      </c>
      <c r="AU30" s="280">
        <v>0</v>
      </c>
      <c r="AV30" s="280">
        <v>0</v>
      </c>
      <c r="AW30" s="214">
        <v>0</v>
      </c>
      <c r="AX30" s="214">
        <v>0</v>
      </c>
      <c r="AY30" s="214">
        <v>0</v>
      </c>
      <c r="AZ30" s="214">
        <v>0</v>
      </c>
      <c r="BA30" s="214">
        <v>0</v>
      </c>
      <c r="BB30" s="214">
        <v>0</v>
      </c>
      <c r="BC30" s="214">
        <v>0</v>
      </c>
      <c r="BD30" s="214">
        <v>0</v>
      </c>
      <c r="BE30" s="214">
        <v>0</v>
      </c>
      <c r="BF30" s="214">
        <v>0</v>
      </c>
      <c r="BG30" s="214">
        <v>0</v>
      </c>
      <c r="BH30" s="214">
        <v>0</v>
      </c>
      <c r="BI30" s="214">
        <v>0</v>
      </c>
      <c r="BJ30" s="214">
        <v>0</v>
      </c>
      <c r="BK30" s="214">
        <v>0</v>
      </c>
      <c r="BL30" s="214">
        <v>0</v>
      </c>
      <c r="BM30" s="214">
        <v>0</v>
      </c>
      <c r="BN30" s="214">
        <v>0</v>
      </c>
      <c r="BO30" s="214">
        <v>0</v>
      </c>
      <c r="BP30" s="214">
        <v>0</v>
      </c>
      <c r="BQ30" s="214">
        <v>0</v>
      </c>
      <c r="BR30" s="214">
        <v>0</v>
      </c>
      <c r="BS30" s="214">
        <v>0</v>
      </c>
      <c r="BT30" s="214">
        <v>0</v>
      </c>
      <c r="BU30" s="214">
        <v>0</v>
      </c>
      <c r="BV30" s="214">
        <v>0</v>
      </c>
      <c r="BW30" s="214">
        <v>0</v>
      </c>
      <c r="BX30" s="214">
        <v>0</v>
      </c>
      <c r="BY30" s="214">
        <v>755</v>
      </c>
      <c r="BZ30" s="214">
        <v>78097200</v>
      </c>
      <c r="CA30" s="214">
        <v>3040</v>
      </c>
      <c r="CB30" s="214">
        <v>378297684</v>
      </c>
      <c r="CC30" s="214">
        <v>0</v>
      </c>
      <c r="CD30" s="214">
        <v>0</v>
      </c>
      <c r="CE30" s="214">
        <v>0</v>
      </c>
      <c r="CF30" s="214">
        <v>0</v>
      </c>
      <c r="CG30" s="214">
        <v>0</v>
      </c>
      <c r="CH30" s="214">
        <v>0</v>
      </c>
      <c r="CI30" s="214">
        <v>0</v>
      </c>
      <c r="CJ30" s="214">
        <v>0</v>
      </c>
      <c r="CK30" s="214">
        <v>755</v>
      </c>
      <c r="CL30" s="214">
        <v>78097200</v>
      </c>
      <c r="CM30" s="214">
        <v>3040</v>
      </c>
      <c r="CN30" s="214">
        <v>378297684</v>
      </c>
      <c r="CO30" s="214">
        <v>3795</v>
      </c>
      <c r="CP30" s="281">
        <v>456394900</v>
      </c>
      <c r="CQ30" s="296">
        <v>447233.5</v>
      </c>
      <c r="CR30" s="296">
        <v>454525.1</v>
      </c>
      <c r="CS30" s="166">
        <f t="shared" si="6"/>
        <v>465122.8</v>
      </c>
      <c r="CT30" s="166">
        <f t="shared" si="7"/>
        <v>472706.1</v>
      </c>
      <c r="CU30" s="281">
        <f t="shared" si="8"/>
        <v>443190300</v>
      </c>
      <c r="CV30" s="281">
        <f t="shared" si="9"/>
        <v>3685.2015403765467</v>
      </c>
      <c r="CW30" s="166">
        <v>449641.2</v>
      </c>
      <c r="CX30" s="166">
        <f t="shared" si="10"/>
        <v>467626.8</v>
      </c>
      <c r="CY30" s="281">
        <f t="shared" si="0"/>
        <v>442375000</v>
      </c>
      <c r="CZ30" s="281">
        <f t="shared" si="11"/>
        <v>3678.4221843846194</v>
      </c>
      <c r="DA30" s="166">
        <f t="shared" si="1"/>
        <v>465122.8</v>
      </c>
      <c r="DB30" s="281">
        <f t="shared" si="2"/>
        <v>430664400</v>
      </c>
      <c r="DC30" s="281">
        <f t="shared" si="12"/>
        <v>3581.0465848763865</v>
      </c>
      <c r="DD30" s="166">
        <f t="shared" si="13"/>
        <v>430664.4</v>
      </c>
      <c r="DE30" s="166">
        <f t="shared" si="14"/>
        <v>447891</v>
      </c>
      <c r="DF30" s="166">
        <f t="shared" si="14"/>
        <v>465806.6</v>
      </c>
      <c r="DH30" s="298">
        <v>3728</v>
      </c>
      <c r="DI30" s="300">
        <v>447233500</v>
      </c>
      <c r="DJ30" s="301">
        <f t="shared" si="3"/>
        <v>67</v>
      </c>
      <c r="DK30" s="295">
        <v>3760</v>
      </c>
      <c r="DL30" s="301">
        <f t="shared" si="4"/>
        <v>35</v>
      </c>
      <c r="DN30" s="162">
        <f t="shared" si="15"/>
        <v>456394900</v>
      </c>
      <c r="DO30" s="162">
        <f t="shared" si="27"/>
        <v>474650700</v>
      </c>
      <c r="DP30" s="162">
        <f t="shared" si="27"/>
        <v>493636700</v>
      </c>
      <c r="DQ30" s="162"/>
      <c r="DR30" s="162">
        <f t="shared" si="16"/>
        <v>456394.9</v>
      </c>
      <c r="DS30" s="162">
        <f t="shared" si="16"/>
        <v>474650.7</v>
      </c>
      <c r="DT30" s="162">
        <f t="shared" si="16"/>
        <v>493636.7</v>
      </c>
    </row>
    <row r="31" spans="1:124" s="288" customFormat="1" x14ac:dyDescent="0.2">
      <c r="A31" s="283"/>
      <c r="B31" s="284" t="s">
        <v>59</v>
      </c>
      <c r="C31" s="285">
        <v>14595</v>
      </c>
      <c r="D31" s="285">
        <v>49007</v>
      </c>
      <c r="E31" s="286">
        <v>237</v>
      </c>
      <c r="F31" s="286">
        <v>10215648</v>
      </c>
      <c r="G31" s="286">
        <v>118</v>
      </c>
      <c r="H31" s="286">
        <v>4130472</v>
      </c>
      <c r="I31" s="286">
        <v>1330</v>
      </c>
      <c r="J31" s="286">
        <v>123786672</v>
      </c>
      <c r="K31" s="286">
        <v>4424</v>
      </c>
      <c r="L31" s="286">
        <v>326745300</v>
      </c>
      <c r="M31" s="286">
        <v>12995</v>
      </c>
      <c r="N31" s="286">
        <v>1409475300</v>
      </c>
      <c r="O31" s="286">
        <v>55093</v>
      </c>
      <c r="P31" s="286">
        <v>4750921932</v>
      </c>
      <c r="Q31" s="286">
        <v>7</v>
      </c>
      <c r="R31" s="286">
        <v>844788</v>
      </c>
      <c r="S31" s="286">
        <v>10</v>
      </c>
      <c r="T31" s="286">
        <v>979920</v>
      </c>
      <c r="U31" s="286">
        <v>26</v>
      </c>
      <c r="V31" s="286">
        <v>3137784</v>
      </c>
      <c r="W31" s="286">
        <v>197</v>
      </c>
      <c r="X31" s="286">
        <v>19510224</v>
      </c>
      <c r="Y31" s="286">
        <v>20</v>
      </c>
      <c r="Z31" s="286">
        <v>13135</v>
      </c>
      <c r="AA31" s="286">
        <v>0</v>
      </c>
      <c r="AB31" s="286">
        <v>0</v>
      </c>
      <c r="AC31" s="286">
        <v>5</v>
      </c>
      <c r="AD31" s="286">
        <v>1623360</v>
      </c>
      <c r="AE31" s="286">
        <v>0</v>
      </c>
      <c r="AF31" s="286">
        <v>0</v>
      </c>
      <c r="AG31" s="286">
        <v>4142</v>
      </c>
      <c r="AH31" s="286">
        <v>1324191108</v>
      </c>
      <c r="AI31" s="286">
        <v>20</v>
      </c>
      <c r="AJ31" s="286">
        <v>8216640</v>
      </c>
      <c r="AK31" s="286">
        <v>8953</v>
      </c>
      <c r="AL31" s="286">
        <v>3376542936</v>
      </c>
      <c r="AM31" s="286">
        <v>0</v>
      </c>
      <c r="AN31" s="286">
        <v>0</v>
      </c>
      <c r="AO31" s="286">
        <v>0</v>
      </c>
      <c r="AP31" s="286">
        <v>0</v>
      </c>
      <c r="AQ31" s="286">
        <v>0</v>
      </c>
      <c r="AR31" s="286">
        <v>0</v>
      </c>
      <c r="AS31" s="286">
        <v>35</v>
      </c>
      <c r="AT31" s="286">
        <v>13546020</v>
      </c>
      <c r="AU31" s="286">
        <v>0</v>
      </c>
      <c r="AV31" s="286">
        <v>682</v>
      </c>
      <c r="AW31" s="286">
        <v>0</v>
      </c>
      <c r="AX31" s="286">
        <v>0</v>
      </c>
      <c r="AY31" s="286">
        <v>0</v>
      </c>
      <c r="AZ31" s="286">
        <v>0</v>
      </c>
      <c r="BA31" s="286">
        <v>0</v>
      </c>
      <c r="BB31" s="286">
        <v>0</v>
      </c>
      <c r="BC31" s="286">
        <v>78</v>
      </c>
      <c r="BD31" s="286">
        <v>9610848</v>
      </c>
      <c r="BE31" s="286">
        <v>0</v>
      </c>
      <c r="BF31" s="286">
        <v>0</v>
      </c>
      <c r="BG31" s="286">
        <v>604</v>
      </c>
      <c r="BH31" s="286">
        <v>86988408</v>
      </c>
      <c r="BI31" s="286">
        <v>0</v>
      </c>
      <c r="BJ31" s="286">
        <v>0</v>
      </c>
      <c r="BK31" s="286">
        <v>0</v>
      </c>
      <c r="BL31" s="286">
        <v>0</v>
      </c>
      <c r="BM31" s="286">
        <v>0</v>
      </c>
      <c r="BN31" s="286">
        <v>0</v>
      </c>
      <c r="BO31" s="286">
        <v>0</v>
      </c>
      <c r="BP31" s="286">
        <v>0</v>
      </c>
      <c r="BQ31" s="286">
        <v>237</v>
      </c>
      <c r="BR31" s="286">
        <v>10215648</v>
      </c>
      <c r="BS31" s="286">
        <v>123</v>
      </c>
      <c r="BT31" s="286">
        <v>5753832</v>
      </c>
      <c r="BU31" s="286">
        <v>1330</v>
      </c>
      <c r="BV31" s="286">
        <v>123786672</v>
      </c>
      <c r="BW31" s="286">
        <v>8644</v>
      </c>
      <c r="BX31" s="286">
        <v>1660547256</v>
      </c>
      <c r="BY31" s="286">
        <v>13015</v>
      </c>
      <c r="BZ31" s="286">
        <v>1417691940</v>
      </c>
      <c r="CA31" s="286">
        <v>64650</v>
      </c>
      <c r="CB31" s="286">
        <v>8214453276</v>
      </c>
      <c r="CC31" s="286">
        <v>7</v>
      </c>
      <c r="CD31" s="286">
        <v>844788</v>
      </c>
      <c r="CE31" s="286">
        <v>10</v>
      </c>
      <c r="CF31" s="286">
        <v>979920</v>
      </c>
      <c r="CG31" s="286">
        <v>26</v>
      </c>
      <c r="CH31" s="286">
        <v>3137784</v>
      </c>
      <c r="CI31" s="286">
        <v>232</v>
      </c>
      <c r="CJ31" s="286">
        <v>33056244</v>
      </c>
      <c r="CK31" s="286">
        <v>14615</v>
      </c>
      <c r="CL31" s="286">
        <v>1555676832</v>
      </c>
      <c r="CM31" s="286">
        <v>73659</v>
      </c>
      <c r="CN31" s="286">
        <v>9914790528</v>
      </c>
      <c r="CO31" s="287">
        <f>SUM(CO13:CO30)</f>
        <v>88274</v>
      </c>
      <c r="CP31" s="287">
        <f>SUM(CP13:CP30)</f>
        <v>11470467200</v>
      </c>
      <c r="CQ31" s="305">
        <f t="shared" ref="CQ31:CT31" si="28">SUM(CQ13:CQ30)</f>
        <v>10407488.6</v>
      </c>
      <c r="CR31" s="305">
        <f t="shared" si="28"/>
        <v>10710191</v>
      </c>
      <c r="CS31" s="305">
        <f t="shared" si="28"/>
        <v>10823788</v>
      </c>
      <c r="CT31" s="305">
        <f t="shared" si="28"/>
        <v>11138598.799999997</v>
      </c>
      <c r="CU31" s="305">
        <f t="shared" ref="CU31:CZ31" si="29">SUM(CU13:CU30)</f>
        <v>11138598700</v>
      </c>
      <c r="CV31" s="287">
        <f t="shared" si="29"/>
        <v>85720.018331278407</v>
      </c>
      <c r="CW31" s="305">
        <f t="shared" si="29"/>
        <v>10690488.6</v>
      </c>
      <c r="CX31" s="305">
        <f t="shared" si="29"/>
        <v>11118108.100000001</v>
      </c>
      <c r="CY31" s="313">
        <f t="shared" si="29"/>
        <v>11118108200</v>
      </c>
      <c r="CZ31" s="314">
        <f t="shared" si="29"/>
        <v>85562.328444946208</v>
      </c>
      <c r="DA31" s="305">
        <f t="shared" ref="DA31" si="30">SUM(DA13:DA30)</f>
        <v>10823788</v>
      </c>
      <c r="DB31" s="216">
        <f t="shared" ref="DB31:DF31" si="31">SUM(DB13:DB30)</f>
        <v>10823788100</v>
      </c>
      <c r="DC31" s="216">
        <f t="shared" si="31"/>
        <v>83297.310807090049</v>
      </c>
      <c r="DD31" s="305">
        <f t="shared" si="31"/>
        <v>10823788.1</v>
      </c>
      <c r="DE31" s="305">
        <f t="shared" si="31"/>
        <v>11256739.6</v>
      </c>
      <c r="DF31" s="305">
        <f t="shared" si="31"/>
        <v>11707009.199999999</v>
      </c>
      <c r="DH31" s="287">
        <f>SUM(DH13:DH30)</f>
        <v>84552.866999999998</v>
      </c>
      <c r="DI31" s="287">
        <f>SUM(DI13:DI30)</f>
        <v>10407488600</v>
      </c>
      <c r="DJ31" s="302">
        <f>SUM(DJ13:DJ30)</f>
        <v>3721.1329999999998</v>
      </c>
      <c r="DK31" s="302">
        <f t="shared" ref="DK31" si="32">SUM(DK13:DK30)</f>
        <v>87519</v>
      </c>
      <c r="DL31" s="302">
        <f t="shared" ref="DL31" si="33">SUM(DL13:DL30)</f>
        <v>755</v>
      </c>
      <c r="DN31" s="347">
        <f>SUM(DN13:DN30)</f>
        <v>11470467200</v>
      </c>
      <c r="DO31" s="348">
        <f t="shared" ref="DO31:DP31" si="34">SUM(DO13:DO30)</f>
        <v>11929285900</v>
      </c>
      <c r="DP31" s="349">
        <f t="shared" si="34"/>
        <v>12406457300</v>
      </c>
      <c r="DQ31" s="162"/>
      <c r="DR31" s="347">
        <f>SUM(DR13:DR30)</f>
        <v>11470467.199999999</v>
      </c>
      <c r="DS31" s="348">
        <f t="shared" ref="DS31:DT31" si="35">SUM(DS13:DS30)</f>
        <v>11929285.900000002</v>
      </c>
      <c r="DT31" s="349">
        <f t="shared" si="35"/>
        <v>12406457.300000001</v>
      </c>
    </row>
    <row r="32" spans="1:124" ht="12" customHeight="1" x14ac:dyDescent="0.2">
      <c r="CM32" s="86"/>
      <c r="CN32" s="86"/>
      <c r="CO32" s="160">
        <f>CO31/DH31-100%</f>
        <v>4.4009542574115157E-2</v>
      </c>
      <c r="CP32" s="160">
        <f>CP31/1000/CQ31-100%</f>
        <v>0.10213593700213131</v>
      </c>
      <c r="CQ32" s="161"/>
      <c r="CR32" s="161"/>
      <c r="CS32" s="160">
        <f>CS31/CQ31-100%</f>
        <v>3.9999986163808954E-2</v>
      </c>
      <c r="CT32" s="160"/>
      <c r="CU32" s="160"/>
      <c r="CV32" s="160"/>
      <c r="CW32" s="160"/>
      <c r="CX32" s="160">
        <f>CX31/CW31-100%</f>
        <v>3.9999995884192119E-2</v>
      </c>
      <c r="CY32" s="305">
        <f>CY31-CP31</f>
        <v>-352359000</v>
      </c>
      <c r="CZ32" s="160"/>
      <c r="DA32" s="160"/>
      <c r="DB32" s="305">
        <f>DB31-CP31</f>
        <v>-646679100</v>
      </c>
      <c r="DC32" s="160"/>
      <c r="DN32" s="3"/>
      <c r="DO32" s="2">
        <v>11929285900</v>
      </c>
      <c r="DP32" s="2">
        <v>12406457300</v>
      </c>
      <c r="DQ32" s="3"/>
      <c r="DR32" s="3"/>
      <c r="DS32" s="3"/>
      <c r="DT32" s="3"/>
    </row>
    <row r="33" spans="1:124" s="290" customFormat="1" ht="12" customHeight="1" x14ac:dyDescent="0.2">
      <c r="A33" s="289">
        <v>1</v>
      </c>
      <c r="B33" s="289">
        <v>2</v>
      </c>
      <c r="C33" s="289">
        <v>3</v>
      </c>
      <c r="D33" s="289">
        <v>4</v>
      </c>
      <c r="E33" s="289">
        <v>5</v>
      </c>
      <c r="F33" s="289">
        <v>6</v>
      </c>
      <c r="G33" s="289">
        <v>7</v>
      </c>
      <c r="H33" s="289">
        <v>8</v>
      </c>
      <c r="I33" s="289">
        <v>9</v>
      </c>
      <c r="J33" s="289">
        <v>10</v>
      </c>
      <c r="K33" s="289">
        <v>11</v>
      </c>
      <c r="L33" s="289">
        <v>12</v>
      </c>
      <c r="M33" s="289">
        <v>13</v>
      </c>
      <c r="N33" s="289">
        <v>14</v>
      </c>
      <c r="O33" s="289">
        <v>15</v>
      </c>
      <c r="P33" s="289">
        <v>16</v>
      </c>
      <c r="Q33" s="289">
        <v>17</v>
      </c>
      <c r="R33" s="289">
        <v>18</v>
      </c>
      <c r="S33" s="289">
        <v>19</v>
      </c>
      <c r="T33" s="289">
        <v>20</v>
      </c>
      <c r="U33" s="289">
        <v>21</v>
      </c>
      <c r="V33" s="289">
        <v>22</v>
      </c>
      <c r="W33" s="289">
        <v>23</v>
      </c>
      <c r="X33" s="289">
        <v>24</v>
      </c>
      <c r="Y33" s="289">
        <v>25</v>
      </c>
      <c r="Z33" s="289">
        <v>26</v>
      </c>
      <c r="AA33" s="289">
        <v>27</v>
      </c>
      <c r="AB33" s="289">
        <v>28</v>
      </c>
      <c r="AC33" s="289">
        <v>29</v>
      </c>
      <c r="AD33" s="289">
        <v>30</v>
      </c>
      <c r="AE33" s="289">
        <v>31</v>
      </c>
      <c r="AF33" s="289">
        <v>32</v>
      </c>
      <c r="AG33" s="289">
        <v>33</v>
      </c>
      <c r="AH33" s="289">
        <v>34</v>
      </c>
      <c r="AI33" s="289">
        <v>35</v>
      </c>
      <c r="AJ33" s="289">
        <v>36</v>
      </c>
      <c r="AK33" s="289">
        <v>37</v>
      </c>
      <c r="AL33" s="289">
        <v>38</v>
      </c>
      <c r="AM33" s="289">
        <v>39</v>
      </c>
      <c r="AN33" s="289">
        <v>40</v>
      </c>
      <c r="AO33" s="289">
        <v>41</v>
      </c>
      <c r="AP33" s="289">
        <v>42</v>
      </c>
      <c r="AQ33" s="289">
        <v>43</v>
      </c>
      <c r="AR33" s="289">
        <v>44</v>
      </c>
      <c r="AS33" s="289">
        <v>45</v>
      </c>
      <c r="AT33" s="289">
        <v>46</v>
      </c>
      <c r="AU33" s="289">
        <v>47</v>
      </c>
      <c r="AV33" s="289">
        <v>48</v>
      </c>
      <c r="AW33" s="289">
        <v>49</v>
      </c>
      <c r="AX33" s="289">
        <v>50</v>
      </c>
      <c r="AY33" s="289">
        <v>51</v>
      </c>
      <c r="AZ33" s="289">
        <v>52</v>
      </c>
      <c r="BA33" s="289">
        <v>53</v>
      </c>
      <c r="BB33" s="289">
        <v>54</v>
      </c>
      <c r="BC33" s="289">
        <v>55</v>
      </c>
      <c r="BD33" s="289">
        <v>56</v>
      </c>
      <c r="BE33" s="289">
        <v>57</v>
      </c>
      <c r="BF33" s="289">
        <v>58</v>
      </c>
      <c r="BG33" s="289">
        <v>59</v>
      </c>
      <c r="BH33" s="289">
        <v>60</v>
      </c>
      <c r="BI33" s="289">
        <v>61</v>
      </c>
      <c r="BJ33" s="289">
        <v>62</v>
      </c>
      <c r="BK33" s="289">
        <v>63</v>
      </c>
      <c r="BL33" s="289">
        <v>64</v>
      </c>
      <c r="BM33" s="289">
        <v>65</v>
      </c>
      <c r="BN33" s="289">
        <v>66</v>
      </c>
      <c r="BO33" s="289">
        <v>67</v>
      </c>
      <c r="BP33" s="289">
        <v>68</v>
      </c>
      <c r="BQ33" s="289">
        <v>69</v>
      </c>
      <c r="BR33" s="289">
        <v>70</v>
      </c>
      <c r="BS33" s="289">
        <v>71</v>
      </c>
      <c r="BT33" s="289">
        <v>72</v>
      </c>
      <c r="BU33" s="289">
        <v>73</v>
      </c>
      <c r="BV33" s="289">
        <v>74</v>
      </c>
      <c r="BW33" s="289">
        <v>75</v>
      </c>
      <c r="BX33" s="289">
        <v>76</v>
      </c>
      <c r="BY33" s="289">
        <v>77</v>
      </c>
      <c r="BZ33" s="289">
        <v>78</v>
      </c>
      <c r="CA33" s="289">
        <v>79</v>
      </c>
      <c r="CB33" s="289">
        <v>80</v>
      </c>
      <c r="CC33" s="289">
        <v>81</v>
      </c>
      <c r="CD33" s="289">
        <v>82</v>
      </c>
      <c r="CE33" s="289">
        <v>83</v>
      </c>
      <c r="CF33" s="289">
        <v>84</v>
      </c>
      <c r="CG33" s="289">
        <v>85</v>
      </c>
      <c r="CH33" s="289">
        <v>86</v>
      </c>
      <c r="CI33" s="289">
        <v>87</v>
      </c>
      <c r="CJ33" s="289">
        <v>88</v>
      </c>
      <c r="CK33" s="289">
        <v>89</v>
      </c>
      <c r="CL33" s="289">
        <v>90</v>
      </c>
      <c r="CM33" s="289">
        <v>92</v>
      </c>
      <c r="CN33" s="289">
        <v>93</v>
      </c>
      <c r="CO33" s="289">
        <v>94</v>
      </c>
      <c r="CP33" s="289">
        <v>95</v>
      </c>
      <c r="CU33" s="317">
        <f>CU31-CP31</f>
        <v>-331868500</v>
      </c>
      <c r="DN33" s="79"/>
      <c r="DO33" s="159">
        <f>DO32-DO31</f>
        <v>0</v>
      </c>
      <c r="DP33" s="159">
        <f>DP32-DP31</f>
        <v>0</v>
      </c>
      <c r="DQ33" s="79"/>
      <c r="DR33" s="79"/>
      <c r="DS33" s="79"/>
      <c r="DT33" s="79"/>
    </row>
    <row r="34" spans="1:124" ht="12" customHeight="1" x14ac:dyDescent="0.2">
      <c r="CM34" s="86"/>
      <c r="CN34" s="86"/>
      <c r="CO34" s="86"/>
      <c r="CP34" s="291"/>
    </row>
    <row r="35" spans="1:124" ht="12" customHeight="1" x14ac:dyDescent="0.2">
      <c r="CM35" s="86"/>
      <c r="CN35" s="86"/>
      <c r="CO35" s="86"/>
      <c r="CP35" s="86" t="b">
        <f>CP31='[4]Расчет_свод групп'!$CP$31</f>
        <v>1</v>
      </c>
    </row>
    <row r="36" spans="1:124" ht="12" customHeight="1" x14ac:dyDescent="0.2">
      <c r="AE36" s="86"/>
      <c r="BA36" s="86"/>
      <c r="BU36" s="86"/>
      <c r="CM36" s="86"/>
      <c r="CN36" s="86"/>
      <c r="CO36" s="86"/>
      <c r="CP36" s="87"/>
      <c r="CU36" s="265">
        <f>CP13/CO13</f>
        <v>104884.86055776893</v>
      </c>
      <c r="CV36" s="306">
        <f>CU13/CU36</f>
        <v>2193.6416635962028</v>
      </c>
      <c r="CY36" s="265">
        <f t="shared" ref="CY36:CY53" si="36">CP13/CO13</f>
        <v>104884.86055776893</v>
      </c>
      <c r="CZ36" s="306">
        <f>CY13/CY36</f>
        <v>2189.6058094438599</v>
      </c>
      <c r="DB36" s="265">
        <f t="shared" ref="DB36:DB53" si="37">CP13/CO13</f>
        <v>104884.86055776893</v>
      </c>
      <c r="DC36" s="306">
        <f>DB13/DB36</f>
        <v>2131.6422485670114</v>
      </c>
      <c r="DD36" s="306">
        <f>CO13-DC13</f>
        <v>127.35775143298861</v>
      </c>
    </row>
    <row r="37" spans="1:124" ht="12" customHeight="1" x14ac:dyDescent="0.2">
      <c r="CM37" s="86"/>
      <c r="CN37" s="86"/>
      <c r="CO37" s="86"/>
      <c r="CP37" s="160">
        <f>CP31/1000/CR31-100%</f>
        <v>7.0986241048362153E-2</v>
      </c>
      <c r="CU37" s="265">
        <f t="shared" ref="CU37:CU53" si="38">CP14/CO14</f>
        <v>113731.43781784558</v>
      </c>
      <c r="CV37" s="306">
        <f t="shared" ref="CV37:CV53" si="39">CU14/CU37</f>
        <v>2100.4192383692593</v>
      </c>
      <c r="CY37" s="265">
        <f t="shared" si="36"/>
        <v>113731.43781784558</v>
      </c>
      <c r="CZ37" s="306">
        <f t="shared" ref="CZ37:CZ53" si="40">CY14/CY37</f>
        <v>2096.5548715026071</v>
      </c>
      <c r="DB37" s="265">
        <f t="shared" si="37"/>
        <v>113731.43781784558</v>
      </c>
      <c r="DC37" s="306">
        <f t="shared" ref="DC37:DC53" si="41">DB14/DB37</f>
        <v>2041.0548257711043</v>
      </c>
      <c r="DD37" s="306">
        <f t="shared" ref="DD37:DD53" si="42">CO14-DC14</f>
        <v>121.94517422889567</v>
      </c>
    </row>
    <row r="38" spans="1:124" ht="12" customHeight="1" x14ac:dyDescent="0.2">
      <c r="CM38" s="86"/>
      <c r="CN38" s="86"/>
      <c r="CO38" s="86"/>
      <c r="CP38" s="86">
        <v>2021</v>
      </c>
      <c r="CU38" s="265">
        <f t="shared" si="38"/>
        <v>136926.30773156419</v>
      </c>
      <c r="CV38" s="306">
        <f t="shared" si="39"/>
        <v>3805.6141922819033</v>
      </c>
      <c r="CY38" s="265">
        <f t="shared" si="36"/>
        <v>136926.30773156419</v>
      </c>
      <c r="CZ38" s="306">
        <f t="shared" si="40"/>
        <v>3798.6133462364578</v>
      </c>
      <c r="DB38" s="265">
        <f t="shared" si="37"/>
        <v>136926.30773156419</v>
      </c>
      <c r="DC38" s="306">
        <f t="shared" si="41"/>
        <v>3698.0556066164477</v>
      </c>
      <c r="DD38" s="306">
        <f t="shared" si="42"/>
        <v>220.94439338355232</v>
      </c>
    </row>
    <row r="39" spans="1:124" ht="12" customHeight="1" x14ac:dyDescent="0.2">
      <c r="CM39" s="86"/>
      <c r="CN39" s="86"/>
      <c r="CO39" s="86"/>
      <c r="CP39" s="86"/>
      <c r="CU39" s="265">
        <f t="shared" si="38"/>
        <v>138734.04920146812</v>
      </c>
      <c r="CV39" s="306">
        <f t="shared" si="39"/>
        <v>19578.664470864849</v>
      </c>
      <c r="CY39" s="265">
        <f t="shared" si="36"/>
        <v>138734.04920146812</v>
      </c>
      <c r="CZ39" s="306">
        <f t="shared" si="40"/>
        <v>19542.64735733893</v>
      </c>
      <c r="DB39" s="265">
        <f t="shared" si="37"/>
        <v>138734.04920146812</v>
      </c>
      <c r="DC39" s="306">
        <f t="shared" si="41"/>
        <v>19025.311487643572</v>
      </c>
      <c r="DD39" s="306">
        <f t="shared" si="42"/>
        <v>1136.688512356428</v>
      </c>
    </row>
    <row r="40" spans="1:124" x14ac:dyDescent="0.2">
      <c r="CU40" s="265">
        <f t="shared" si="38"/>
        <v>142655.24911032029</v>
      </c>
      <c r="CV40" s="306">
        <f t="shared" si="39"/>
        <v>8731.8399271568396</v>
      </c>
      <c r="CY40" s="265">
        <f t="shared" si="36"/>
        <v>142655.24911032029</v>
      </c>
      <c r="CZ40" s="306">
        <f t="shared" si="40"/>
        <v>8715.7767257373962</v>
      </c>
      <c r="DB40" s="265">
        <f t="shared" si="37"/>
        <v>142655.24911032029</v>
      </c>
      <c r="DC40" s="306">
        <f t="shared" si="41"/>
        <v>8485.0512515240625</v>
      </c>
      <c r="DD40" s="306">
        <f t="shared" si="42"/>
        <v>506.94874847593746</v>
      </c>
    </row>
    <row r="41" spans="1:124" x14ac:dyDescent="0.2">
      <c r="CU41" s="265">
        <f t="shared" si="38"/>
        <v>144195.15040493637</v>
      </c>
      <c r="CV41" s="306">
        <f t="shared" si="39"/>
        <v>10071.912931340035</v>
      </c>
      <c r="CY41" s="265">
        <f t="shared" si="36"/>
        <v>144195.15040493637</v>
      </c>
      <c r="CZ41" s="306">
        <f t="shared" si="40"/>
        <v>10053.384568961015</v>
      </c>
      <c r="DB41" s="265">
        <f t="shared" si="37"/>
        <v>144195.15040493637</v>
      </c>
      <c r="DC41" s="306">
        <f t="shared" si="41"/>
        <v>9787.2500984727048</v>
      </c>
      <c r="DD41" s="306">
        <f t="shared" si="42"/>
        <v>584.74990152729515</v>
      </c>
    </row>
    <row r="42" spans="1:124" x14ac:dyDescent="0.2">
      <c r="CU42" s="265">
        <f t="shared" si="38"/>
        <v>106206.18404907975</v>
      </c>
      <c r="CV42" s="306">
        <f t="shared" si="39"/>
        <v>3957.1000856766168</v>
      </c>
      <c r="CY42" s="265">
        <f t="shared" si="36"/>
        <v>106206.18404907975</v>
      </c>
      <c r="CZ42" s="306">
        <f t="shared" si="40"/>
        <v>3949.8208485312284</v>
      </c>
      <c r="DB42" s="265">
        <f t="shared" si="37"/>
        <v>106206.18404907975</v>
      </c>
      <c r="DC42" s="306">
        <f t="shared" si="41"/>
        <v>3845.2610237015538</v>
      </c>
      <c r="DD42" s="306">
        <f t="shared" si="42"/>
        <v>229.73897629844623</v>
      </c>
    </row>
    <row r="43" spans="1:124" x14ac:dyDescent="0.2">
      <c r="CU43" s="265">
        <f t="shared" si="38"/>
        <v>122883.43100692595</v>
      </c>
      <c r="CV43" s="306">
        <f t="shared" si="39"/>
        <v>3645.38730998447</v>
      </c>
      <c r="CY43" s="265">
        <f t="shared" si="36"/>
        <v>122883.43100692595</v>
      </c>
      <c r="CZ43" s="306">
        <f t="shared" si="40"/>
        <v>3638.6817680473023</v>
      </c>
      <c r="DB43" s="265">
        <f t="shared" si="37"/>
        <v>122883.43100692595</v>
      </c>
      <c r="DC43" s="306">
        <f t="shared" si="41"/>
        <v>3542.3579601668657</v>
      </c>
      <c r="DD43" s="306">
        <f t="shared" si="42"/>
        <v>211.64203983313428</v>
      </c>
    </row>
    <row r="44" spans="1:124" x14ac:dyDescent="0.2">
      <c r="CU44" s="265">
        <f t="shared" si="38"/>
        <v>170196.90239625951</v>
      </c>
      <c r="CV44" s="306">
        <f t="shared" si="39"/>
        <v>4984.4896590705775</v>
      </c>
      <c r="CY44" s="265">
        <f t="shared" si="36"/>
        <v>170196.90239625951</v>
      </c>
      <c r="CZ44" s="306">
        <f t="shared" si="40"/>
        <v>4975.3202794988711</v>
      </c>
      <c r="DB44" s="265">
        <f t="shared" si="37"/>
        <v>170196.90239625951</v>
      </c>
      <c r="DC44" s="306">
        <f t="shared" si="41"/>
        <v>4843.6128295723756</v>
      </c>
      <c r="DD44" s="306">
        <f t="shared" si="42"/>
        <v>289.38717042762437</v>
      </c>
    </row>
    <row r="45" spans="1:124" x14ac:dyDescent="0.2">
      <c r="CU45" s="265">
        <f t="shared" si="38"/>
        <v>144742.42424242425</v>
      </c>
      <c r="CV45" s="306">
        <f t="shared" si="39"/>
        <v>1281.8094001884224</v>
      </c>
      <c r="CY45" s="265">
        <f t="shared" si="36"/>
        <v>144742.42424242425</v>
      </c>
      <c r="CZ45" s="306">
        <f t="shared" si="40"/>
        <v>1279.4514184025959</v>
      </c>
      <c r="DB45" s="265">
        <f t="shared" si="37"/>
        <v>144742.42424242425</v>
      </c>
      <c r="DC45" s="306">
        <f t="shared" si="41"/>
        <v>1245.5815974039567</v>
      </c>
      <c r="DD45" s="306">
        <f t="shared" si="42"/>
        <v>74.418402596043279</v>
      </c>
    </row>
    <row r="46" spans="1:124" x14ac:dyDescent="0.2">
      <c r="CU46" s="265">
        <f t="shared" si="38"/>
        <v>106032.6387262936</v>
      </c>
      <c r="CV46" s="306">
        <f t="shared" si="39"/>
        <v>4147.4295583190942</v>
      </c>
      <c r="CY46" s="265">
        <f t="shared" si="36"/>
        <v>106032.6387262936</v>
      </c>
      <c r="CZ46" s="306">
        <f t="shared" si="40"/>
        <v>4139.7998321355526</v>
      </c>
      <c r="DB46" s="265">
        <f t="shared" si="37"/>
        <v>106032.6387262936</v>
      </c>
      <c r="DC46" s="306">
        <f t="shared" si="41"/>
        <v>4030.2109344189248</v>
      </c>
      <c r="DD46" s="306">
        <f t="shared" si="42"/>
        <v>240.78906558107519</v>
      </c>
    </row>
    <row r="47" spans="1:124" x14ac:dyDescent="0.2">
      <c r="CU47" s="265">
        <f t="shared" si="38"/>
        <v>126390.63083240014</v>
      </c>
      <c r="CV47" s="306">
        <f t="shared" si="39"/>
        <v>2601.4902990397241</v>
      </c>
      <c r="CY47" s="265">
        <f t="shared" si="36"/>
        <v>126390.63083240014</v>
      </c>
      <c r="CZ47" s="306">
        <f t="shared" si="40"/>
        <v>2596.7043430237109</v>
      </c>
      <c r="DB47" s="265">
        <f t="shared" si="37"/>
        <v>126390.63083240014</v>
      </c>
      <c r="DC47" s="306">
        <f t="shared" si="41"/>
        <v>2527.9642794384536</v>
      </c>
      <c r="DD47" s="306">
        <f t="shared" si="42"/>
        <v>151.03572056154644</v>
      </c>
    </row>
    <row r="48" spans="1:124" x14ac:dyDescent="0.2">
      <c r="CU48" s="265">
        <f t="shared" si="38"/>
        <v>106790.53414469236</v>
      </c>
      <c r="CV48" s="306">
        <f t="shared" si="39"/>
        <v>1436.2087541597232</v>
      </c>
      <c r="CY48" s="265">
        <f t="shared" si="36"/>
        <v>106790.53414469236</v>
      </c>
      <c r="CZ48" s="306">
        <f t="shared" si="40"/>
        <v>1433.5671342609241</v>
      </c>
      <c r="DB48" s="265">
        <f t="shared" si="37"/>
        <v>106790.53414469236</v>
      </c>
      <c r="DC48" s="306">
        <f t="shared" si="41"/>
        <v>1395.6171414787088</v>
      </c>
      <c r="DD48" s="306">
        <f t="shared" si="42"/>
        <v>83.382858521291155</v>
      </c>
    </row>
    <row r="49" spans="99:108" x14ac:dyDescent="0.2">
      <c r="CU49" s="265">
        <f t="shared" si="38"/>
        <v>116441.61398289326</v>
      </c>
      <c r="CV49" s="306">
        <f t="shared" si="39"/>
        <v>2611.2004943925726</v>
      </c>
      <c r="CY49" s="265">
        <f t="shared" si="36"/>
        <v>116441.61398289326</v>
      </c>
      <c r="CZ49" s="306">
        <f t="shared" si="40"/>
        <v>2606.3972287827182</v>
      </c>
      <c r="DB49" s="265">
        <f t="shared" si="37"/>
        <v>116441.61398289326</v>
      </c>
      <c r="DC49" s="306">
        <f t="shared" si="41"/>
        <v>2537.4004180619363</v>
      </c>
      <c r="DD49" s="306">
        <f t="shared" si="42"/>
        <v>151.59958193806369</v>
      </c>
    </row>
    <row r="50" spans="99:108" x14ac:dyDescent="0.2">
      <c r="CU50" s="265">
        <f t="shared" si="38"/>
        <v>115753.81526104418</v>
      </c>
      <c r="CV50" s="306">
        <f t="shared" si="39"/>
        <v>1692.5705607038897</v>
      </c>
      <c r="CY50" s="265">
        <f t="shared" si="36"/>
        <v>115753.81526104418</v>
      </c>
      <c r="CZ50" s="306">
        <f t="shared" si="40"/>
        <v>1689.4570564173378</v>
      </c>
      <c r="DB50" s="265">
        <f t="shared" si="37"/>
        <v>115753.81526104418</v>
      </c>
      <c r="DC50" s="306">
        <f t="shared" si="41"/>
        <v>1644.7336925409486</v>
      </c>
      <c r="DD50" s="306">
        <f t="shared" si="42"/>
        <v>98.266307459051404</v>
      </c>
    </row>
    <row r="51" spans="99:108" x14ac:dyDescent="0.2">
      <c r="CU51" s="265">
        <f t="shared" si="38"/>
        <v>109797.90298130369</v>
      </c>
      <c r="CV51" s="306">
        <f t="shared" si="39"/>
        <v>3843.4850624775499</v>
      </c>
      <c r="CY51" s="265">
        <f t="shared" si="36"/>
        <v>109797.90298130369</v>
      </c>
      <c r="CZ51" s="306">
        <f t="shared" si="40"/>
        <v>3836.4147999413685</v>
      </c>
      <c r="DB51" s="265">
        <f t="shared" si="37"/>
        <v>109797.90298130369</v>
      </c>
      <c r="DC51" s="306">
        <f t="shared" si="41"/>
        <v>3734.8563940226441</v>
      </c>
      <c r="DD51" s="306">
        <f t="shared" si="42"/>
        <v>223.14360597735595</v>
      </c>
    </row>
    <row r="52" spans="99:108" x14ac:dyDescent="0.2">
      <c r="CU52" s="265">
        <f t="shared" si="38"/>
        <v>101865.94084558156</v>
      </c>
      <c r="CV52" s="306">
        <f t="shared" si="39"/>
        <v>5351.5531832801553</v>
      </c>
      <c r="CY52" s="265">
        <f t="shared" si="36"/>
        <v>101865.94084558156</v>
      </c>
      <c r="CZ52" s="306">
        <f t="shared" si="40"/>
        <v>5341.7088722997059</v>
      </c>
      <c r="DB52" s="265">
        <f t="shared" si="37"/>
        <v>101865.94084558156</v>
      </c>
      <c r="DC52" s="306">
        <f t="shared" si="41"/>
        <v>5200.302432812382</v>
      </c>
      <c r="DD52" s="306">
        <f t="shared" si="42"/>
        <v>310.69756718761801</v>
      </c>
    </row>
    <row r="53" spans="99:108" x14ac:dyDescent="0.2">
      <c r="CU53" s="265">
        <f t="shared" si="38"/>
        <v>120262.16073781291</v>
      </c>
      <c r="CV53" s="306">
        <f t="shared" si="39"/>
        <v>3685.2015403765467</v>
      </c>
      <c r="CY53" s="265">
        <f t="shared" si="36"/>
        <v>120262.16073781291</v>
      </c>
      <c r="CZ53" s="306">
        <f t="shared" si="40"/>
        <v>3678.4221843846194</v>
      </c>
      <c r="DB53" s="265">
        <f t="shared" si="37"/>
        <v>120262.16073781291</v>
      </c>
      <c r="DC53" s="306">
        <f t="shared" si="41"/>
        <v>3581.0465848763865</v>
      </c>
      <c r="DD53" s="306">
        <f t="shared" si="42"/>
        <v>213.95341512361347</v>
      </c>
    </row>
    <row r="54" spans="99:108" x14ac:dyDescent="0.2">
      <c r="CV54" s="306">
        <f>SUM(CV36:CV53)</f>
        <v>85720.018331278407</v>
      </c>
      <c r="CZ54" s="306">
        <f>SUM(CZ36:CZ53)</f>
        <v>85562.328444946208</v>
      </c>
      <c r="DC54" s="306">
        <f>SUM(DC36:DC53)</f>
        <v>83297.310807090049</v>
      </c>
      <c r="DD54" s="306">
        <f>SUM(DD36:DD53)</f>
        <v>4976.6891929099602</v>
      </c>
    </row>
    <row r="55" spans="99:108" x14ac:dyDescent="0.2">
      <c r="CV55" s="306">
        <f>SUM(CV54:CV54)</f>
        <v>85720.018331278407</v>
      </c>
      <c r="CZ55" s="306"/>
      <c r="DC55" s="306">
        <f>DC54+DD54</f>
        <v>88274.000000000015</v>
      </c>
    </row>
  </sheetData>
  <mergeCells count="153"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62" customWidth="1"/>
    <col min="2" max="2" width="18.28515625" style="262" customWidth="1"/>
    <col min="3" max="3" width="10.85546875" style="262" bestFit="1" customWidth="1"/>
    <col min="4" max="4" width="11.5703125" style="262" bestFit="1" customWidth="1"/>
    <col min="5" max="5" width="9.28515625" style="262" bestFit="1" customWidth="1"/>
    <col min="6" max="6" width="12.28515625" style="262" bestFit="1" customWidth="1"/>
    <col min="7" max="7" width="10.85546875" style="262" bestFit="1" customWidth="1"/>
    <col min="8" max="8" width="11.5703125" style="262" bestFit="1" customWidth="1"/>
    <col min="9" max="9" width="9.28515625" style="262" bestFit="1" customWidth="1"/>
    <col min="10" max="10" width="13.140625" style="262" bestFit="1" customWidth="1"/>
    <col min="11" max="11" width="8" style="262" bestFit="1" customWidth="1"/>
    <col min="12" max="12" width="14.7109375" style="262" bestFit="1" customWidth="1"/>
    <col min="13" max="13" width="10.85546875" style="262" bestFit="1" customWidth="1"/>
    <col min="14" max="14" width="11.5703125" style="262" bestFit="1" customWidth="1"/>
    <col min="15" max="15" width="9.28515625" style="262" bestFit="1" customWidth="1"/>
    <col min="16" max="16" width="12.28515625" style="262" bestFit="1" customWidth="1"/>
    <col min="17" max="17" width="10.85546875" style="262" bestFit="1" customWidth="1"/>
    <col min="18" max="18" width="11.5703125" style="262" bestFit="1" customWidth="1"/>
    <col min="19" max="19" width="9.28515625" style="262" bestFit="1" customWidth="1"/>
    <col min="20" max="20" width="12.28515625" style="262" bestFit="1" customWidth="1"/>
    <col min="21" max="21" width="8" style="262" bestFit="1" customWidth="1"/>
    <col min="22" max="22" width="13" style="262" bestFit="1" customWidth="1"/>
    <col min="23" max="23" width="10.85546875" style="262" bestFit="1" customWidth="1"/>
    <col min="24" max="24" width="11.5703125" style="262" bestFit="1" customWidth="1"/>
    <col min="25" max="25" width="9.28515625" style="262" bestFit="1" customWidth="1"/>
    <col min="26" max="26" width="12.28515625" style="262" bestFit="1" customWidth="1"/>
    <col min="27" max="27" width="10.85546875" style="262" bestFit="1" customWidth="1"/>
    <col min="28" max="28" width="11.5703125" style="262" bestFit="1" customWidth="1"/>
    <col min="29" max="29" width="9.28515625" style="262" bestFit="1" customWidth="1"/>
    <col min="30" max="30" width="12.28515625" style="262" bestFit="1" customWidth="1"/>
    <col min="31" max="31" width="8" style="262" bestFit="1" customWidth="1"/>
    <col min="32" max="32" width="13" style="262" bestFit="1" customWidth="1"/>
    <col min="33" max="33" width="10.85546875" style="262" bestFit="1" customWidth="1"/>
    <col min="34" max="34" width="11.5703125" style="262" bestFit="1" customWidth="1"/>
    <col min="35" max="35" width="9.28515625" style="262" bestFit="1" customWidth="1"/>
    <col min="36" max="36" width="12.28515625" style="262" bestFit="1" customWidth="1"/>
    <col min="37" max="37" width="10.85546875" style="262" bestFit="1" customWidth="1"/>
    <col min="38" max="38" width="11.5703125" style="262" bestFit="1" customWidth="1"/>
    <col min="39" max="39" width="9.28515625" style="262" bestFit="1" customWidth="1"/>
    <col min="40" max="40" width="12.28515625" style="262" bestFit="1" customWidth="1"/>
    <col min="41" max="41" width="6.85546875" style="262" bestFit="1" customWidth="1"/>
    <col min="42" max="42" width="13" style="262" bestFit="1" customWidth="1"/>
    <col min="43" max="43" width="10.85546875" style="262" bestFit="1" customWidth="1"/>
    <col min="44" max="44" width="11.5703125" style="262" bestFit="1" customWidth="1"/>
    <col min="45" max="45" width="9.28515625" style="262" bestFit="1" customWidth="1"/>
    <col min="46" max="46" width="12.28515625" style="262" bestFit="1" customWidth="1"/>
    <col min="47" max="47" width="10.85546875" style="262" bestFit="1" customWidth="1"/>
    <col min="48" max="48" width="11.5703125" style="262" bestFit="1" customWidth="1"/>
    <col min="49" max="49" width="9.28515625" style="262" bestFit="1" customWidth="1"/>
    <col min="50" max="50" width="12.28515625" style="262" bestFit="1" customWidth="1"/>
    <col min="51" max="51" width="5.7109375" style="262" bestFit="1" customWidth="1"/>
    <col min="52" max="52" width="11.85546875" style="262" bestFit="1" customWidth="1"/>
    <col min="53" max="53" width="10.85546875" style="262" bestFit="1" customWidth="1"/>
    <col min="54" max="54" width="11.5703125" style="262" bestFit="1" customWidth="1"/>
    <col min="55" max="55" width="9.28515625" style="262" bestFit="1" customWidth="1"/>
    <col min="56" max="56" width="12.28515625" style="262" bestFit="1" customWidth="1"/>
    <col min="57" max="57" width="10.85546875" style="262" bestFit="1" customWidth="1"/>
    <col min="58" max="58" width="11.5703125" style="262" bestFit="1" customWidth="1"/>
    <col min="59" max="59" width="9.28515625" style="262" bestFit="1" customWidth="1"/>
    <col min="60" max="60" width="12.28515625" style="262" bestFit="1" customWidth="1"/>
    <col min="61" max="61" width="5.7109375" style="262" bestFit="1" customWidth="1"/>
    <col min="62" max="62" width="10.7109375" style="262" bestFit="1" customWidth="1"/>
    <col min="63" max="63" width="10.85546875" style="262" bestFit="1" customWidth="1"/>
    <col min="64" max="64" width="11.5703125" style="262" bestFit="1" customWidth="1"/>
    <col min="65" max="65" width="9.28515625" style="262" bestFit="1" customWidth="1"/>
    <col min="66" max="66" width="13.140625" style="262" bestFit="1" customWidth="1"/>
    <col min="67" max="67" width="10.85546875" style="262" bestFit="1" customWidth="1"/>
    <col min="68" max="68" width="11.5703125" style="262" bestFit="1" customWidth="1"/>
    <col min="69" max="69" width="9.28515625" style="262" bestFit="1" customWidth="1"/>
    <col min="70" max="70" width="12.28515625" style="262" bestFit="1" customWidth="1"/>
    <col min="71" max="71" width="8" style="262" bestFit="1" customWidth="1"/>
    <col min="72" max="72" width="14.7109375" style="262" bestFit="1" customWidth="1"/>
    <col min="73" max="73" width="10.85546875" style="262" bestFit="1" customWidth="1"/>
    <col min="74" max="74" width="8.28515625" style="262" bestFit="1" customWidth="1"/>
    <col min="75" max="75" width="9.28515625" style="262" bestFit="1" customWidth="1"/>
    <col min="76" max="76" width="12.28515625" style="262" bestFit="1" customWidth="1"/>
    <col min="77" max="77" width="7.5703125" style="262" bestFit="1" customWidth="1"/>
    <col min="78" max="78" width="11.5703125" style="262" bestFit="1" customWidth="1"/>
    <col min="79" max="79" width="9.28515625" style="262" customWidth="1"/>
    <col min="80" max="80" width="13.140625" style="262" bestFit="1" customWidth="1"/>
    <col min="81" max="81" width="6.85546875" style="262" bestFit="1" customWidth="1"/>
    <col min="82" max="82" width="13" style="262" bestFit="1" customWidth="1"/>
    <col min="83" max="83" width="10.85546875" style="262" bestFit="1" customWidth="1"/>
    <col min="84" max="84" width="8.28515625" style="262" bestFit="1" customWidth="1"/>
    <col min="85" max="85" width="9.28515625" style="262" bestFit="1" customWidth="1"/>
    <col min="86" max="86" width="13.140625" style="262" bestFit="1" customWidth="1"/>
    <col min="87" max="87" width="10.85546875" style="262" bestFit="1" customWidth="1"/>
    <col min="88" max="88" width="11.5703125" style="262" bestFit="1" customWidth="1"/>
    <col min="89" max="89" width="9.28515625" style="262" bestFit="1" customWidth="1"/>
    <col min="90" max="90" width="13.140625" style="262" bestFit="1" customWidth="1"/>
    <col min="91" max="91" width="6.85546875" style="262" bestFit="1" customWidth="1"/>
    <col min="92" max="92" width="13" style="262" bestFit="1" customWidth="1"/>
    <col min="93" max="93" width="10.85546875" style="262" bestFit="1" customWidth="1"/>
    <col min="94" max="94" width="11.5703125" style="262" bestFit="1" customWidth="1"/>
    <col min="95" max="95" width="9.28515625" style="262" bestFit="1" customWidth="1"/>
    <col min="96" max="96" width="13.140625" style="262" bestFit="1" customWidth="1"/>
    <col min="97" max="97" width="10.85546875" style="262" bestFit="1" customWidth="1"/>
    <col min="98" max="98" width="11.5703125" style="262" bestFit="1" customWidth="1"/>
    <col min="99" max="99" width="9.28515625" style="262" bestFit="1" customWidth="1"/>
    <col min="100" max="100" width="13.140625" style="262" bestFit="1" customWidth="1"/>
    <col min="101" max="101" width="6.85546875" style="262" bestFit="1" customWidth="1"/>
    <col min="102" max="102" width="13" style="262" bestFit="1" customWidth="1"/>
    <col min="103" max="103" width="10.85546875" style="262" bestFit="1" customWidth="1"/>
    <col min="104" max="104" width="11.5703125" style="262" bestFit="1" customWidth="1"/>
    <col min="105" max="105" width="9.28515625" style="262" bestFit="1" customWidth="1"/>
    <col min="106" max="106" width="13.140625" style="262" bestFit="1" customWidth="1"/>
    <col min="107" max="107" width="10.85546875" style="262" bestFit="1" customWidth="1"/>
    <col min="108" max="108" width="11.5703125" style="262" bestFit="1" customWidth="1"/>
    <col min="109" max="109" width="9.28515625" style="262" bestFit="1" customWidth="1"/>
    <col min="110" max="110" width="13.140625" style="262" bestFit="1" customWidth="1"/>
    <col min="111" max="111" width="5.7109375" style="262" bestFit="1" customWidth="1"/>
    <col min="112" max="112" width="13" style="262" bestFit="1" customWidth="1"/>
    <col min="113" max="113" width="10.85546875" style="262" bestFit="1" customWidth="1"/>
    <col min="114" max="114" width="8.28515625" style="262" bestFit="1" customWidth="1"/>
    <col min="115" max="115" width="9.28515625" style="262" bestFit="1" customWidth="1"/>
    <col min="116" max="116" width="13.140625" style="262" bestFit="1" customWidth="1"/>
    <col min="117" max="117" width="7.5703125" style="262" bestFit="1" customWidth="1"/>
    <col min="118" max="118" width="8.28515625" style="262" bestFit="1" customWidth="1"/>
    <col min="119" max="119" width="9.28515625" style="262" bestFit="1" customWidth="1"/>
    <col min="120" max="120" width="12.28515625" style="262" bestFit="1" customWidth="1"/>
    <col min="121" max="121" width="5.7109375" style="262" bestFit="1" customWidth="1"/>
    <col min="122" max="122" width="11.85546875" style="262" bestFit="1" customWidth="1"/>
    <col min="123" max="123" width="10.85546875" style="262" bestFit="1" customWidth="1"/>
    <col min="124" max="124" width="8.28515625" style="262" bestFit="1" customWidth="1"/>
    <col min="125" max="125" width="9.28515625" style="262" bestFit="1" customWidth="1"/>
    <col min="126" max="126" width="12.28515625" style="262" bestFit="1" customWidth="1"/>
    <col min="127" max="127" width="7.5703125" style="262" bestFit="1" customWidth="1"/>
    <col min="128" max="128" width="8.28515625" style="262" bestFit="1" customWidth="1"/>
    <col min="129" max="129" width="9.28515625" style="262" bestFit="1" customWidth="1"/>
    <col min="130" max="130" width="12.28515625" style="262" bestFit="1" customWidth="1"/>
    <col min="131" max="131" width="5.7109375" style="262" bestFit="1" customWidth="1"/>
    <col min="132" max="132" width="10.7109375" style="262" bestFit="1" customWidth="1"/>
    <col min="133" max="133" width="10.85546875" style="262" bestFit="1" customWidth="1"/>
    <col min="134" max="134" width="11.5703125" style="262" bestFit="1" customWidth="1"/>
    <col min="135" max="135" width="9.28515625" style="262" bestFit="1" customWidth="1"/>
    <col min="136" max="136" width="13.140625" style="262" bestFit="1" customWidth="1"/>
    <col min="137" max="137" width="10.85546875" style="262" bestFit="1" customWidth="1"/>
    <col min="138" max="138" width="11.5703125" style="262" bestFit="1" customWidth="1"/>
    <col min="139" max="139" width="9.28515625" style="262" bestFit="1" customWidth="1"/>
    <col min="140" max="140" width="12.28515625" style="262" bestFit="1" customWidth="1"/>
    <col min="141" max="141" width="6.85546875" style="262" bestFit="1" customWidth="1"/>
    <col min="142" max="142" width="13" style="262" bestFit="1" customWidth="1"/>
    <col min="143" max="143" width="7.5703125" style="262" bestFit="1" customWidth="1"/>
    <col min="144" max="144" width="11.5703125" style="262" bestFit="1" customWidth="1"/>
    <col min="145" max="145" width="9.28515625" style="262" bestFit="1" customWidth="1"/>
    <col min="146" max="146" width="12.28515625" style="262" bestFit="1" customWidth="1"/>
    <col min="147" max="147" width="10.85546875" style="262" bestFit="1" customWidth="1"/>
    <col min="148" max="148" width="11.5703125" style="262" bestFit="1" customWidth="1"/>
    <col min="149" max="149" width="9.28515625" style="262" bestFit="1" customWidth="1"/>
    <col min="150" max="150" width="12.28515625" style="262" bestFit="1" customWidth="1"/>
    <col min="151" max="151" width="5.7109375" style="262" bestFit="1" customWidth="1"/>
    <col min="152" max="152" width="10.7109375" style="262" bestFit="1" customWidth="1"/>
    <col min="153" max="153" width="10.85546875" style="262" bestFit="1" customWidth="1"/>
    <col min="154" max="154" width="11.5703125" style="262" bestFit="1" customWidth="1"/>
    <col min="155" max="155" width="9.28515625" style="262" bestFit="1" customWidth="1"/>
    <col min="156" max="156" width="13.140625" style="262" bestFit="1" customWidth="1"/>
    <col min="157" max="157" width="10.85546875" style="262" bestFit="1" customWidth="1"/>
    <col min="158" max="158" width="11.5703125" style="262" bestFit="1" customWidth="1"/>
    <col min="159" max="159" width="9.28515625" style="262" bestFit="1" customWidth="1"/>
    <col min="160" max="160" width="13.140625" style="262" bestFit="1" customWidth="1"/>
    <col min="161" max="161" width="9.140625" style="262" bestFit="1" customWidth="1"/>
    <col min="162" max="162" width="15.7109375" style="262" bestFit="1" customWidth="1"/>
    <col min="163" max="163" width="10.85546875" style="262" bestFit="1" customWidth="1"/>
    <col min="164" max="164" width="8.28515625" style="262" bestFit="1" customWidth="1"/>
    <col min="165" max="165" width="9.28515625" style="262" customWidth="1"/>
    <col min="166" max="166" width="13.140625" style="262" bestFit="1" customWidth="1"/>
    <col min="167" max="167" width="10.85546875" style="262" bestFit="1" customWidth="1"/>
    <col min="168" max="168" width="11.5703125" style="262" bestFit="1" customWidth="1"/>
    <col min="169" max="169" width="9.28515625" style="262" bestFit="1" customWidth="1"/>
    <col min="170" max="171" width="12.28515625" style="262" bestFit="1" customWidth="1"/>
    <col min="172" max="172" width="13" style="262" bestFit="1" customWidth="1"/>
    <col min="173" max="173" width="10.85546875" style="262" bestFit="1" customWidth="1"/>
    <col min="174" max="174" width="11.5703125" style="262" bestFit="1" customWidth="1"/>
    <col min="175" max="175" width="9.28515625" style="262" bestFit="1" customWidth="1"/>
    <col min="176" max="176" width="13.140625" style="262" bestFit="1" customWidth="1"/>
    <col min="177" max="177" width="10.85546875" style="262" bestFit="1" customWidth="1"/>
    <col min="178" max="178" width="11.5703125" style="262" bestFit="1" customWidth="1"/>
    <col min="179" max="179" width="9.28515625" style="262" bestFit="1" customWidth="1"/>
    <col min="180" max="180" width="13.140625" style="262" bestFit="1" customWidth="1"/>
    <col min="181" max="181" width="9.140625" style="262" bestFit="1" customWidth="1"/>
    <col min="182" max="182" width="10.85546875" style="262" bestFit="1" customWidth="1"/>
    <col min="183" max="183" width="11.5703125" style="262" bestFit="1" customWidth="1"/>
    <col min="184" max="184" width="9.28515625" style="262" bestFit="1" customWidth="1"/>
    <col min="185" max="185" width="13.140625" style="262" bestFit="1" customWidth="1"/>
    <col min="186" max="186" width="15.7109375" style="262" bestFit="1" customWidth="1"/>
    <col min="187" max="188" width="18" style="262" customWidth="1"/>
    <col min="189" max="190" width="17" style="262" customWidth="1"/>
    <col min="191" max="191" width="15.28515625" style="262" bestFit="1" customWidth="1"/>
    <col min="192" max="194" width="15.28515625" style="262" hidden="1" customWidth="1"/>
    <col min="195" max="195" width="16.42578125" style="262" hidden="1" customWidth="1"/>
    <col min="196" max="196" width="11.140625" style="262" hidden="1" customWidth="1"/>
    <col min="197" max="197" width="16.42578125" style="262" bestFit="1" customWidth="1"/>
    <col min="198" max="198" width="13.5703125" style="262" bestFit="1" customWidth="1"/>
    <col min="199" max="199" width="9.42578125" style="262" bestFit="1" customWidth="1"/>
    <col min="200" max="200" width="16.140625" style="262" bestFit="1" customWidth="1"/>
    <col min="201" max="201" width="15.7109375" style="262" bestFit="1" customWidth="1"/>
    <col min="202" max="202" width="11.28515625" style="262"/>
    <col min="203" max="203" width="14.5703125" style="262" bestFit="1" customWidth="1"/>
    <col min="204" max="204" width="11.28515625" style="262"/>
    <col min="205" max="207" width="16.140625" style="262" bestFit="1" customWidth="1"/>
    <col min="208" max="208" width="11.28515625" style="262"/>
    <col min="209" max="211" width="12.28515625" style="262" bestFit="1" customWidth="1"/>
    <col min="212" max="16384" width="11.28515625" style="262"/>
  </cols>
  <sheetData>
    <row r="1" spans="1:211" s="234" customFormat="1" ht="66.75" customHeight="1" x14ac:dyDescent="0.2">
      <c r="C1" s="659" t="s">
        <v>295</v>
      </c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59"/>
      <c r="O1" s="659"/>
      <c r="P1" s="659"/>
      <c r="Q1" s="659"/>
      <c r="DI1" s="235"/>
    </row>
    <row r="2" spans="1:211" s="236" customFormat="1" ht="63" customHeight="1" x14ac:dyDescent="0.2">
      <c r="A2" s="654" t="s">
        <v>24</v>
      </c>
      <c r="B2" s="655" t="s">
        <v>70</v>
      </c>
      <c r="C2" s="654" t="s">
        <v>161</v>
      </c>
      <c r="D2" s="654"/>
      <c r="E2" s="654"/>
      <c r="F2" s="654"/>
      <c r="G2" s="654"/>
      <c r="H2" s="654"/>
      <c r="I2" s="654"/>
      <c r="J2" s="654"/>
      <c r="K2" s="654"/>
      <c r="L2" s="654"/>
      <c r="M2" s="654" t="s">
        <v>162</v>
      </c>
      <c r="N2" s="654"/>
      <c r="O2" s="654"/>
      <c r="P2" s="654"/>
      <c r="Q2" s="654"/>
      <c r="R2" s="654"/>
      <c r="S2" s="654"/>
      <c r="T2" s="654"/>
      <c r="U2" s="654"/>
      <c r="V2" s="654"/>
      <c r="W2" s="654" t="s">
        <v>163</v>
      </c>
      <c r="X2" s="654"/>
      <c r="Y2" s="654"/>
      <c r="Z2" s="654"/>
      <c r="AA2" s="654"/>
      <c r="AB2" s="654"/>
      <c r="AC2" s="654"/>
      <c r="AD2" s="654"/>
      <c r="AE2" s="654"/>
      <c r="AF2" s="654"/>
      <c r="AG2" s="654" t="s">
        <v>164</v>
      </c>
      <c r="AH2" s="654"/>
      <c r="AI2" s="654"/>
      <c r="AJ2" s="654"/>
      <c r="AK2" s="654"/>
      <c r="AL2" s="654"/>
      <c r="AM2" s="654"/>
      <c r="AN2" s="654"/>
      <c r="AO2" s="654"/>
      <c r="AP2" s="654"/>
      <c r="AQ2" s="654" t="s">
        <v>165</v>
      </c>
      <c r="AR2" s="654"/>
      <c r="AS2" s="654"/>
      <c r="AT2" s="654"/>
      <c r="AU2" s="654"/>
      <c r="AV2" s="654"/>
      <c r="AW2" s="654"/>
      <c r="AX2" s="654"/>
      <c r="AY2" s="654"/>
      <c r="AZ2" s="654"/>
      <c r="BA2" s="654" t="s">
        <v>166</v>
      </c>
      <c r="BB2" s="654"/>
      <c r="BC2" s="654"/>
      <c r="BD2" s="654"/>
      <c r="BE2" s="654"/>
      <c r="BF2" s="654"/>
      <c r="BG2" s="654"/>
      <c r="BH2" s="654"/>
      <c r="BI2" s="654"/>
      <c r="BJ2" s="654"/>
      <c r="BK2" s="654" t="s">
        <v>167</v>
      </c>
      <c r="BL2" s="654"/>
      <c r="BM2" s="654"/>
      <c r="BN2" s="654"/>
      <c r="BO2" s="654"/>
      <c r="BP2" s="654"/>
      <c r="BQ2" s="654"/>
      <c r="BR2" s="654"/>
      <c r="BS2" s="654"/>
      <c r="BT2" s="654"/>
      <c r="BU2" s="654" t="s">
        <v>168</v>
      </c>
      <c r="BV2" s="654"/>
      <c r="BW2" s="654"/>
      <c r="BX2" s="654"/>
      <c r="BY2" s="654"/>
      <c r="BZ2" s="654"/>
      <c r="CA2" s="654"/>
      <c r="CB2" s="654"/>
      <c r="CC2" s="654"/>
      <c r="CD2" s="654"/>
      <c r="CE2" s="654" t="s">
        <v>169</v>
      </c>
      <c r="CF2" s="654"/>
      <c r="CG2" s="654"/>
      <c r="CH2" s="654"/>
      <c r="CI2" s="654"/>
      <c r="CJ2" s="654"/>
      <c r="CK2" s="654"/>
      <c r="CL2" s="654"/>
      <c r="CM2" s="654"/>
      <c r="CN2" s="654"/>
      <c r="CO2" s="654" t="s">
        <v>170</v>
      </c>
      <c r="CP2" s="654"/>
      <c r="CQ2" s="654"/>
      <c r="CR2" s="654"/>
      <c r="CS2" s="654"/>
      <c r="CT2" s="654"/>
      <c r="CU2" s="654"/>
      <c r="CV2" s="654"/>
      <c r="CW2" s="654"/>
      <c r="CX2" s="654"/>
      <c r="CY2" s="654" t="s">
        <v>171</v>
      </c>
      <c r="CZ2" s="654"/>
      <c r="DA2" s="654"/>
      <c r="DB2" s="654"/>
      <c r="DC2" s="654"/>
      <c r="DD2" s="654"/>
      <c r="DE2" s="654"/>
      <c r="DF2" s="654"/>
      <c r="DG2" s="654"/>
      <c r="DH2" s="654"/>
      <c r="DI2" s="654" t="s">
        <v>172</v>
      </c>
      <c r="DJ2" s="654"/>
      <c r="DK2" s="654"/>
      <c r="DL2" s="654"/>
      <c r="DM2" s="654"/>
      <c r="DN2" s="654"/>
      <c r="DO2" s="654"/>
      <c r="DP2" s="654"/>
      <c r="DQ2" s="654"/>
      <c r="DR2" s="654"/>
      <c r="DS2" s="654" t="s">
        <v>173</v>
      </c>
      <c r="DT2" s="654"/>
      <c r="DU2" s="654"/>
      <c r="DV2" s="654"/>
      <c r="DW2" s="654"/>
      <c r="DX2" s="654"/>
      <c r="DY2" s="654"/>
      <c r="DZ2" s="654"/>
      <c r="EA2" s="654"/>
      <c r="EB2" s="654"/>
      <c r="EC2" s="654" t="s">
        <v>174</v>
      </c>
      <c r="ED2" s="654"/>
      <c r="EE2" s="654"/>
      <c r="EF2" s="654"/>
      <c r="EG2" s="654"/>
      <c r="EH2" s="654"/>
      <c r="EI2" s="654"/>
      <c r="EJ2" s="654"/>
      <c r="EK2" s="654"/>
      <c r="EL2" s="654"/>
      <c r="EM2" s="654" t="s">
        <v>175</v>
      </c>
      <c r="EN2" s="654"/>
      <c r="EO2" s="654"/>
      <c r="EP2" s="654"/>
      <c r="EQ2" s="654"/>
      <c r="ER2" s="654"/>
      <c r="ES2" s="654"/>
      <c r="ET2" s="654"/>
      <c r="EU2" s="654"/>
      <c r="EV2" s="654"/>
      <c r="EW2" s="660" t="s">
        <v>176</v>
      </c>
      <c r="EX2" s="660"/>
      <c r="EY2" s="660"/>
      <c r="EZ2" s="660"/>
      <c r="FA2" s="660"/>
      <c r="FB2" s="660"/>
      <c r="FC2" s="660"/>
      <c r="FD2" s="660"/>
      <c r="FE2" s="660"/>
      <c r="FF2" s="660"/>
      <c r="FG2" s="654" t="s">
        <v>177</v>
      </c>
      <c r="FH2" s="654"/>
      <c r="FI2" s="654"/>
      <c r="FJ2" s="654"/>
      <c r="FK2" s="654"/>
      <c r="FL2" s="654"/>
      <c r="FM2" s="654"/>
      <c r="FN2" s="654"/>
      <c r="FO2" s="654"/>
      <c r="FP2" s="654"/>
      <c r="FQ2" s="654" t="s">
        <v>178</v>
      </c>
      <c r="FR2" s="654"/>
      <c r="FS2" s="654"/>
      <c r="FT2" s="654"/>
      <c r="FU2" s="654"/>
      <c r="FV2" s="654"/>
      <c r="FW2" s="654"/>
      <c r="FX2" s="654"/>
      <c r="FY2" s="654"/>
      <c r="FZ2" s="654"/>
      <c r="GA2" s="654"/>
      <c r="GB2" s="654"/>
      <c r="GC2" s="654"/>
      <c r="GD2" s="654"/>
      <c r="GE2" s="657" t="s">
        <v>179</v>
      </c>
      <c r="GF2" s="657" t="s">
        <v>296</v>
      </c>
      <c r="GG2" s="654" t="s">
        <v>288</v>
      </c>
      <c r="GH2" s="654" t="s">
        <v>304</v>
      </c>
      <c r="GI2" s="661" t="s">
        <v>284</v>
      </c>
      <c r="GJ2" s="661" t="s">
        <v>312</v>
      </c>
      <c r="GK2" s="661" t="s">
        <v>308</v>
      </c>
      <c r="GL2" s="661" t="s">
        <v>310</v>
      </c>
      <c r="GM2" s="654" t="s">
        <v>299</v>
      </c>
      <c r="GN2" s="664"/>
      <c r="GO2" s="654" t="s">
        <v>299</v>
      </c>
      <c r="GP2" s="664"/>
      <c r="GQ2" s="665" t="s">
        <v>300</v>
      </c>
      <c r="GR2" s="665"/>
      <c r="GS2" s="654" t="s">
        <v>303</v>
      </c>
      <c r="GT2" s="654" t="s">
        <v>301</v>
      </c>
      <c r="GU2" s="654" t="s">
        <v>302</v>
      </c>
    </row>
    <row r="3" spans="1:211" s="238" customFormat="1" ht="26.45" customHeight="1" x14ac:dyDescent="0.2">
      <c r="A3" s="654"/>
      <c r="B3" s="654"/>
      <c r="C3" s="656" t="s">
        <v>180</v>
      </c>
      <c r="D3" s="656"/>
      <c r="E3" s="656"/>
      <c r="F3" s="656"/>
      <c r="G3" s="656" t="s">
        <v>181</v>
      </c>
      <c r="H3" s="656"/>
      <c r="I3" s="656"/>
      <c r="J3" s="656"/>
      <c r="K3" s="656" t="s">
        <v>182</v>
      </c>
      <c r="L3" s="657" t="s">
        <v>183</v>
      </c>
      <c r="M3" s="656" t="s">
        <v>180</v>
      </c>
      <c r="N3" s="656"/>
      <c r="O3" s="656"/>
      <c r="P3" s="656"/>
      <c r="Q3" s="656" t="s">
        <v>181</v>
      </c>
      <c r="R3" s="656"/>
      <c r="S3" s="656"/>
      <c r="T3" s="656"/>
      <c r="U3" s="656" t="s">
        <v>182</v>
      </c>
      <c r="V3" s="657" t="s">
        <v>183</v>
      </c>
      <c r="W3" s="656" t="s">
        <v>180</v>
      </c>
      <c r="X3" s="656"/>
      <c r="Y3" s="656"/>
      <c r="Z3" s="656"/>
      <c r="AA3" s="656" t="s">
        <v>181</v>
      </c>
      <c r="AB3" s="656"/>
      <c r="AC3" s="656"/>
      <c r="AD3" s="656"/>
      <c r="AE3" s="656" t="s">
        <v>182</v>
      </c>
      <c r="AF3" s="657" t="s">
        <v>183</v>
      </c>
      <c r="AG3" s="656" t="s">
        <v>180</v>
      </c>
      <c r="AH3" s="656"/>
      <c r="AI3" s="656"/>
      <c r="AJ3" s="656"/>
      <c r="AK3" s="656" t="s">
        <v>181</v>
      </c>
      <c r="AL3" s="656"/>
      <c r="AM3" s="656"/>
      <c r="AN3" s="656"/>
      <c r="AO3" s="656" t="s">
        <v>182</v>
      </c>
      <c r="AP3" s="657" t="s">
        <v>183</v>
      </c>
      <c r="AQ3" s="656" t="s">
        <v>180</v>
      </c>
      <c r="AR3" s="656"/>
      <c r="AS3" s="656"/>
      <c r="AT3" s="656"/>
      <c r="AU3" s="656" t="s">
        <v>181</v>
      </c>
      <c r="AV3" s="656"/>
      <c r="AW3" s="656"/>
      <c r="AX3" s="656"/>
      <c r="AY3" s="656" t="s">
        <v>182</v>
      </c>
      <c r="AZ3" s="657" t="s">
        <v>183</v>
      </c>
      <c r="BA3" s="656" t="s">
        <v>180</v>
      </c>
      <c r="BB3" s="656"/>
      <c r="BC3" s="656"/>
      <c r="BD3" s="656"/>
      <c r="BE3" s="656" t="s">
        <v>181</v>
      </c>
      <c r="BF3" s="656"/>
      <c r="BG3" s="656"/>
      <c r="BH3" s="656"/>
      <c r="BI3" s="656" t="s">
        <v>182</v>
      </c>
      <c r="BJ3" s="657" t="s">
        <v>183</v>
      </c>
      <c r="BK3" s="656" t="s">
        <v>180</v>
      </c>
      <c r="BL3" s="656"/>
      <c r="BM3" s="656"/>
      <c r="BN3" s="656"/>
      <c r="BO3" s="656" t="s">
        <v>181</v>
      </c>
      <c r="BP3" s="656"/>
      <c r="BQ3" s="656"/>
      <c r="BR3" s="656"/>
      <c r="BS3" s="656" t="s">
        <v>182</v>
      </c>
      <c r="BT3" s="657" t="s">
        <v>183</v>
      </c>
      <c r="BU3" s="656" t="s">
        <v>180</v>
      </c>
      <c r="BV3" s="656"/>
      <c r="BW3" s="656"/>
      <c r="BX3" s="656"/>
      <c r="BY3" s="656" t="s">
        <v>181</v>
      </c>
      <c r="BZ3" s="656"/>
      <c r="CA3" s="656"/>
      <c r="CB3" s="656"/>
      <c r="CC3" s="656" t="s">
        <v>182</v>
      </c>
      <c r="CD3" s="657" t="s">
        <v>183</v>
      </c>
      <c r="CE3" s="656" t="s">
        <v>180</v>
      </c>
      <c r="CF3" s="656"/>
      <c r="CG3" s="656"/>
      <c r="CH3" s="656"/>
      <c r="CI3" s="656" t="s">
        <v>181</v>
      </c>
      <c r="CJ3" s="656"/>
      <c r="CK3" s="656"/>
      <c r="CL3" s="656"/>
      <c r="CM3" s="656" t="s">
        <v>182</v>
      </c>
      <c r="CN3" s="657" t="s">
        <v>183</v>
      </c>
      <c r="CO3" s="656" t="s">
        <v>180</v>
      </c>
      <c r="CP3" s="656"/>
      <c r="CQ3" s="656"/>
      <c r="CR3" s="656"/>
      <c r="CS3" s="656" t="s">
        <v>181</v>
      </c>
      <c r="CT3" s="656"/>
      <c r="CU3" s="656"/>
      <c r="CV3" s="656"/>
      <c r="CW3" s="656" t="s">
        <v>182</v>
      </c>
      <c r="CX3" s="657" t="s">
        <v>183</v>
      </c>
      <c r="CY3" s="656" t="s">
        <v>180</v>
      </c>
      <c r="CZ3" s="656"/>
      <c r="DA3" s="656"/>
      <c r="DB3" s="656"/>
      <c r="DC3" s="656" t="s">
        <v>181</v>
      </c>
      <c r="DD3" s="656"/>
      <c r="DE3" s="656"/>
      <c r="DF3" s="656"/>
      <c r="DG3" s="656" t="s">
        <v>182</v>
      </c>
      <c r="DH3" s="657" t="s">
        <v>183</v>
      </c>
      <c r="DI3" s="656" t="s">
        <v>180</v>
      </c>
      <c r="DJ3" s="656"/>
      <c r="DK3" s="656"/>
      <c r="DL3" s="656"/>
      <c r="DM3" s="656" t="s">
        <v>181</v>
      </c>
      <c r="DN3" s="656"/>
      <c r="DO3" s="656"/>
      <c r="DP3" s="656"/>
      <c r="DQ3" s="656" t="s">
        <v>182</v>
      </c>
      <c r="DR3" s="657" t="s">
        <v>183</v>
      </c>
      <c r="DS3" s="656" t="s">
        <v>180</v>
      </c>
      <c r="DT3" s="656"/>
      <c r="DU3" s="656"/>
      <c r="DV3" s="656"/>
      <c r="DW3" s="656" t="s">
        <v>181</v>
      </c>
      <c r="DX3" s="656"/>
      <c r="DY3" s="656"/>
      <c r="DZ3" s="656"/>
      <c r="EA3" s="656" t="s">
        <v>182</v>
      </c>
      <c r="EB3" s="657" t="s">
        <v>183</v>
      </c>
      <c r="EC3" s="656" t="s">
        <v>180</v>
      </c>
      <c r="ED3" s="656"/>
      <c r="EE3" s="656"/>
      <c r="EF3" s="656"/>
      <c r="EG3" s="656" t="s">
        <v>181</v>
      </c>
      <c r="EH3" s="656"/>
      <c r="EI3" s="656"/>
      <c r="EJ3" s="656"/>
      <c r="EK3" s="656" t="s">
        <v>182</v>
      </c>
      <c r="EL3" s="657" t="s">
        <v>183</v>
      </c>
      <c r="EM3" s="656" t="s">
        <v>180</v>
      </c>
      <c r="EN3" s="656"/>
      <c r="EO3" s="656"/>
      <c r="EP3" s="656"/>
      <c r="EQ3" s="656" t="s">
        <v>181</v>
      </c>
      <c r="ER3" s="656"/>
      <c r="ES3" s="656"/>
      <c r="ET3" s="656"/>
      <c r="EU3" s="656" t="s">
        <v>182</v>
      </c>
      <c r="EV3" s="657" t="s">
        <v>183</v>
      </c>
      <c r="EW3" s="656" t="s">
        <v>180</v>
      </c>
      <c r="EX3" s="656"/>
      <c r="EY3" s="656"/>
      <c r="EZ3" s="656"/>
      <c r="FA3" s="656" t="s">
        <v>181</v>
      </c>
      <c r="FB3" s="656"/>
      <c r="FC3" s="656"/>
      <c r="FD3" s="656"/>
      <c r="FE3" s="658" t="s">
        <v>49</v>
      </c>
      <c r="FF3" s="237" t="s">
        <v>184</v>
      </c>
      <c r="FG3" s="656" t="s">
        <v>180</v>
      </c>
      <c r="FH3" s="656"/>
      <c r="FI3" s="656"/>
      <c r="FJ3" s="656"/>
      <c r="FK3" s="656" t="s">
        <v>181</v>
      </c>
      <c r="FL3" s="656"/>
      <c r="FM3" s="656"/>
      <c r="FN3" s="656"/>
      <c r="FO3" s="657" t="s">
        <v>185</v>
      </c>
      <c r="FP3" s="657" t="s">
        <v>184</v>
      </c>
      <c r="FQ3" s="656" t="s">
        <v>180</v>
      </c>
      <c r="FR3" s="656"/>
      <c r="FS3" s="656"/>
      <c r="FT3" s="656"/>
      <c r="FU3" s="656" t="s">
        <v>181</v>
      </c>
      <c r="FV3" s="656"/>
      <c r="FW3" s="656"/>
      <c r="FX3" s="656"/>
      <c r="FY3" s="656" t="s">
        <v>182</v>
      </c>
      <c r="FZ3" s="656" t="s">
        <v>51</v>
      </c>
      <c r="GA3" s="656"/>
      <c r="GB3" s="656"/>
      <c r="GC3" s="656"/>
      <c r="GD3" s="657" t="s">
        <v>183</v>
      </c>
      <c r="GE3" s="657"/>
      <c r="GF3" s="657"/>
      <c r="GG3" s="654"/>
      <c r="GH3" s="654"/>
      <c r="GI3" s="662"/>
      <c r="GJ3" s="662"/>
      <c r="GK3" s="662"/>
      <c r="GL3" s="662"/>
      <c r="GM3" s="664"/>
      <c r="GN3" s="664"/>
      <c r="GO3" s="664"/>
      <c r="GP3" s="664"/>
      <c r="GQ3" s="666"/>
      <c r="GR3" s="666"/>
      <c r="GS3" s="654"/>
      <c r="GT3" s="654"/>
      <c r="GU3" s="654"/>
    </row>
    <row r="4" spans="1:211" s="241" customFormat="1" ht="39" customHeight="1" x14ac:dyDescent="0.2">
      <c r="A4" s="654"/>
      <c r="B4" s="654"/>
      <c r="C4" s="239" t="s">
        <v>145</v>
      </c>
      <c r="D4" s="240" t="s">
        <v>146</v>
      </c>
      <c r="E4" s="240" t="s">
        <v>147</v>
      </c>
      <c r="F4" s="240" t="s">
        <v>148</v>
      </c>
      <c r="G4" s="239" t="s">
        <v>145</v>
      </c>
      <c r="H4" s="240" t="s">
        <v>146</v>
      </c>
      <c r="I4" s="240" t="s">
        <v>147</v>
      </c>
      <c r="J4" s="240" t="s">
        <v>148</v>
      </c>
      <c r="K4" s="656"/>
      <c r="L4" s="657"/>
      <c r="M4" s="239" t="s">
        <v>145</v>
      </c>
      <c r="N4" s="240" t="s">
        <v>146</v>
      </c>
      <c r="O4" s="240" t="s">
        <v>147</v>
      </c>
      <c r="P4" s="240" t="s">
        <v>148</v>
      </c>
      <c r="Q4" s="239" t="s">
        <v>145</v>
      </c>
      <c r="R4" s="240" t="s">
        <v>146</v>
      </c>
      <c r="S4" s="240" t="s">
        <v>147</v>
      </c>
      <c r="T4" s="240" t="s">
        <v>148</v>
      </c>
      <c r="U4" s="656"/>
      <c r="V4" s="657"/>
      <c r="W4" s="239" t="s">
        <v>145</v>
      </c>
      <c r="X4" s="240" t="s">
        <v>146</v>
      </c>
      <c r="Y4" s="240" t="s">
        <v>147</v>
      </c>
      <c r="Z4" s="240" t="s">
        <v>148</v>
      </c>
      <c r="AA4" s="239" t="s">
        <v>145</v>
      </c>
      <c r="AB4" s="240" t="s">
        <v>146</v>
      </c>
      <c r="AC4" s="240" t="s">
        <v>147</v>
      </c>
      <c r="AD4" s="240" t="s">
        <v>148</v>
      </c>
      <c r="AE4" s="656"/>
      <c r="AF4" s="657"/>
      <c r="AG4" s="239" t="s">
        <v>145</v>
      </c>
      <c r="AH4" s="240" t="s">
        <v>146</v>
      </c>
      <c r="AI4" s="240" t="s">
        <v>147</v>
      </c>
      <c r="AJ4" s="240" t="s">
        <v>148</v>
      </c>
      <c r="AK4" s="239" t="s">
        <v>145</v>
      </c>
      <c r="AL4" s="240" t="s">
        <v>146</v>
      </c>
      <c r="AM4" s="240" t="s">
        <v>147</v>
      </c>
      <c r="AN4" s="240" t="s">
        <v>148</v>
      </c>
      <c r="AO4" s="656"/>
      <c r="AP4" s="657"/>
      <c r="AQ4" s="239" t="s">
        <v>145</v>
      </c>
      <c r="AR4" s="240" t="s">
        <v>146</v>
      </c>
      <c r="AS4" s="240" t="s">
        <v>147</v>
      </c>
      <c r="AT4" s="240" t="s">
        <v>148</v>
      </c>
      <c r="AU4" s="239" t="s">
        <v>145</v>
      </c>
      <c r="AV4" s="240" t="s">
        <v>146</v>
      </c>
      <c r="AW4" s="240" t="s">
        <v>147</v>
      </c>
      <c r="AX4" s="240" t="s">
        <v>148</v>
      </c>
      <c r="AY4" s="656"/>
      <c r="AZ4" s="657"/>
      <c r="BA4" s="239" t="s">
        <v>145</v>
      </c>
      <c r="BB4" s="240" t="s">
        <v>146</v>
      </c>
      <c r="BC4" s="240" t="s">
        <v>147</v>
      </c>
      <c r="BD4" s="240" t="s">
        <v>148</v>
      </c>
      <c r="BE4" s="239" t="s">
        <v>145</v>
      </c>
      <c r="BF4" s="240" t="s">
        <v>146</v>
      </c>
      <c r="BG4" s="240" t="s">
        <v>147</v>
      </c>
      <c r="BH4" s="240" t="s">
        <v>148</v>
      </c>
      <c r="BI4" s="656"/>
      <c r="BJ4" s="657"/>
      <c r="BK4" s="239" t="s">
        <v>145</v>
      </c>
      <c r="BL4" s="240" t="s">
        <v>146</v>
      </c>
      <c r="BM4" s="240" t="s">
        <v>147</v>
      </c>
      <c r="BN4" s="240" t="s">
        <v>148</v>
      </c>
      <c r="BO4" s="239" t="s">
        <v>145</v>
      </c>
      <c r="BP4" s="240" t="s">
        <v>146</v>
      </c>
      <c r="BQ4" s="240" t="s">
        <v>147</v>
      </c>
      <c r="BR4" s="240" t="s">
        <v>148</v>
      </c>
      <c r="BS4" s="656"/>
      <c r="BT4" s="657"/>
      <c r="BU4" s="239" t="s">
        <v>145</v>
      </c>
      <c r="BV4" s="240" t="s">
        <v>146</v>
      </c>
      <c r="BW4" s="240" t="s">
        <v>147</v>
      </c>
      <c r="BX4" s="240" t="s">
        <v>148</v>
      </c>
      <c r="BY4" s="239" t="s">
        <v>145</v>
      </c>
      <c r="BZ4" s="240" t="s">
        <v>146</v>
      </c>
      <c r="CA4" s="240" t="s">
        <v>147</v>
      </c>
      <c r="CB4" s="240" t="s">
        <v>148</v>
      </c>
      <c r="CC4" s="656"/>
      <c r="CD4" s="657"/>
      <c r="CE4" s="239" t="s">
        <v>145</v>
      </c>
      <c r="CF4" s="240" t="s">
        <v>146</v>
      </c>
      <c r="CG4" s="240" t="s">
        <v>147</v>
      </c>
      <c r="CH4" s="240" t="s">
        <v>148</v>
      </c>
      <c r="CI4" s="239" t="s">
        <v>145</v>
      </c>
      <c r="CJ4" s="240" t="s">
        <v>146</v>
      </c>
      <c r="CK4" s="240" t="s">
        <v>147</v>
      </c>
      <c r="CL4" s="240" t="s">
        <v>148</v>
      </c>
      <c r="CM4" s="656"/>
      <c r="CN4" s="657"/>
      <c r="CO4" s="239" t="s">
        <v>145</v>
      </c>
      <c r="CP4" s="240" t="s">
        <v>146</v>
      </c>
      <c r="CQ4" s="240" t="s">
        <v>147</v>
      </c>
      <c r="CR4" s="240" t="s">
        <v>148</v>
      </c>
      <c r="CS4" s="239" t="s">
        <v>145</v>
      </c>
      <c r="CT4" s="240" t="s">
        <v>146</v>
      </c>
      <c r="CU4" s="240" t="s">
        <v>147</v>
      </c>
      <c r="CV4" s="240" t="s">
        <v>148</v>
      </c>
      <c r="CW4" s="656"/>
      <c r="CX4" s="657"/>
      <c r="CY4" s="239" t="s">
        <v>145</v>
      </c>
      <c r="CZ4" s="240" t="s">
        <v>146</v>
      </c>
      <c r="DA4" s="240" t="s">
        <v>147</v>
      </c>
      <c r="DB4" s="240" t="s">
        <v>148</v>
      </c>
      <c r="DC4" s="239" t="s">
        <v>145</v>
      </c>
      <c r="DD4" s="240" t="s">
        <v>146</v>
      </c>
      <c r="DE4" s="240" t="s">
        <v>147</v>
      </c>
      <c r="DF4" s="240" t="s">
        <v>148</v>
      </c>
      <c r="DG4" s="656"/>
      <c r="DH4" s="657"/>
      <c r="DI4" s="239" t="s">
        <v>145</v>
      </c>
      <c r="DJ4" s="240" t="s">
        <v>146</v>
      </c>
      <c r="DK4" s="240" t="s">
        <v>147</v>
      </c>
      <c r="DL4" s="240" t="s">
        <v>148</v>
      </c>
      <c r="DM4" s="239" t="s">
        <v>145</v>
      </c>
      <c r="DN4" s="240" t="s">
        <v>146</v>
      </c>
      <c r="DO4" s="240" t="s">
        <v>147</v>
      </c>
      <c r="DP4" s="240" t="s">
        <v>148</v>
      </c>
      <c r="DQ4" s="656"/>
      <c r="DR4" s="657"/>
      <c r="DS4" s="239" t="s">
        <v>145</v>
      </c>
      <c r="DT4" s="240" t="s">
        <v>146</v>
      </c>
      <c r="DU4" s="240" t="s">
        <v>147</v>
      </c>
      <c r="DV4" s="240" t="s">
        <v>148</v>
      </c>
      <c r="DW4" s="239" t="s">
        <v>145</v>
      </c>
      <c r="DX4" s="240" t="s">
        <v>146</v>
      </c>
      <c r="DY4" s="240" t="s">
        <v>147</v>
      </c>
      <c r="DZ4" s="240" t="s">
        <v>148</v>
      </c>
      <c r="EA4" s="656"/>
      <c r="EB4" s="657"/>
      <c r="EC4" s="239" t="s">
        <v>145</v>
      </c>
      <c r="ED4" s="240" t="s">
        <v>146</v>
      </c>
      <c r="EE4" s="240" t="s">
        <v>147</v>
      </c>
      <c r="EF4" s="240" t="s">
        <v>148</v>
      </c>
      <c r="EG4" s="239" t="s">
        <v>145</v>
      </c>
      <c r="EH4" s="240" t="s">
        <v>146</v>
      </c>
      <c r="EI4" s="240" t="s">
        <v>147</v>
      </c>
      <c r="EJ4" s="240" t="s">
        <v>148</v>
      </c>
      <c r="EK4" s="656"/>
      <c r="EL4" s="657"/>
      <c r="EM4" s="239" t="s">
        <v>145</v>
      </c>
      <c r="EN4" s="240" t="s">
        <v>146</v>
      </c>
      <c r="EO4" s="240" t="s">
        <v>147</v>
      </c>
      <c r="EP4" s="240" t="s">
        <v>148</v>
      </c>
      <c r="EQ4" s="239" t="s">
        <v>145</v>
      </c>
      <c r="ER4" s="240" t="s">
        <v>146</v>
      </c>
      <c r="ES4" s="240" t="s">
        <v>147</v>
      </c>
      <c r="ET4" s="240" t="s">
        <v>148</v>
      </c>
      <c r="EU4" s="656"/>
      <c r="EV4" s="657"/>
      <c r="EW4" s="239" t="s">
        <v>145</v>
      </c>
      <c r="EX4" s="240" t="s">
        <v>146</v>
      </c>
      <c r="EY4" s="240" t="s">
        <v>147</v>
      </c>
      <c r="EZ4" s="240" t="s">
        <v>148</v>
      </c>
      <c r="FA4" s="239" t="s">
        <v>145</v>
      </c>
      <c r="FB4" s="240" t="s">
        <v>146</v>
      </c>
      <c r="FC4" s="240" t="s">
        <v>147</v>
      </c>
      <c r="FD4" s="240" t="s">
        <v>148</v>
      </c>
      <c r="FE4" s="658"/>
      <c r="FF4" s="240"/>
      <c r="FG4" s="239" t="s">
        <v>145</v>
      </c>
      <c r="FH4" s="240" t="s">
        <v>146</v>
      </c>
      <c r="FI4" s="240" t="s">
        <v>147</v>
      </c>
      <c r="FJ4" s="240" t="s">
        <v>148</v>
      </c>
      <c r="FK4" s="239" t="s">
        <v>145</v>
      </c>
      <c r="FL4" s="240" t="s">
        <v>146</v>
      </c>
      <c r="FM4" s="240" t="s">
        <v>147</v>
      </c>
      <c r="FN4" s="240" t="s">
        <v>148</v>
      </c>
      <c r="FO4" s="657"/>
      <c r="FP4" s="657"/>
      <c r="FQ4" s="239" t="s">
        <v>145</v>
      </c>
      <c r="FR4" s="240" t="s">
        <v>146</v>
      </c>
      <c r="FS4" s="240" t="s">
        <v>147</v>
      </c>
      <c r="FT4" s="240" t="s">
        <v>148</v>
      </c>
      <c r="FU4" s="239" t="s">
        <v>145</v>
      </c>
      <c r="FV4" s="240" t="s">
        <v>146</v>
      </c>
      <c r="FW4" s="240" t="s">
        <v>147</v>
      </c>
      <c r="FX4" s="240" t="s">
        <v>148</v>
      </c>
      <c r="FY4" s="656"/>
      <c r="FZ4" s="239" t="s">
        <v>145</v>
      </c>
      <c r="GA4" s="240" t="s">
        <v>146</v>
      </c>
      <c r="GB4" s="240" t="s">
        <v>147</v>
      </c>
      <c r="GC4" s="240" t="s">
        <v>148</v>
      </c>
      <c r="GD4" s="657"/>
      <c r="GE4" s="657"/>
      <c r="GF4" s="657"/>
      <c r="GG4" s="654"/>
      <c r="GH4" s="654"/>
      <c r="GI4" s="663"/>
      <c r="GJ4" s="663"/>
      <c r="GK4" s="663"/>
      <c r="GL4" s="663"/>
      <c r="GM4" s="292" t="s">
        <v>183</v>
      </c>
      <c r="GN4" s="292" t="s">
        <v>215</v>
      </c>
      <c r="GO4" s="292" t="s">
        <v>183</v>
      </c>
      <c r="GP4" s="292" t="s">
        <v>215</v>
      </c>
      <c r="GQ4" s="297" t="s">
        <v>215</v>
      </c>
      <c r="GR4" s="297" t="s">
        <v>183</v>
      </c>
      <c r="GS4" s="654"/>
      <c r="GT4" s="654"/>
      <c r="GU4" s="654"/>
      <c r="GW4" s="496"/>
      <c r="GX4" s="627"/>
      <c r="GY4" s="628"/>
      <c r="GZ4" s="2"/>
      <c r="HA4" s="496"/>
      <c r="HB4" s="627"/>
      <c r="HC4" s="628"/>
    </row>
    <row r="5" spans="1:211" s="247" customFormat="1" ht="14.25" customHeight="1" x14ac:dyDescent="0.2">
      <c r="A5" s="242"/>
      <c r="B5" s="242">
        <v>12</v>
      </c>
      <c r="C5" s="243">
        <v>2910</v>
      </c>
      <c r="D5" s="243">
        <v>4637</v>
      </c>
      <c r="E5" s="243">
        <v>5694</v>
      </c>
      <c r="F5" s="243">
        <v>6055</v>
      </c>
      <c r="G5" s="243">
        <v>4074</v>
      </c>
      <c r="H5" s="243">
        <v>5962</v>
      </c>
      <c r="I5" s="243">
        <v>7233</v>
      </c>
      <c r="J5" s="243">
        <v>7691</v>
      </c>
      <c r="K5" s="243"/>
      <c r="L5" s="243"/>
      <c r="M5" s="243">
        <v>3124</v>
      </c>
      <c r="N5" s="243">
        <v>4983</v>
      </c>
      <c r="O5" s="243">
        <v>6667</v>
      </c>
      <c r="P5" s="243">
        <v>6686</v>
      </c>
      <c r="Q5" s="243">
        <v>4374</v>
      </c>
      <c r="R5" s="243">
        <v>6407</v>
      </c>
      <c r="S5" s="243">
        <v>8469</v>
      </c>
      <c r="T5" s="243">
        <v>8493</v>
      </c>
      <c r="U5" s="243"/>
      <c r="V5" s="243"/>
      <c r="W5" s="243">
        <v>2910</v>
      </c>
      <c r="X5" s="243">
        <v>4637</v>
      </c>
      <c r="Y5" s="243">
        <v>5694</v>
      </c>
      <c r="Z5" s="243">
        <v>6055</v>
      </c>
      <c r="AA5" s="243">
        <v>4074</v>
      </c>
      <c r="AB5" s="243">
        <v>5962</v>
      </c>
      <c r="AC5" s="243">
        <v>7233</v>
      </c>
      <c r="AD5" s="243">
        <v>7691</v>
      </c>
      <c r="AE5" s="243"/>
      <c r="AF5" s="243"/>
      <c r="AG5" s="243">
        <v>3152</v>
      </c>
      <c r="AH5" s="243">
        <v>5022</v>
      </c>
      <c r="AI5" s="243">
        <v>6167</v>
      </c>
      <c r="AJ5" s="243">
        <v>6557</v>
      </c>
      <c r="AK5" s="243">
        <v>4413</v>
      </c>
      <c r="AL5" s="243">
        <v>6457</v>
      </c>
      <c r="AM5" s="243">
        <v>7833</v>
      </c>
      <c r="AN5" s="243">
        <v>8329</v>
      </c>
      <c r="AO5" s="243"/>
      <c r="AP5" s="243"/>
      <c r="AQ5" s="243">
        <v>4761</v>
      </c>
      <c r="AR5" s="243">
        <v>7589</v>
      </c>
      <c r="AS5" s="243">
        <v>9315</v>
      </c>
      <c r="AT5" s="243">
        <v>9902</v>
      </c>
      <c r="AU5" s="243">
        <v>6666</v>
      </c>
      <c r="AV5" s="243">
        <v>9757</v>
      </c>
      <c r="AW5" s="243">
        <v>11832</v>
      </c>
      <c r="AX5" s="243">
        <v>12579</v>
      </c>
      <c r="AY5" s="243"/>
      <c r="AZ5" s="243"/>
      <c r="BA5" s="243">
        <v>7095</v>
      </c>
      <c r="BB5" s="243">
        <v>11271</v>
      </c>
      <c r="BC5" s="243">
        <v>13875</v>
      </c>
      <c r="BD5" s="243">
        <v>14747</v>
      </c>
      <c r="BE5" s="243">
        <v>9933</v>
      </c>
      <c r="BF5" s="243">
        <v>14491</v>
      </c>
      <c r="BG5" s="243">
        <v>17625</v>
      </c>
      <c r="BH5" s="243">
        <v>18732</v>
      </c>
      <c r="BI5" s="243"/>
      <c r="BJ5" s="243"/>
      <c r="BK5" s="243">
        <v>3737</v>
      </c>
      <c r="BL5" s="243">
        <v>5932</v>
      </c>
      <c r="BM5" s="243">
        <v>7308</v>
      </c>
      <c r="BN5" s="243">
        <v>7770</v>
      </c>
      <c r="BO5" s="243">
        <v>5232</v>
      </c>
      <c r="BP5" s="243">
        <v>7627</v>
      </c>
      <c r="BQ5" s="243">
        <v>9283</v>
      </c>
      <c r="BR5" s="243">
        <v>9870</v>
      </c>
      <c r="BS5" s="243"/>
      <c r="BT5" s="243"/>
      <c r="BU5" s="243">
        <v>4294</v>
      </c>
      <c r="BV5" s="243">
        <v>6732</v>
      </c>
      <c r="BW5" s="243">
        <v>8338</v>
      </c>
      <c r="BX5" s="243">
        <v>8849</v>
      </c>
      <c r="BY5" s="243">
        <v>6011</v>
      </c>
      <c r="BZ5" s="243">
        <v>8655</v>
      </c>
      <c r="CA5" s="243">
        <v>10592</v>
      </c>
      <c r="CB5" s="243">
        <v>11241</v>
      </c>
      <c r="CC5" s="243"/>
      <c r="CD5" s="243"/>
      <c r="CE5" s="243">
        <v>5127</v>
      </c>
      <c r="CF5" s="243">
        <v>8037</v>
      </c>
      <c r="CG5" s="243">
        <v>9953</v>
      </c>
      <c r="CH5" s="243">
        <v>10562</v>
      </c>
      <c r="CI5" s="243">
        <v>7178</v>
      </c>
      <c r="CJ5" s="243">
        <v>10333</v>
      </c>
      <c r="CK5" s="243">
        <v>12643</v>
      </c>
      <c r="CL5" s="243">
        <v>13417</v>
      </c>
      <c r="CM5" s="243"/>
      <c r="CN5" s="243"/>
      <c r="CO5" s="243">
        <v>6945</v>
      </c>
      <c r="CP5" s="243">
        <v>10883</v>
      </c>
      <c r="CQ5" s="243">
        <v>13477</v>
      </c>
      <c r="CR5" s="243">
        <v>14300</v>
      </c>
      <c r="CS5" s="243">
        <v>9723</v>
      </c>
      <c r="CT5" s="243">
        <v>13993</v>
      </c>
      <c r="CU5" s="243">
        <v>17119</v>
      </c>
      <c r="CV5" s="243">
        <v>18165</v>
      </c>
      <c r="CW5" s="243"/>
      <c r="CX5" s="243"/>
      <c r="CY5" s="243">
        <v>10840</v>
      </c>
      <c r="CZ5" s="243">
        <v>16983</v>
      </c>
      <c r="DA5" s="243">
        <v>21027</v>
      </c>
      <c r="DB5" s="243">
        <v>22310</v>
      </c>
      <c r="DC5" s="243">
        <v>15176</v>
      </c>
      <c r="DD5" s="243">
        <v>21835</v>
      </c>
      <c r="DE5" s="243">
        <v>26710</v>
      </c>
      <c r="DF5" s="243">
        <v>28339</v>
      </c>
      <c r="DG5" s="243"/>
      <c r="DH5" s="243"/>
      <c r="DI5" s="243">
        <v>2870</v>
      </c>
      <c r="DJ5" s="243">
        <v>3148</v>
      </c>
      <c r="DK5" s="243">
        <v>3203</v>
      </c>
      <c r="DL5" s="243">
        <v>0</v>
      </c>
      <c r="DM5" s="243">
        <v>2870</v>
      </c>
      <c r="DN5" s="243">
        <v>3148</v>
      </c>
      <c r="DO5" s="243">
        <v>3203</v>
      </c>
      <c r="DP5" s="243">
        <v>0</v>
      </c>
      <c r="DQ5" s="243"/>
      <c r="DR5" s="243"/>
      <c r="DS5" s="243">
        <v>2973</v>
      </c>
      <c r="DT5" s="243">
        <v>3259</v>
      </c>
      <c r="DU5" s="243">
        <v>3314</v>
      </c>
      <c r="DV5" s="243">
        <v>0</v>
      </c>
      <c r="DW5" s="243">
        <v>3024</v>
      </c>
      <c r="DX5" s="243">
        <v>3319</v>
      </c>
      <c r="DY5" s="243">
        <v>3385</v>
      </c>
      <c r="DZ5" s="243">
        <v>0</v>
      </c>
      <c r="EA5" s="243"/>
      <c r="EB5" s="243"/>
      <c r="EC5" s="243">
        <v>17594</v>
      </c>
      <c r="ED5" s="243">
        <v>22716</v>
      </c>
      <c r="EE5" s="243">
        <v>25022</v>
      </c>
      <c r="EF5" s="243">
        <v>0</v>
      </c>
      <c r="EG5" s="243">
        <v>17645</v>
      </c>
      <c r="EH5" s="243">
        <v>22776</v>
      </c>
      <c r="EI5" s="243">
        <v>25093</v>
      </c>
      <c r="EJ5" s="243">
        <v>0</v>
      </c>
      <c r="EK5" s="243"/>
      <c r="EL5" s="243"/>
      <c r="EM5" s="243">
        <v>631</v>
      </c>
      <c r="EN5" s="243">
        <v>1187</v>
      </c>
      <c r="EO5" s="243">
        <v>1357</v>
      </c>
      <c r="EP5" s="243">
        <v>0</v>
      </c>
      <c r="EQ5" s="243">
        <v>682</v>
      </c>
      <c r="ER5" s="243">
        <v>1247</v>
      </c>
      <c r="ES5" s="243">
        <v>1429</v>
      </c>
      <c r="ET5" s="243">
        <v>0</v>
      </c>
      <c r="EU5" s="243"/>
      <c r="EV5" s="243"/>
      <c r="EW5" s="244"/>
      <c r="EX5" s="244"/>
      <c r="EY5" s="244"/>
      <c r="EZ5" s="244"/>
      <c r="FA5" s="244"/>
      <c r="FB5" s="244"/>
      <c r="FC5" s="244"/>
      <c r="FD5" s="244"/>
      <c r="FE5" s="244"/>
      <c r="FF5" s="244"/>
      <c r="FG5" s="243"/>
      <c r="FH5" s="243"/>
      <c r="FI5" s="243"/>
      <c r="FJ5" s="243"/>
      <c r="FK5" s="243"/>
      <c r="FL5" s="243"/>
      <c r="FM5" s="243"/>
      <c r="FN5" s="243"/>
      <c r="FO5" s="243"/>
      <c r="FP5" s="243"/>
      <c r="FQ5" s="244"/>
      <c r="FR5" s="244"/>
      <c r="FS5" s="244"/>
      <c r="FT5" s="244"/>
      <c r="FU5" s="244"/>
      <c r="FV5" s="244"/>
      <c r="FW5" s="244"/>
      <c r="FX5" s="244"/>
      <c r="FY5" s="244"/>
      <c r="FZ5" s="244"/>
      <c r="GA5" s="244"/>
      <c r="GB5" s="244"/>
      <c r="GC5" s="244"/>
      <c r="GD5" s="245"/>
      <c r="GE5" s="246"/>
      <c r="GF5" s="246"/>
      <c r="GG5" s="246"/>
      <c r="GH5" s="246"/>
      <c r="GI5" s="243"/>
      <c r="GJ5" s="243"/>
      <c r="GK5" s="243"/>
      <c r="GL5" s="243"/>
      <c r="GM5" s="304">
        <f>GL24/(GF24/1000)</f>
        <v>0.96119548598832039</v>
      </c>
      <c r="GN5" s="243"/>
      <c r="GO5" s="304">
        <f>GI24/(GF24/1000)</f>
        <v>0.93493554521674638</v>
      </c>
      <c r="GP5" s="243"/>
      <c r="GQ5" s="230"/>
      <c r="GR5" s="230"/>
      <c r="GS5" s="243"/>
      <c r="GT5" s="243"/>
      <c r="GU5" s="243"/>
      <c r="GW5" s="496" t="s">
        <v>306</v>
      </c>
      <c r="GX5" s="627"/>
      <c r="GY5" s="628"/>
      <c r="GZ5" s="2"/>
      <c r="HA5" s="496" t="s">
        <v>226</v>
      </c>
      <c r="HB5" s="627"/>
      <c r="HC5" s="628"/>
    </row>
    <row r="6" spans="1:211" s="247" customFormat="1" x14ac:dyDescent="0.2">
      <c r="A6" s="248">
        <v>1</v>
      </c>
      <c r="B6" s="249" t="s">
        <v>32</v>
      </c>
      <c r="C6" s="250">
        <v>0</v>
      </c>
      <c r="D6" s="250">
        <v>0</v>
      </c>
      <c r="E6" s="250">
        <v>0</v>
      </c>
      <c r="F6" s="250">
        <v>53</v>
      </c>
      <c r="G6" s="250">
        <v>1521</v>
      </c>
      <c r="H6" s="250">
        <v>1831</v>
      </c>
      <c r="I6" s="250">
        <v>0</v>
      </c>
      <c r="J6" s="250">
        <v>196</v>
      </c>
      <c r="K6" s="251">
        <v>3601</v>
      </c>
      <c r="L6" s="243">
        <v>227295924</v>
      </c>
      <c r="M6" s="250">
        <v>0</v>
      </c>
      <c r="N6" s="250">
        <v>0</v>
      </c>
      <c r="O6" s="250">
        <v>0</v>
      </c>
      <c r="P6" s="250">
        <v>0</v>
      </c>
      <c r="Q6" s="250">
        <v>0</v>
      </c>
      <c r="R6" s="250">
        <v>0</v>
      </c>
      <c r="S6" s="250">
        <v>0</v>
      </c>
      <c r="T6" s="250">
        <v>0</v>
      </c>
      <c r="U6" s="243">
        <v>0</v>
      </c>
      <c r="V6" s="252">
        <v>0</v>
      </c>
      <c r="W6" s="243">
        <v>0</v>
      </c>
      <c r="X6" s="243">
        <v>0</v>
      </c>
      <c r="Y6" s="243">
        <v>0</v>
      </c>
      <c r="Z6" s="243">
        <v>0</v>
      </c>
      <c r="AA6" s="243">
        <v>112</v>
      </c>
      <c r="AB6" s="243">
        <v>160</v>
      </c>
      <c r="AC6" s="243">
        <v>0</v>
      </c>
      <c r="AD6" s="243">
        <v>24</v>
      </c>
      <c r="AE6" s="243">
        <v>296</v>
      </c>
      <c r="AF6" s="243">
        <v>19137504</v>
      </c>
      <c r="AG6" s="243">
        <v>0</v>
      </c>
      <c r="AH6" s="243">
        <v>0</v>
      </c>
      <c r="AI6" s="243">
        <v>0</v>
      </c>
      <c r="AJ6" s="243">
        <v>0</v>
      </c>
      <c r="AK6" s="243">
        <v>0</v>
      </c>
      <c r="AL6" s="243">
        <v>0</v>
      </c>
      <c r="AM6" s="243">
        <v>0</v>
      </c>
      <c r="AN6" s="243">
        <v>0</v>
      </c>
      <c r="AO6" s="243">
        <v>0</v>
      </c>
      <c r="AP6" s="243">
        <v>0</v>
      </c>
      <c r="AQ6" s="243">
        <v>0</v>
      </c>
      <c r="AR6" s="243">
        <v>0</v>
      </c>
      <c r="AS6" s="243">
        <v>0</v>
      </c>
      <c r="AT6" s="243">
        <v>0</v>
      </c>
      <c r="AU6" s="243">
        <v>0</v>
      </c>
      <c r="AV6" s="243">
        <v>0</v>
      </c>
      <c r="AW6" s="243">
        <v>0</v>
      </c>
      <c r="AX6" s="243">
        <v>0</v>
      </c>
      <c r="AY6" s="243">
        <v>0</v>
      </c>
      <c r="AZ6" s="243">
        <v>0</v>
      </c>
      <c r="BA6" s="243">
        <v>0</v>
      </c>
      <c r="BB6" s="243">
        <v>0</v>
      </c>
      <c r="BC6" s="243">
        <v>0</v>
      </c>
      <c r="BD6" s="243">
        <v>0</v>
      </c>
      <c r="BE6" s="243">
        <v>0</v>
      </c>
      <c r="BF6" s="243">
        <v>0</v>
      </c>
      <c r="BG6" s="243">
        <v>0</v>
      </c>
      <c r="BH6" s="243">
        <v>0</v>
      </c>
      <c r="BI6" s="243">
        <v>0</v>
      </c>
      <c r="BJ6" s="243">
        <v>0</v>
      </c>
      <c r="BK6" s="243">
        <v>0</v>
      </c>
      <c r="BL6" s="243">
        <v>0</v>
      </c>
      <c r="BM6" s="243">
        <v>0</v>
      </c>
      <c r="BN6" s="243">
        <v>0</v>
      </c>
      <c r="BO6" s="243">
        <v>0</v>
      </c>
      <c r="BP6" s="243">
        <v>0</v>
      </c>
      <c r="BQ6" s="243">
        <v>0</v>
      </c>
      <c r="BR6" s="243">
        <v>0</v>
      </c>
      <c r="BS6" s="243">
        <v>0</v>
      </c>
      <c r="BT6" s="243">
        <v>0</v>
      </c>
      <c r="BU6" s="243">
        <v>0</v>
      </c>
      <c r="BV6" s="243">
        <v>0</v>
      </c>
      <c r="BW6" s="243">
        <v>0</v>
      </c>
      <c r="BX6" s="243">
        <v>0</v>
      </c>
      <c r="BY6" s="243">
        <v>0</v>
      </c>
      <c r="BZ6" s="243">
        <v>0</v>
      </c>
      <c r="CA6" s="243">
        <v>0</v>
      </c>
      <c r="CB6" s="243">
        <v>0</v>
      </c>
      <c r="CC6" s="243">
        <v>0</v>
      </c>
      <c r="CD6" s="243">
        <v>0</v>
      </c>
      <c r="CE6" s="243">
        <v>0</v>
      </c>
      <c r="CF6" s="243">
        <v>0</v>
      </c>
      <c r="CG6" s="243">
        <v>0</v>
      </c>
      <c r="CH6" s="243">
        <v>6</v>
      </c>
      <c r="CI6" s="243">
        <v>64</v>
      </c>
      <c r="CJ6" s="243">
        <v>94</v>
      </c>
      <c r="CK6" s="243">
        <v>0</v>
      </c>
      <c r="CL6" s="243">
        <v>12</v>
      </c>
      <c r="CM6" s="243">
        <v>176</v>
      </c>
      <c r="CN6" s="243">
        <v>19860840</v>
      </c>
      <c r="CO6" s="243">
        <v>0</v>
      </c>
      <c r="CP6" s="243">
        <v>0</v>
      </c>
      <c r="CQ6" s="243">
        <v>0</v>
      </c>
      <c r="CR6" s="243">
        <v>0</v>
      </c>
      <c r="CS6" s="243">
        <v>0</v>
      </c>
      <c r="CT6" s="243">
        <v>0</v>
      </c>
      <c r="CU6" s="243">
        <v>0</v>
      </c>
      <c r="CV6" s="243">
        <v>0</v>
      </c>
      <c r="CW6" s="243">
        <v>0</v>
      </c>
      <c r="CX6" s="243">
        <v>0</v>
      </c>
      <c r="CY6" s="243">
        <v>0</v>
      </c>
      <c r="CZ6" s="243">
        <v>0</v>
      </c>
      <c r="DA6" s="243">
        <v>0</v>
      </c>
      <c r="DB6" s="243">
        <v>0</v>
      </c>
      <c r="DC6" s="243">
        <v>66</v>
      </c>
      <c r="DD6" s="243">
        <v>98</v>
      </c>
      <c r="DE6" s="243">
        <v>0</v>
      </c>
      <c r="DF6" s="243">
        <v>0</v>
      </c>
      <c r="DG6" s="243">
        <v>164</v>
      </c>
      <c r="DH6" s="243">
        <v>37697352</v>
      </c>
      <c r="DI6" s="243">
        <v>0</v>
      </c>
      <c r="DJ6" s="243">
        <v>0</v>
      </c>
      <c r="DK6" s="243">
        <v>36</v>
      </c>
      <c r="DL6" s="243">
        <v>0</v>
      </c>
      <c r="DM6" s="243">
        <v>0</v>
      </c>
      <c r="DN6" s="243">
        <v>0</v>
      </c>
      <c r="DO6" s="243">
        <v>0</v>
      </c>
      <c r="DP6" s="243">
        <v>0</v>
      </c>
      <c r="DQ6" s="243">
        <v>36</v>
      </c>
      <c r="DR6" s="243">
        <v>1383696</v>
      </c>
      <c r="DS6" s="243">
        <v>0</v>
      </c>
      <c r="DT6" s="243">
        <v>0</v>
      </c>
      <c r="DU6" s="243">
        <v>0</v>
      </c>
      <c r="DV6" s="243">
        <v>0</v>
      </c>
      <c r="DW6" s="243">
        <v>0</v>
      </c>
      <c r="DX6" s="243">
        <v>0</v>
      </c>
      <c r="DY6" s="243">
        <v>0</v>
      </c>
      <c r="DZ6" s="243">
        <v>0</v>
      </c>
      <c r="EA6" s="243">
        <v>0</v>
      </c>
      <c r="EB6" s="243">
        <v>0</v>
      </c>
      <c r="EC6" s="243">
        <v>0</v>
      </c>
      <c r="ED6" s="243">
        <v>0</v>
      </c>
      <c r="EE6" s="243">
        <v>0</v>
      </c>
      <c r="EF6" s="243">
        <v>0</v>
      </c>
      <c r="EG6" s="243">
        <v>9</v>
      </c>
      <c r="EH6" s="243">
        <v>33</v>
      </c>
      <c r="EI6" s="243">
        <v>0</v>
      </c>
      <c r="EJ6" s="243">
        <v>0</v>
      </c>
      <c r="EK6" s="251">
        <v>42</v>
      </c>
      <c r="EL6" s="243">
        <v>10924956</v>
      </c>
      <c r="EM6" s="243">
        <v>0</v>
      </c>
      <c r="EN6" s="243">
        <v>0</v>
      </c>
      <c r="EO6" s="243">
        <v>0</v>
      </c>
      <c r="EP6" s="243">
        <v>0</v>
      </c>
      <c r="EQ6" s="243">
        <v>0</v>
      </c>
      <c r="ER6" s="243">
        <v>0</v>
      </c>
      <c r="ES6" s="243">
        <v>0</v>
      </c>
      <c r="ET6" s="243">
        <v>0</v>
      </c>
      <c r="EU6" s="251">
        <v>0</v>
      </c>
      <c r="EV6" s="243">
        <v>0</v>
      </c>
      <c r="EW6" s="253">
        <v>0</v>
      </c>
      <c r="EX6" s="253">
        <v>0</v>
      </c>
      <c r="EY6" s="253">
        <v>36</v>
      </c>
      <c r="EZ6" s="253">
        <v>59</v>
      </c>
      <c r="FA6" s="253">
        <v>1772</v>
      </c>
      <c r="FB6" s="253">
        <v>2216</v>
      </c>
      <c r="FC6" s="253">
        <v>0</v>
      </c>
      <c r="FD6" s="253">
        <v>232</v>
      </c>
      <c r="FE6" s="253">
        <v>4315</v>
      </c>
      <c r="FF6" s="253">
        <v>316300272</v>
      </c>
      <c r="FG6" s="243">
        <v>0</v>
      </c>
      <c r="FH6" s="243">
        <v>0</v>
      </c>
      <c r="FI6" s="243">
        <v>0</v>
      </c>
      <c r="FJ6" s="243">
        <v>0</v>
      </c>
      <c r="FK6" s="243">
        <v>53</v>
      </c>
      <c r="FL6" s="243">
        <v>89</v>
      </c>
      <c r="FM6" s="243">
        <v>0</v>
      </c>
      <c r="FN6" s="243">
        <v>0</v>
      </c>
      <c r="FO6" s="243">
        <v>142</v>
      </c>
      <c r="FP6" s="243">
        <v>25041252</v>
      </c>
      <c r="FQ6" s="253">
        <v>0</v>
      </c>
      <c r="FR6" s="253">
        <v>0</v>
      </c>
      <c r="FS6" s="253">
        <v>36</v>
      </c>
      <c r="FT6" s="253">
        <v>59</v>
      </c>
      <c r="FU6" s="253">
        <v>1825</v>
      </c>
      <c r="FV6" s="253">
        <v>2305</v>
      </c>
      <c r="FW6" s="253">
        <v>0</v>
      </c>
      <c r="FX6" s="253">
        <v>232</v>
      </c>
      <c r="FY6" s="253">
        <v>4457</v>
      </c>
      <c r="FZ6" s="253">
        <v>1825</v>
      </c>
      <c r="GA6" s="253">
        <v>2305</v>
      </c>
      <c r="GB6" s="253">
        <v>36</v>
      </c>
      <c r="GC6" s="253">
        <v>291</v>
      </c>
      <c r="GD6" s="253">
        <v>341341524</v>
      </c>
      <c r="GE6" s="253">
        <v>5425000</v>
      </c>
      <c r="GF6" s="232">
        <v>346766500</v>
      </c>
      <c r="GG6" s="307">
        <v>348696</v>
      </c>
      <c r="GH6" s="307">
        <v>350720.5</v>
      </c>
      <c r="GI6" s="166">
        <f>ROUND(GG6*1.04,1)</f>
        <v>362643.8</v>
      </c>
      <c r="GJ6" s="166">
        <f>ROUND(GH6*1.04,1)</f>
        <v>364749.3</v>
      </c>
      <c r="GK6" s="166">
        <v>348696</v>
      </c>
      <c r="GL6" s="166">
        <f>ROUND(GK6*1.04,1)</f>
        <v>362643.8</v>
      </c>
      <c r="GM6" s="281">
        <f t="shared" ref="GM6:GM23" si="0">ROUND(GF6*$GM$5,-2)</f>
        <v>333310400</v>
      </c>
      <c r="GN6" s="281">
        <f>GN29</f>
        <v>4284.0483518448291</v>
      </c>
      <c r="GO6" s="281">
        <f>ROUND(GF6*$GO$5,-2)</f>
        <v>324204300</v>
      </c>
      <c r="GP6" s="309">
        <f>GP29</f>
        <v>4167.0073813358558</v>
      </c>
      <c r="GQ6" s="230">
        <v>4464</v>
      </c>
      <c r="GR6" s="230">
        <v>348696000</v>
      </c>
      <c r="GS6" s="243">
        <f t="shared" ref="GS6:GS23" si="1">FY6-GQ6</f>
        <v>-7</v>
      </c>
      <c r="GT6" s="243">
        <v>4464</v>
      </c>
      <c r="GU6" s="243">
        <f t="shared" ref="GU6:GU23" si="2">FY6-GT6</f>
        <v>-7</v>
      </c>
      <c r="GW6" s="162">
        <f>GF6</f>
        <v>346766500</v>
      </c>
      <c r="GX6" s="162">
        <f t="shared" ref="GX6:GY6" si="3">ROUND(GW6*1.04,-2)</f>
        <v>360637200</v>
      </c>
      <c r="GY6" s="162">
        <f t="shared" si="3"/>
        <v>375062700</v>
      </c>
      <c r="GZ6" s="162"/>
      <c r="HA6" s="162">
        <f>GW6/1000</f>
        <v>346766.5</v>
      </c>
      <c r="HB6" s="162">
        <f t="shared" ref="HB6:HC21" si="4">GX6/1000</f>
        <v>360637.2</v>
      </c>
      <c r="HC6" s="162">
        <f t="shared" si="4"/>
        <v>375062.7</v>
      </c>
    </row>
    <row r="7" spans="1:211" s="247" customFormat="1" x14ac:dyDescent="0.2">
      <c r="A7" s="248">
        <v>2</v>
      </c>
      <c r="B7" s="248" t="s">
        <v>6</v>
      </c>
      <c r="C7" s="250">
        <v>0</v>
      </c>
      <c r="D7" s="250">
        <v>0</v>
      </c>
      <c r="E7" s="250">
        <v>8</v>
      </c>
      <c r="F7" s="250">
        <v>0</v>
      </c>
      <c r="G7" s="250">
        <v>655</v>
      </c>
      <c r="H7" s="250">
        <v>777</v>
      </c>
      <c r="I7" s="250">
        <v>0</v>
      </c>
      <c r="J7" s="250">
        <v>103</v>
      </c>
      <c r="K7" s="251">
        <v>1543</v>
      </c>
      <c r="L7" s="243">
        <v>97664028</v>
      </c>
      <c r="M7" s="250">
        <v>0</v>
      </c>
      <c r="N7" s="250">
        <v>0</v>
      </c>
      <c r="O7" s="250">
        <v>0</v>
      </c>
      <c r="P7" s="250">
        <v>0</v>
      </c>
      <c r="Q7" s="250">
        <v>0</v>
      </c>
      <c r="R7" s="250">
        <v>0</v>
      </c>
      <c r="S7" s="250">
        <v>0</v>
      </c>
      <c r="T7" s="250">
        <v>0</v>
      </c>
      <c r="U7" s="243">
        <v>0</v>
      </c>
      <c r="V7" s="252">
        <v>0</v>
      </c>
      <c r="W7" s="243">
        <v>0</v>
      </c>
      <c r="X7" s="243">
        <v>0</v>
      </c>
      <c r="Y7" s="243">
        <v>0</v>
      </c>
      <c r="Z7" s="243">
        <v>0</v>
      </c>
      <c r="AA7" s="243">
        <v>0</v>
      </c>
      <c r="AB7" s="243">
        <v>0</v>
      </c>
      <c r="AC7" s="243">
        <v>0</v>
      </c>
      <c r="AD7" s="243">
        <v>0</v>
      </c>
      <c r="AE7" s="243">
        <v>0</v>
      </c>
      <c r="AF7" s="243">
        <v>0</v>
      </c>
      <c r="AG7" s="243">
        <v>0</v>
      </c>
      <c r="AH7" s="243">
        <v>0</v>
      </c>
      <c r="AI7" s="243">
        <v>0</v>
      </c>
      <c r="AJ7" s="243">
        <v>0</v>
      </c>
      <c r="AK7" s="243">
        <v>0</v>
      </c>
      <c r="AL7" s="243">
        <v>0</v>
      </c>
      <c r="AM7" s="243">
        <v>0</v>
      </c>
      <c r="AN7" s="243">
        <v>0</v>
      </c>
      <c r="AO7" s="243">
        <v>0</v>
      </c>
      <c r="AP7" s="243">
        <v>0</v>
      </c>
      <c r="AQ7" s="243">
        <v>0</v>
      </c>
      <c r="AR7" s="243">
        <v>0</v>
      </c>
      <c r="AS7" s="243">
        <v>0</v>
      </c>
      <c r="AT7" s="243">
        <v>0</v>
      </c>
      <c r="AU7" s="243">
        <v>0</v>
      </c>
      <c r="AV7" s="243">
        <v>0</v>
      </c>
      <c r="AW7" s="243">
        <v>0</v>
      </c>
      <c r="AX7" s="243">
        <v>0</v>
      </c>
      <c r="AY7" s="243">
        <v>0</v>
      </c>
      <c r="AZ7" s="243">
        <v>0</v>
      </c>
      <c r="BA7" s="243">
        <v>0</v>
      </c>
      <c r="BB7" s="243">
        <v>0</v>
      </c>
      <c r="BC7" s="243">
        <v>0</v>
      </c>
      <c r="BD7" s="243">
        <v>0</v>
      </c>
      <c r="BE7" s="243">
        <v>0</v>
      </c>
      <c r="BF7" s="243">
        <v>0</v>
      </c>
      <c r="BG7" s="243">
        <v>0</v>
      </c>
      <c r="BH7" s="243">
        <v>0</v>
      </c>
      <c r="BI7" s="243">
        <v>0</v>
      </c>
      <c r="BJ7" s="243">
        <v>0</v>
      </c>
      <c r="BK7" s="243">
        <v>0</v>
      </c>
      <c r="BL7" s="243">
        <v>0</v>
      </c>
      <c r="BM7" s="243">
        <v>28</v>
      </c>
      <c r="BN7" s="243">
        <v>0</v>
      </c>
      <c r="BO7" s="243">
        <v>437</v>
      </c>
      <c r="BP7" s="243">
        <v>600</v>
      </c>
      <c r="BQ7" s="243">
        <v>57</v>
      </c>
      <c r="BR7" s="243">
        <v>0</v>
      </c>
      <c r="BS7" s="243">
        <v>1122</v>
      </c>
      <c r="BT7" s="243">
        <v>91156068</v>
      </c>
      <c r="BU7" s="243">
        <v>0</v>
      </c>
      <c r="BV7" s="243">
        <v>0</v>
      </c>
      <c r="BW7" s="243">
        <v>3</v>
      </c>
      <c r="BX7" s="243">
        <v>0</v>
      </c>
      <c r="BY7" s="243">
        <v>108</v>
      </c>
      <c r="BZ7" s="243">
        <v>103</v>
      </c>
      <c r="CA7" s="243">
        <v>17</v>
      </c>
      <c r="CB7" s="243">
        <v>0</v>
      </c>
      <c r="CC7" s="243">
        <v>231</v>
      </c>
      <c r="CD7" s="243">
        <v>20948772</v>
      </c>
      <c r="CE7" s="243">
        <v>0</v>
      </c>
      <c r="CF7" s="243">
        <v>0</v>
      </c>
      <c r="CG7" s="243">
        <v>3</v>
      </c>
      <c r="CH7" s="243">
        <v>0</v>
      </c>
      <c r="CI7" s="243">
        <v>320</v>
      </c>
      <c r="CJ7" s="243">
        <v>403</v>
      </c>
      <c r="CK7" s="243">
        <v>14</v>
      </c>
      <c r="CL7" s="243">
        <v>0</v>
      </c>
      <c r="CM7" s="243">
        <v>740</v>
      </c>
      <c r="CN7" s="243">
        <v>80016240</v>
      </c>
      <c r="CO7" s="243">
        <v>0</v>
      </c>
      <c r="CP7" s="243">
        <v>0</v>
      </c>
      <c r="CQ7" s="243">
        <v>0</v>
      </c>
      <c r="CR7" s="243">
        <v>0</v>
      </c>
      <c r="CS7" s="243">
        <v>167</v>
      </c>
      <c r="CT7" s="243">
        <v>137</v>
      </c>
      <c r="CU7" s="243">
        <v>0</v>
      </c>
      <c r="CV7" s="243">
        <v>0</v>
      </c>
      <c r="CW7" s="243">
        <v>304</v>
      </c>
      <c r="CX7" s="243">
        <v>42489384</v>
      </c>
      <c r="CY7" s="243">
        <v>0</v>
      </c>
      <c r="CZ7" s="243">
        <v>0</v>
      </c>
      <c r="DA7" s="243">
        <v>0</v>
      </c>
      <c r="DB7" s="243">
        <v>0</v>
      </c>
      <c r="DC7" s="243">
        <v>46</v>
      </c>
      <c r="DD7" s="243">
        <v>0</v>
      </c>
      <c r="DE7" s="243">
        <v>0</v>
      </c>
      <c r="DF7" s="243">
        <v>0</v>
      </c>
      <c r="DG7" s="243">
        <v>46</v>
      </c>
      <c r="DH7" s="243">
        <v>8377152</v>
      </c>
      <c r="DI7" s="243">
        <v>0</v>
      </c>
      <c r="DJ7" s="243">
        <v>0</v>
      </c>
      <c r="DK7" s="243">
        <v>9</v>
      </c>
      <c r="DL7" s="243">
        <v>0</v>
      </c>
      <c r="DM7" s="243">
        <v>0</v>
      </c>
      <c r="DN7" s="243">
        <v>7</v>
      </c>
      <c r="DO7" s="243">
        <v>9</v>
      </c>
      <c r="DP7" s="243">
        <v>0</v>
      </c>
      <c r="DQ7" s="243">
        <v>25</v>
      </c>
      <c r="DR7" s="243">
        <v>956280</v>
      </c>
      <c r="DS7" s="243">
        <v>0</v>
      </c>
      <c r="DT7" s="243">
        <v>0</v>
      </c>
      <c r="DU7" s="243">
        <v>0</v>
      </c>
      <c r="DV7" s="243">
        <v>0</v>
      </c>
      <c r="DW7" s="243">
        <v>0</v>
      </c>
      <c r="DX7" s="243">
        <v>0</v>
      </c>
      <c r="DY7" s="243">
        <v>0</v>
      </c>
      <c r="DZ7" s="243">
        <v>0</v>
      </c>
      <c r="EA7" s="243">
        <v>0</v>
      </c>
      <c r="EB7" s="243">
        <v>0</v>
      </c>
      <c r="EC7" s="243">
        <v>0</v>
      </c>
      <c r="ED7" s="243">
        <v>0</v>
      </c>
      <c r="EE7" s="243">
        <v>0</v>
      </c>
      <c r="EF7" s="243">
        <v>0</v>
      </c>
      <c r="EG7" s="243">
        <v>7</v>
      </c>
      <c r="EH7" s="243">
        <v>10</v>
      </c>
      <c r="EI7" s="243">
        <v>0</v>
      </c>
      <c r="EJ7" s="243">
        <v>1</v>
      </c>
      <c r="EK7" s="251">
        <v>18</v>
      </c>
      <c r="EL7" s="243">
        <v>4215300</v>
      </c>
      <c r="EM7" s="243">
        <v>0</v>
      </c>
      <c r="EN7" s="243">
        <v>0</v>
      </c>
      <c r="EO7" s="243">
        <v>0</v>
      </c>
      <c r="EP7" s="243">
        <v>0</v>
      </c>
      <c r="EQ7" s="243">
        <v>0</v>
      </c>
      <c r="ER7" s="243">
        <v>0</v>
      </c>
      <c r="ES7" s="243">
        <v>0</v>
      </c>
      <c r="ET7" s="243">
        <v>0</v>
      </c>
      <c r="EU7" s="251">
        <v>0</v>
      </c>
      <c r="EV7" s="243">
        <v>0</v>
      </c>
      <c r="EW7" s="253">
        <v>0</v>
      </c>
      <c r="EX7" s="253">
        <v>0</v>
      </c>
      <c r="EY7" s="253">
        <v>51</v>
      </c>
      <c r="EZ7" s="253">
        <v>0</v>
      </c>
      <c r="FA7" s="253">
        <v>1740</v>
      </c>
      <c r="FB7" s="253">
        <v>2037</v>
      </c>
      <c r="FC7" s="253">
        <v>97</v>
      </c>
      <c r="FD7" s="253">
        <v>104</v>
      </c>
      <c r="FE7" s="253">
        <v>4029</v>
      </c>
      <c r="FF7" s="253">
        <v>345823224</v>
      </c>
      <c r="FG7" s="243">
        <v>0</v>
      </c>
      <c r="FH7" s="243">
        <v>0</v>
      </c>
      <c r="FI7" s="243">
        <v>0</v>
      </c>
      <c r="FJ7" s="243">
        <v>0</v>
      </c>
      <c r="FK7" s="243">
        <v>55</v>
      </c>
      <c r="FL7" s="243">
        <v>80</v>
      </c>
      <c r="FM7" s="243">
        <v>0</v>
      </c>
      <c r="FN7" s="243">
        <v>0</v>
      </c>
      <c r="FO7" s="243">
        <v>135</v>
      </c>
      <c r="FP7" s="243">
        <v>16685076</v>
      </c>
      <c r="FQ7" s="253">
        <v>0</v>
      </c>
      <c r="FR7" s="253">
        <v>0</v>
      </c>
      <c r="FS7" s="253">
        <v>51</v>
      </c>
      <c r="FT7" s="253">
        <v>0</v>
      </c>
      <c r="FU7" s="253">
        <v>1795</v>
      </c>
      <c r="FV7" s="253">
        <v>2117</v>
      </c>
      <c r="FW7" s="253">
        <v>97</v>
      </c>
      <c r="FX7" s="253">
        <v>104</v>
      </c>
      <c r="FY7" s="253">
        <v>4164</v>
      </c>
      <c r="FZ7" s="253">
        <v>1795</v>
      </c>
      <c r="GA7" s="253">
        <v>2117</v>
      </c>
      <c r="GB7" s="253">
        <v>148</v>
      </c>
      <c r="GC7" s="253">
        <v>104</v>
      </c>
      <c r="GD7" s="253">
        <v>362508300</v>
      </c>
      <c r="GE7" s="253">
        <v>6527400</v>
      </c>
      <c r="GF7" s="232">
        <v>369035700</v>
      </c>
      <c r="GG7" s="307">
        <v>346044</v>
      </c>
      <c r="GH7" s="307">
        <v>360845.7</v>
      </c>
      <c r="GI7" s="166">
        <f t="shared" ref="GI7:GI23" si="5">ROUND(GG7*1.04,1)</f>
        <v>359885.8</v>
      </c>
      <c r="GJ7" s="166">
        <f t="shared" ref="GJ7:GJ23" si="6">ROUND(GH7*1.04,1)</f>
        <v>375279.5</v>
      </c>
      <c r="GK7" s="166">
        <v>351875.3</v>
      </c>
      <c r="GL7" s="166">
        <f>ROUND(GK7*1.04,1)</f>
        <v>365950.3</v>
      </c>
      <c r="GM7" s="281">
        <f t="shared" si="0"/>
        <v>354715400</v>
      </c>
      <c r="GN7" s="281">
        <f t="shared" ref="GN7:GN23" si="7">GN30</f>
        <v>4002.4174506694067</v>
      </c>
      <c r="GO7" s="281">
        <f t="shared" ref="GO7:GO23" si="8">ROUND(GF7*$GO$5,-2)</f>
        <v>345024600</v>
      </c>
      <c r="GP7" s="309">
        <f t="shared" ref="GP7:GP23" si="9">GP30</f>
        <v>3893.0716849345467</v>
      </c>
      <c r="GQ7" s="230">
        <v>4013</v>
      </c>
      <c r="GR7" s="230">
        <v>346044000</v>
      </c>
      <c r="GS7" s="243">
        <f t="shared" si="1"/>
        <v>151</v>
      </c>
      <c r="GT7" s="243">
        <v>4061</v>
      </c>
      <c r="GU7" s="243">
        <f t="shared" si="2"/>
        <v>103</v>
      </c>
      <c r="GW7" s="162">
        <f t="shared" ref="GW7:GW23" si="10">GF7</f>
        <v>369035700</v>
      </c>
      <c r="GX7" s="162">
        <f t="shared" ref="GX7:GY7" si="11">ROUND(GW7*1.04,-2)</f>
        <v>383797100</v>
      </c>
      <c r="GY7" s="162">
        <f t="shared" si="11"/>
        <v>399149000</v>
      </c>
      <c r="GZ7" s="162"/>
      <c r="HA7" s="162">
        <f t="shared" ref="HA7:HC23" si="12">GW7/1000</f>
        <v>369035.7</v>
      </c>
      <c r="HB7" s="162">
        <f t="shared" si="4"/>
        <v>383797.1</v>
      </c>
      <c r="HC7" s="162">
        <f t="shared" si="4"/>
        <v>399149</v>
      </c>
    </row>
    <row r="8" spans="1:211" s="247" customFormat="1" x14ac:dyDescent="0.2">
      <c r="A8" s="248">
        <v>3</v>
      </c>
      <c r="B8" s="248" t="s">
        <v>7</v>
      </c>
      <c r="C8" s="250">
        <v>0</v>
      </c>
      <c r="D8" s="250">
        <v>0</v>
      </c>
      <c r="E8" s="250">
        <v>0</v>
      </c>
      <c r="F8" s="250">
        <v>0</v>
      </c>
      <c r="G8" s="250">
        <v>2287</v>
      </c>
      <c r="H8" s="250">
        <v>2639</v>
      </c>
      <c r="I8" s="250">
        <v>0</v>
      </c>
      <c r="J8" s="250">
        <v>251</v>
      </c>
      <c r="K8" s="251">
        <v>5177</v>
      </c>
      <c r="L8" s="243">
        <v>323776764</v>
      </c>
      <c r="M8" s="250">
        <v>0</v>
      </c>
      <c r="N8" s="250">
        <v>0</v>
      </c>
      <c r="O8" s="250">
        <v>0</v>
      </c>
      <c r="P8" s="250">
        <v>0</v>
      </c>
      <c r="Q8" s="250">
        <v>158</v>
      </c>
      <c r="R8" s="250">
        <v>221</v>
      </c>
      <c r="S8" s="250">
        <v>0</v>
      </c>
      <c r="T8" s="250">
        <v>244</v>
      </c>
      <c r="U8" s="243">
        <v>623</v>
      </c>
      <c r="V8" s="252">
        <v>50151972</v>
      </c>
      <c r="W8" s="243">
        <v>0</v>
      </c>
      <c r="X8" s="243">
        <v>0</v>
      </c>
      <c r="Y8" s="243">
        <v>0</v>
      </c>
      <c r="Z8" s="243">
        <v>0</v>
      </c>
      <c r="AA8" s="243">
        <v>0</v>
      </c>
      <c r="AB8" s="243">
        <v>0</v>
      </c>
      <c r="AC8" s="243">
        <v>0</v>
      </c>
      <c r="AD8" s="243">
        <v>0</v>
      </c>
      <c r="AE8" s="243">
        <v>0</v>
      </c>
      <c r="AF8" s="243">
        <v>0</v>
      </c>
      <c r="AG8" s="243">
        <v>0</v>
      </c>
      <c r="AH8" s="243">
        <v>0</v>
      </c>
      <c r="AI8" s="243">
        <v>0</v>
      </c>
      <c r="AJ8" s="243">
        <v>0</v>
      </c>
      <c r="AK8" s="243">
        <v>0</v>
      </c>
      <c r="AL8" s="243">
        <v>0</v>
      </c>
      <c r="AM8" s="243">
        <v>0</v>
      </c>
      <c r="AN8" s="243">
        <v>0</v>
      </c>
      <c r="AO8" s="243">
        <v>0</v>
      </c>
      <c r="AP8" s="243">
        <v>0</v>
      </c>
      <c r="AQ8" s="243">
        <v>0</v>
      </c>
      <c r="AR8" s="243">
        <v>0</v>
      </c>
      <c r="AS8" s="243">
        <v>0</v>
      </c>
      <c r="AT8" s="243">
        <v>0</v>
      </c>
      <c r="AU8" s="243">
        <v>0</v>
      </c>
      <c r="AV8" s="243">
        <v>0</v>
      </c>
      <c r="AW8" s="243">
        <v>0</v>
      </c>
      <c r="AX8" s="243">
        <v>0</v>
      </c>
      <c r="AY8" s="243">
        <v>0</v>
      </c>
      <c r="AZ8" s="243">
        <v>0</v>
      </c>
      <c r="BA8" s="243">
        <v>0</v>
      </c>
      <c r="BB8" s="243">
        <v>0</v>
      </c>
      <c r="BC8" s="243">
        <v>0</v>
      </c>
      <c r="BD8" s="243">
        <v>0</v>
      </c>
      <c r="BE8" s="243">
        <v>0</v>
      </c>
      <c r="BF8" s="243">
        <v>0</v>
      </c>
      <c r="BG8" s="243">
        <v>0</v>
      </c>
      <c r="BH8" s="243">
        <v>0</v>
      </c>
      <c r="BI8" s="243">
        <v>0</v>
      </c>
      <c r="BJ8" s="243">
        <v>0</v>
      </c>
      <c r="BK8" s="243">
        <v>0</v>
      </c>
      <c r="BL8" s="243">
        <v>0</v>
      </c>
      <c r="BM8" s="243">
        <v>0</v>
      </c>
      <c r="BN8" s="243">
        <v>0</v>
      </c>
      <c r="BO8" s="243">
        <v>136</v>
      </c>
      <c r="BP8" s="243">
        <v>141</v>
      </c>
      <c r="BQ8" s="243">
        <v>0</v>
      </c>
      <c r="BR8" s="243">
        <v>32</v>
      </c>
      <c r="BS8" s="243">
        <v>309</v>
      </c>
      <c r="BT8" s="243">
        <v>25233588</v>
      </c>
      <c r="BU8" s="243">
        <v>0</v>
      </c>
      <c r="BV8" s="243">
        <v>0</v>
      </c>
      <c r="BW8" s="243">
        <v>0</v>
      </c>
      <c r="BX8" s="243">
        <v>0</v>
      </c>
      <c r="BY8" s="243">
        <v>79</v>
      </c>
      <c r="BZ8" s="243">
        <v>87</v>
      </c>
      <c r="CA8" s="243">
        <v>4</v>
      </c>
      <c r="CB8" s="243">
        <v>0</v>
      </c>
      <c r="CC8" s="243">
        <v>170</v>
      </c>
      <c r="CD8" s="243">
        <v>15242664</v>
      </c>
      <c r="CE8" s="243">
        <v>0</v>
      </c>
      <c r="CF8" s="243">
        <v>0</v>
      </c>
      <c r="CG8" s="243">
        <v>0</v>
      </c>
      <c r="CH8" s="243">
        <v>0</v>
      </c>
      <c r="CI8" s="243">
        <v>174</v>
      </c>
      <c r="CJ8" s="243">
        <v>212</v>
      </c>
      <c r="CK8" s="243">
        <v>0</v>
      </c>
      <c r="CL8" s="243">
        <v>12</v>
      </c>
      <c r="CM8" s="243">
        <v>398</v>
      </c>
      <c r="CN8" s="243">
        <v>43206864</v>
      </c>
      <c r="CO8" s="243">
        <v>0</v>
      </c>
      <c r="CP8" s="243">
        <v>0</v>
      </c>
      <c r="CQ8" s="243">
        <v>0</v>
      </c>
      <c r="CR8" s="243">
        <v>0</v>
      </c>
      <c r="CS8" s="243">
        <v>98</v>
      </c>
      <c r="CT8" s="243">
        <v>108</v>
      </c>
      <c r="CU8" s="243">
        <v>0</v>
      </c>
      <c r="CV8" s="243">
        <v>0</v>
      </c>
      <c r="CW8" s="243">
        <v>206</v>
      </c>
      <c r="CX8" s="243">
        <v>29569176</v>
      </c>
      <c r="CY8" s="243">
        <v>0</v>
      </c>
      <c r="CZ8" s="243">
        <v>0</v>
      </c>
      <c r="DA8" s="243">
        <v>0</v>
      </c>
      <c r="DB8" s="243">
        <v>0</v>
      </c>
      <c r="DC8" s="243">
        <v>70</v>
      </c>
      <c r="DD8" s="243">
        <v>66</v>
      </c>
      <c r="DE8" s="243">
        <v>5</v>
      </c>
      <c r="DF8" s="243">
        <v>0</v>
      </c>
      <c r="DG8" s="243">
        <v>141</v>
      </c>
      <c r="DH8" s="243">
        <v>31643760</v>
      </c>
      <c r="DI8" s="243">
        <v>0</v>
      </c>
      <c r="DJ8" s="243">
        <v>3</v>
      </c>
      <c r="DK8" s="243">
        <v>20</v>
      </c>
      <c r="DL8" s="243">
        <v>0</v>
      </c>
      <c r="DM8" s="243">
        <v>0</v>
      </c>
      <c r="DN8" s="243">
        <v>0</v>
      </c>
      <c r="DO8" s="243">
        <v>0</v>
      </c>
      <c r="DP8" s="243">
        <v>0</v>
      </c>
      <c r="DQ8" s="243">
        <v>23</v>
      </c>
      <c r="DR8" s="243">
        <v>882048</v>
      </c>
      <c r="DS8" s="243">
        <v>0</v>
      </c>
      <c r="DT8" s="243">
        <v>0</v>
      </c>
      <c r="DU8" s="243">
        <v>0</v>
      </c>
      <c r="DV8" s="243">
        <v>0</v>
      </c>
      <c r="DW8" s="243">
        <v>0</v>
      </c>
      <c r="DX8" s="243">
        <v>0</v>
      </c>
      <c r="DY8" s="243">
        <v>0</v>
      </c>
      <c r="DZ8" s="243">
        <v>0</v>
      </c>
      <c r="EA8" s="243">
        <v>0</v>
      </c>
      <c r="EB8" s="243">
        <v>0</v>
      </c>
      <c r="EC8" s="243">
        <v>3</v>
      </c>
      <c r="ED8" s="243">
        <v>13</v>
      </c>
      <c r="EE8" s="243">
        <v>0</v>
      </c>
      <c r="EF8" s="243">
        <v>0</v>
      </c>
      <c r="EG8" s="243">
        <v>21</v>
      </c>
      <c r="EH8" s="243">
        <v>28</v>
      </c>
      <c r="EI8" s="243">
        <v>1</v>
      </c>
      <c r="EJ8" s="243">
        <v>1</v>
      </c>
      <c r="EK8" s="251">
        <v>67</v>
      </c>
      <c r="EL8" s="243">
        <v>16577472</v>
      </c>
      <c r="EM8" s="243">
        <v>0</v>
      </c>
      <c r="EN8" s="243">
        <v>0</v>
      </c>
      <c r="EO8" s="243">
        <v>0</v>
      </c>
      <c r="EP8" s="243">
        <v>0</v>
      </c>
      <c r="EQ8" s="243">
        <v>1</v>
      </c>
      <c r="ER8" s="243">
        <v>0</v>
      </c>
      <c r="ES8" s="243">
        <v>0</v>
      </c>
      <c r="ET8" s="243">
        <v>0</v>
      </c>
      <c r="EU8" s="251">
        <v>1</v>
      </c>
      <c r="EV8" s="243">
        <v>8184</v>
      </c>
      <c r="EW8" s="253">
        <v>3</v>
      </c>
      <c r="EX8" s="253">
        <v>16</v>
      </c>
      <c r="EY8" s="253">
        <v>20</v>
      </c>
      <c r="EZ8" s="253">
        <v>0</v>
      </c>
      <c r="FA8" s="253">
        <v>3024</v>
      </c>
      <c r="FB8" s="253">
        <v>3502</v>
      </c>
      <c r="FC8" s="253">
        <v>10</v>
      </c>
      <c r="FD8" s="253">
        <v>540</v>
      </c>
      <c r="FE8" s="253">
        <v>7115</v>
      </c>
      <c r="FF8" s="253">
        <v>536292492</v>
      </c>
      <c r="FG8" s="243">
        <v>17</v>
      </c>
      <c r="FH8" s="243">
        <v>122</v>
      </c>
      <c r="FI8" s="243">
        <v>0</v>
      </c>
      <c r="FJ8" s="243">
        <v>0</v>
      </c>
      <c r="FK8" s="243">
        <v>83</v>
      </c>
      <c r="FL8" s="243">
        <v>169</v>
      </c>
      <c r="FM8" s="243">
        <v>0</v>
      </c>
      <c r="FN8" s="243">
        <v>0</v>
      </c>
      <c r="FO8" s="243">
        <v>391</v>
      </c>
      <c r="FP8" s="243">
        <v>36923796</v>
      </c>
      <c r="FQ8" s="253">
        <v>20</v>
      </c>
      <c r="FR8" s="253">
        <v>138</v>
      </c>
      <c r="FS8" s="253">
        <v>20</v>
      </c>
      <c r="FT8" s="253">
        <v>0</v>
      </c>
      <c r="FU8" s="253">
        <v>3107</v>
      </c>
      <c r="FV8" s="253">
        <v>3671</v>
      </c>
      <c r="FW8" s="253">
        <v>10</v>
      </c>
      <c r="FX8" s="253">
        <v>540</v>
      </c>
      <c r="FY8" s="253">
        <v>7506</v>
      </c>
      <c r="FZ8" s="253">
        <v>3127</v>
      </c>
      <c r="GA8" s="253">
        <v>3809</v>
      </c>
      <c r="GB8" s="253">
        <v>30</v>
      </c>
      <c r="GC8" s="253">
        <v>540</v>
      </c>
      <c r="GD8" s="253">
        <v>573216288</v>
      </c>
      <c r="GE8" s="253">
        <v>9705199.9999999981</v>
      </c>
      <c r="GF8" s="232">
        <v>582921500</v>
      </c>
      <c r="GG8" s="307">
        <v>590872.30000000005</v>
      </c>
      <c r="GH8" s="307">
        <v>588382.4</v>
      </c>
      <c r="GI8" s="166">
        <f t="shared" si="5"/>
        <v>614507.19999999995</v>
      </c>
      <c r="GJ8" s="166">
        <f t="shared" si="6"/>
        <v>611917.69999999995</v>
      </c>
      <c r="GK8" s="166">
        <v>590872.30000000005</v>
      </c>
      <c r="GL8" s="166">
        <f t="shared" ref="GL8:GL23" si="13">ROUND(GK8*1.04,1)</f>
        <v>614507.19999999995</v>
      </c>
      <c r="GM8" s="281">
        <f t="shared" si="0"/>
        <v>560301500</v>
      </c>
      <c r="GN8" s="281">
        <f t="shared" si="7"/>
        <v>7214.7331313049872</v>
      </c>
      <c r="GO8" s="281">
        <f t="shared" si="8"/>
        <v>544994000</v>
      </c>
      <c r="GP8" s="309">
        <f t="shared" si="9"/>
        <v>7017.625810679483</v>
      </c>
      <c r="GQ8" s="230">
        <v>7642</v>
      </c>
      <c r="GR8" s="230">
        <v>590872300</v>
      </c>
      <c r="GS8" s="243">
        <f t="shared" si="1"/>
        <v>-136</v>
      </c>
      <c r="GT8" s="243">
        <v>7642</v>
      </c>
      <c r="GU8" s="243">
        <f t="shared" si="2"/>
        <v>-136</v>
      </c>
      <c r="GW8" s="162">
        <f t="shared" si="10"/>
        <v>582921500</v>
      </c>
      <c r="GX8" s="162">
        <f t="shared" ref="GX8:GY8" si="14">ROUND(GW8*1.04,-2)</f>
        <v>606238400</v>
      </c>
      <c r="GY8" s="162">
        <f t="shared" si="14"/>
        <v>630487900</v>
      </c>
      <c r="GZ8" s="162"/>
      <c r="HA8" s="162">
        <f t="shared" si="12"/>
        <v>582921.5</v>
      </c>
      <c r="HB8" s="162">
        <f t="shared" si="4"/>
        <v>606238.4</v>
      </c>
      <c r="HC8" s="162">
        <f t="shared" si="4"/>
        <v>630487.9</v>
      </c>
    </row>
    <row r="9" spans="1:211" s="247" customFormat="1" x14ac:dyDescent="0.2">
      <c r="A9" s="248">
        <v>4</v>
      </c>
      <c r="B9" s="248" t="s">
        <v>8</v>
      </c>
      <c r="C9" s="250">
        <v>0</v>
      </c>
      <c r="D9" s="250">
        <v>0</v>
      </c>
      <c r="E9" s="250">
        <v>0</v>
      </c>
      <c r="F9" s="250">
        <v>225</v>
      </c>
      <c r="G9" s="250">
        <v>12333</v>
      </c>
      <c r="H9" s="250">
        <v>9785</v>
      </c>
      <c r="I9" s="250">
        <v>0</v>
      </c>
      <c r="J9" s="250">
        <v>865</v>
      </c>
      <c r="K9" s="251">
        <v>23208</v>
      </c>
      <c r="L9" s="243">
        <v>1399174824</v>
      </c>
      <c r="M9" s="250">
        <v>0</v>
      </c>
      <c r="N9" s="250">
        <v>0</v>
      </c>
      <c r="O9" s="250">
        <v>0</v>
      </c>
      <c r="P9" s="250">
        <v>274</v>
      </c>
      <c r="Q9" s="250">
        <v>120</v>
      </c>
      <c r="R9" s="250">
        <v>1516</v>
      </c>
      <c r="S9" s="250">
        <v>0</v>
      </c>
      <c r="T9" s="250">
        <v>862</v>
      </c>
      <c r="U9" s="243">
        <v>2772</v>
      </c>
      <c r="V9" s="252">
        <v>232689864</v>
      </c>
      <c r="W9" s="243">
        <v>0</v>
      </c>
      <c r="X9" s="243">
        <v>0</v>
      </c>
      <c r="Y9" s="243">
        <v>0</v>
      </c>
      <c r="Z9" s="243">
        <v>128</v>
      </c>
      <c r="AA9" s="243">
        <v>3101</v>
      </c>
      <c r="AB9" s="243">
        <v>2969</v>
      </c>
      <c r="AC9" s="243">
        <v>0</v>
      </c>
      <c r="AD9" s="243">
        <v>212</v>
      </c>
      <c r="AE9" s="243">
        <v>6410</v>
      </c>
      <c r="AF9" s="243">
        <v>392882208</v>
      </c>
      <c r="AG9" s="243">
        <v>0</v>
      </c>
      <c r="AH9" s="243">
        <v>0</v>
      </c>
      <c r="AI9" s="243">
        <v>0</v>
      </c>
      <c r="AJ9" s="243">
        <v>0</v>
      </c>
      <c r="AK9" s="243">
        <v>0</v>
      </c>
      <c r="AL9" s="243">
        <v>0</v>
      </c>
      <c r="AM9" s="243">
        <v>0</v>
      </c>
      <c r="AN9" s="243">
        <v>0</v>
      </c>
      <c r="AO9" s="243">
        <v>0</v>
      </c>
      <c r="AP9" s="243">
        <v>0</v>
      </c>
      <c r="AQ9" s="243">
        <v>0</v>
      </c>
      <c r="AR9" s="243">
        <v>0</v>
      </c>
      <c r="AS9" s="243">
        <v>0</v>
      </c>
      <c r="AT9" s="243">
        <v>0</v>
      </c>
      <c r="AU9" s="243">
        <v>0</v>
      </c>
      <c r="AV9" s="243">
        <v>0</v>
      </c>
      <c r="AW9" s="243">
        <v>0</v>
      </c>
      <c r="AX9" s="243">
        <v>0</v>
      </c>
      <c r="AY9" s="243">
        <v>0</v>
      </c>
      <c r="AZ9" s="243">
        <v>0</v>
      </c>
      <c r="BA9" s="243">
        <v>0</v>
      </c>
      <c r="BB9" s="243">
        <v>0</v>
      </c>
      <c r="BC9" s="243">
        <v>0</v>
      </c>
      <c r="BD9" s="243">
        <v>0</v>
      </c>
      <c r="BE9" s="243">
        <v>0</v>
      </c>
      <c r="BF9" s="243">
        <v>0</v>
      </c>
      <c r="BG9" s="243">
        <v>0</v>
      </c>
      <c r="BH9" s="243">
        <v>0</v>
      </c>
      <c r="BI9" s="243">
        <v>0</v>
      </c>
      <c r="BJ9" s="243">
        <v>0</v>
      </c>
      <c r="BK9" s="243">
        <v>0</v>
      </c>
      <c r="BL9" s="243">
        <v>0</v>
      </c>
      <c r="BM9" s="243">
        <v>0</v>
      </c>
      <c r="BN9" s="243">
        <v>143</v>
      </c>
      <c r="BO9" s="243">
        <v>5511</v>
      </c>
      <c r="BP9" s="243">
        <v>4937</v>
      </c>
      <c r="BQ9" s="243">
        <v>0</v>
      </c>
      <c r="BR9" s="243">
        <v>498</v>
      </c>
      <c r="BS9" s="243">
        <v>11089</v>
      </c>
      <c r="BT9" s="243">
        <v>870173052</v>
      </c>
      <c r="BU9" s="243">
        <v>0</v>
      </c>
      <c r="BV9" s="243">
        <v>0</v>
      </c>
      <c r="BW9" s="243">
        <v>0</v>
      </c>
      <c r="BX9" s="243">
        <v>0</v>
      </c>
      <c r="BY9" s="243">
        <v>176</v>
      </c>
      <c r="BZ9" s="243">
        <v>73</v>
      </c>
      <c r="CA9" s="243">
        <v>0</v>
      </c>
      <c r="CB9" s="243">
        <v>0</v>
      </c>
      <c r="CC9" s="243">
        <v>249</v>
      </c>
      <c r="CD9" s="243">
        <v>20277012</v>
      </c>
      <c r="CE9" s="243">
        <v>0</v>
      </c>
      <c r="CF9" s="243">
        <v>0</v>
      </c>
      <c r="CG9" s="243">
        <v>0</v>
      </c>
      <c r="CH9" s="243">
        <v>0</v>
      </c>
      <c r="CI9" s="243">
        <v>0</v>
      </c>
      <c r="CJ9" s="243">
        <v>0</v>
      </c>
      <c r="CK9" s="243">
        <v>0</v>
      </c>
      <c r="CL9" s="243">
        <v>0</v>
      </c>
      <c r="CM9" s="243">
        <v>0</v>
      </c>
      <c r="CN9" s="243">
        <v>0</v>
      </c>
      <c r="CO9" s="243">
        <v>0</v>
      </c>
      <c r="CP9" s="243">
        <v>0</v>
      </c>
      <c r="CQ9" s="243">
        <v>0</v>
      </c>
      <c r="CR9" s="243">
        <v>0</v>
      </c>
      <c r="CS9" s="243">
        <v>0</v>
      </c>
      <c r="CT9" s="243">
        <v>0</v>
      </c>
      <c r="CU9" s="243">
        <v>0</v>
      </c>
      <c r="CV9" s="243">
        <v>0</v>
      </c>
      <c r="CW9" s="243">
        <v>0</v>
      </c>
      <c r="CX9" s="243">
        <v>0</v>
      </c>
      <c r="CY9" s="243">
        <v>0</v>
      </c>
      <c r="CZ9" s="243">
        <v>0</v>
      </c>
      <c r="DA9" s="243">
        <v>0</v>
      </c>
      <c r="DB9" s="243">
        <v>0</v>
      </c>
      <c r="DC9" s="243">
        <v>0</v>
      </c>
      <c r="DD9" s="243">
        <v>0</v>
      </c>
      <c r="DE9" s="243">
        <v>0</v>
      </c>
      <c r="DF9" s="243">
        <v>0</v>
      </c>
      <c r="DG9" s="243">
        <v>0</v>
      </c>
      <c r="DH9" s="243">
        <v>0</v>
      </c>
      <c r="DI9" s="243">
        <v>0</v>
      </c>
      <c r="DJ9" s="243">
        <v>0</v>
      </c>
      <c r="DK9" s="243">
        <v>36</v>
      </c>
      <c r="DL9" s="243">
        <v>0</v>
      </c>
      <c r="DM9" s="243">
        <v>0</v>
      </c>
      <c r="DN9" s="243">
        <v>19</v>
      </c>
      <c r="DO9" s="243">
        <v>12</v>
      </c>
      <c r="DP9" s="243">
        <v>0</v>
      </c>
      <c r="DQ9" s="243">
        <v>67</v>
      </c>
      <c r="DR9" s="243">
        <v>2562672</v>
      </c>
      <c r="DS9" s="243">
        <v>0</v>
      </c>
      <c r="DT9" s="243">
        <v>0</v>
      </c>
      <c r="DU9" s="243">
        <v>66</v>
      </c>
      <c r="DV9" s="243">
        <v>0</v>
      </c>
      <c r="DW9" s="243">
        <v>0</v>
      </c>
      <c r="DX9" s="243">
        <v>93</v>
      </c>
      <c r="DY9" s="243">
        <v>46</v>
      </c>
      <c r="DZ9" s="243">
        <v>0</v>
      </c>
      <c r="EA9" s="243">
        <v>205</v>
      </c>
      <c r="EB9" s="243">
        <v>8197212</v>
      </c>
      <c r="EC9" s="243">
        <v>0</v>
      </c>
      <c r="ED9" s="243">
        <v>0</v>
      </c>
      <c r="EE9" s="243">
        <v>0</v>
      </c>
      <c r="EF9" s="243">
        <v>0</v>
      </c>
      <c r="EG9" s="243">
        <v>104</v>
      </c>
      <c r="EH9" s="243">
        <v>150</v>
      </c>
      <c r="EI9" s="243">
        <v>4</v>
      </c>
      <c r="EJ9" s="243">
        <v>0</v>
      </c>
      <c r="EK9" s="251">
        <v>258</v>
      </c>
      <c r="EL9" s="243">
        <v>64222224</v>
      </c>
      <c r="EM9" s="243">
        <v>0</v>
      </c>
      <c r="EN9" s="243">
        <v>0</v>
      </c>
      <c r="EO9" s="243">
        <v>1</v>
      </c>
      <c r="EP9" s="243">
        <v>0</v>
      </c>
      <c r="EQ9" s="243">
        <v>109</v>
      </c>
      <c r="ER9" s="243">
        <v>33</v>
      </c>
      <c r="ES9" s="243">
        <v>7</v>
      </c>
      <c r="ET9" s="243">
        <v>0</v>
      </c>
      <c r="EU9" s="251">
        <v>150</v>
      </c>
      <c r="EV9" s="243">
        <v>1522188</v>
      </c>
      <c r="EW9" s="253">
        <v>0</v>
      </c>
      <c r="EX9" s="253">
        <v>0</v>
      </c>
      <c r="EY9" s="253">
        <v>103</v>
      </c>
      <c r="EZ9" s="253">
        <v>770</v>
      </c>
      <c r="FA9" s="253">
        <v>21454</v>
      </c>
      <c r="FB9" s="253">
        <v>19575</v>
      </c>
      <c r="FC9" s="253">
        <v>69</v>
      </c>
      <c r="FD9" s="253">
        <v>2437</v>
      </c>
      <c r="FE9" s="253">
        <v>44408</v>
      </c>
      <c r="FF9" s="253">
        <v>2991701256</v>
      </c>
      <c r="FG9" s="243">
        <v>0</v>
      </c>
      <c r="FH9" s="243">
        <v>32</v>
      </c>
      <c r="FI9" s="243">
        <v>0</v>
      </c>
      <c r="FJ9" s="243">
        <v>0</v>
      </c>
      <c r="FK9" s="243">
        <v>854</v>
      </c>
      <c r="FL9" s="243">
        <v>316</v>
      </c>
      <c r="FM9" s="243">
        <v>10</v>
      </c>
      <c r="FN9" s="243">
        <v>0</v>
      </c>
      <c r="FO9" s="243">
        <v>1212</v>
      </c>
      <c r="FP9" s="243">
        <v>168763824</v>
      </c>
      <c r="FQ9" s="253">
        <v>0</v>
      </c>
      <c r="FR9" s="253">
        <v>32</v>
      </c>
      <c r="FS9" s="253">
        <v>103</v>
      </c>
      <c r="FT9" s="253">
        <v>770</v>
      </c>
      <c r="FU9" s="253">
        <v>22308</v>
      </c>
      <c r="FV9" s="253">
        <v>19891</v>
      </c>
      <c r="FW9" s="253">
        <v>79</v>
      </c>
      <c r="FX9" s="253">
        <v>2437</v>
      </c>
      <c r="FY9" s="253">
        <v>45620</v>
      </c>
      <c r="FZ9" s="253">
        <v>22308</v>
      </c>
      <c r="GA9" s="253">
        <v>19923</v>
      </c>
      <c r="GB9" s="253">
        <v>182</v>
      </c>
      <c r="GC9" s="253">
        <v>3207</v>
      </c>
      <c r="GD9" s="253">
        <v>3160465080</v>
      </c>
      <c r="GE9" s="253">
        <v>50425900</v>
      </c>
      <c r="GF9" s="232">
        <v>3210891000</v>
      </c>
      <c r="GG9" s="307">
        <v>2409386.2000000002</v>
      </c>
      <c r="GH9" s="307">
        <v>2673927.1</v>
      </c>
      <c r="GI9" s="166">
        <f t="shared" si="5"/>
        <v>2505761.6</v>
      </c>
      <c r="GJ9" s="166">
        <f t="shared" si="6"/>
        <v>2780884.2</v>
      </c>
      <c r="GK9" s="166">
        <v>2594353.2000000002</v>
      </c>
      <c r="GL9" s="166">
        <f t="shared" si="13"/>
        <v>2698127.3</v>
      </c>
      <c r="GM9" s="281">
        <f t="shared" si="0"/>
        <v>3086293900</v>
      </c>
      <c r="GN9" s="281">
        <f t="shared" si="7"/>
        <v>43849.737570661848</v>
      </c>
      <c r="GO9" s="281">
        <f t="shared" si="8"/>
        <v>3001976100</v>
      </c>
      <c r="GP9" s="309">
        <f t="shared" si="9"/>
        <v>42651.759178994238</v>
      </c>
      <c r="GQ9" s="230">
        <v>35102.5</v>
      </c>
      <c r="GR9" s="230">
        <v>2409386200</v>
      </c>
      <c r="GS9" s="243">
        <f t="shared" si="1"/>
        <v>10517.5</v>
      </c>
      <c r="GT9" s="243">
        <v>39939</v>
      </c>
      <c r="GU9" s="243">
        <f t="shared" si="2"/>
        <v>5681</v>
      </c>
      <c r="GW9" s="162">
        <f t="shared" si="10"/>
        <v>3210891000</v>
      </c>
      <c r="GX9" s="162">
        <f t="shared" ref="GX9" si="15">ROUND(GW9*1.04,-2)</f>
        <v>3339326600</v>
      </c>
      <c r="GY9" s="162">
        <f>ROUNDUP(GX9*1.04,-2)</f>
        <v>3472899700</v>
      </c>
      <c r="GZ9" s="162"/>
      <c r="HA9" s="162">
        <f t="shared" si="12"/>
        <v>3210891</v>
      </c>
      <c r="HB9" s="162">
        <f t="shared" si="4"/>
        <v>3339326.6</v>
      </c>
      <c r="HC9" s="162">
        <f t="shared" si="4"/>
        <v>3472899.7</v>
      </c>
    </row>
    <row r="10" spans="1:211" s="247" customFormat="1" x14ac:dyDescent="0.2">
      <c r="A10" s="248">
        <v>5</v>
      </c>
      <c r="B10" s="248" t="s">
        <v>9</v>
      </c>
      <c r="C10" s="250">
        <v>0</v>
      </c>
      <c r="D10" s="250">
        <v>0</v>
      </c>
      <c r="E10" s="250">
        <v>0</v>
      </c>
      <c r="F10" s="250">
        <v>0</v>
      </c>
      <c r="G10" s="250">
        <v>4627</v>
      </c>
      <c r="H10" s="250">
        <v>4454</v>
      </c>
      <c r="I10" s="250">
        <v>20</v>
      </c>
      <c r="J10" s="250">
        <v>958</v>
      </c>
      <c r="K10" s="251">
        <v>10059</v>
      </c>
      <c r="L10" s="243">
        <v>635013408</v>
      </c>
      <c r="M10" s="250">
        <v>0</v>
      </c>
      <c r="N10" s="250">
        <v>0</v>
      </c>
      <c r="O10" s="250">
        <v>0</v>
      </c>
      <c r="P10" s="250">
        <v>0</v>
      </c>
      <c r="Q10" s="250">
        <v>0</v>
      </c>
      <c r="R10" s="250">
        <v>647</v>
      </c>
      <c r="S10" s="250">
        <v>0</v>
      </c>
      <c r="T10" s="250">
        <v>0</v>
      </c>
      <c r="U10" s="243">
        <v>647</v>
      </c>
      <c r="V10" s="252">
        <v>49743948</v>
      </c>
      <c r="W10" s="243">
        <v>0</v>
      </c>
      <c r="X10" s="243">
        <v>0</v>
      </c>
      <c r="Y10" s="243">
        <v>0</v>
      </c>
      <c r="Z10" s="243">
        <v>27</v>
      </c>
      <c r="AA10" s="243">
        <v>719</v>
      </c>
      <c r="AB10" s="243">
        <v>745</v>
      </c>
      <c r="AC10" s="243">
        <v>0</v>
      </c>
      <c r="AD10" s="243">
        <v>104</v>
      </c>
      <c r="AE10" s="243">
        <v>1595</v>
      </c>
      <c r="AF10" s="243">
        <v>100010940</v>
      </c>
      <c r="AG10" s="243">
        <v>0</v>
      </c>
      <c r="AH10" s="243">
        <v>0</v>
      </c>
      <c r="AI10" s="243">
        <v>4</v>
      </c>
      <c r="AJ10" s="243">
        <v>0</v>
      </c>
      <c r="AK10" s="243">
        <v>117</v>
      </c>
      <c r="AL10" s="243">
        <v>120</v>
      </c>
      <c r="AM10" s="243">
        <v>0</v>
      </c>
      <c r="AN10" s="243">
        <v>0</v>
      </c>
      <c r="AO10" s="243">
        <v>241</v>
      </c>
      <c r="AP10" s="243">
        <v>15789948</v>
      </c>
      <c r="AQ10" s="243">
        <v>0</v>
      </c>
      <c r="AR10" s="243">
        <v>0</v>
      </c>
      <c r="AS10" s="243">
        <v>0</v>
      </c>
      <c r="AT10" s="243">
        <v>0</v>
      </c>
      <c r="AU10" s="243">
        <v>0</v>
      </c>
      <c r="AV10" s="243">
        <v>0</v>
      </c>
      <c r="AW10" s="243">
        <v>0</v>
      </c>
      <c r="AX10" s="243">
        <v>0</v>
      </c>
      <c r="AY10" s="243">
        <v>0</v>
      </c>
      <c r="AZ10" s="243">
        <v>0</v>
      </c>
      <c r="BA10" s="243">
        <v>0</v>
      </c>
      <c r="BB10" s="243">
        <v>0</v>
      </c>
      <c r="BC10" s="243">
        <v>0</v>
      </c>
      <c r="BD10" s="243">
        <v>0</v>
      </c>
      <c r="BE10" s="243">
        <v>0</v>
      </c>
      <c r="BF10" s="243">
        <v>0</v>
      </c>
      <c r="BG10" s="243">
        <v>0</v>
      </c>
      <c r="BH10" s="243">
        <v>0</v>
      </c>
      <c r="BI10" s="243">
        <v>0</v>
      </c>
      <c r="BJ10" s="243">
        <v>0</v>
      </c>
      <c r="BK10" s="243">
        <v>0</v>
      </c>
      <c r="BL10" s="243">
        <v>0</v>
      </c>
      <c r="BM10" s="243">
        <v>0</v>
      </c>
      <c r="BN10" s="243">
        <v>0</v>
      </c>
      <c r="BO10" s="243">
        <v>286</v>
      </c>
      <c r="BP10" s="243">
        <v>341</v>
      </c>
      <c r="BQ10" s="243">
        <v>25</v>
      </c>
      <c r="BR10" s="243">
        <v>26</v>
      </c>
      <c r="BS10" s="243">
        <v>678</v>
      </c>
      <c r="BT10" s="243">
        <v>55030248</v>
      </c>
      <c r="BU10" s="243">
        <v>0</v>
      </c>
      <c r="BV10" s="243">
        <v>0</v>
      </c>
      <c r="BW10" s="243">
        <v>0</v>
      </c>
      <c r="BX10" s="243">
        <v>16</v>
      </c>
      <c r="BY10" s="243">
        <v>319</v>
      </c>
      <c r="BZ10" s="243">
        <v>327</v>
      </c>
      <c r="CA10" s="243">
        <v>0</v>
      </c>
      <c r="CB10" s="243">
        <v>56</v>
      </c>
      <c r="CC10" s="243">
        <v>718</v>
      </c>
      <c r="CD10" s="243">
        <v>66225288</v>
      </c>
      <c r="CE10" s="243">
        <v>0</v>
      </c>
      <c r="CF10" s="243">
        <v>0</v>
      </c>
      <c r="CG10" s="243">
        <v>0</v>
      </c>
      <c r="CH10" s="243">
        <v>20</v>
      </c>
      <c r="CI10" s="243">
        <v>715</v>
      </c>
      <c r="CJ10" s="243">
        <v>851</v>
      </c>
      <c r="CK10" s="243">
        <v>2</v>
      </c>
      <c r="CL10" s="243">
        <v>64</v>
      </c>
      <c r="CM10" s="243">
        <v>1652</v>
      </c>
      <c r="CN10" s="243">
        <v>180250404</v>
      </c>
      <c r="CO10" s="243">
        <v>0</v>
      </c>
      <c r="CP10" s="243">
        <v>0</v>
      </c>
      <c r="CQ10" s="243">
        <v>0</v>
      </c>
      <c r="CR10" s="243">
        <v>0</v>
      </c>
      <c r="CS10" s="243">
        <v>236</v>
      </c>
      <c r="CT10" s="243">
        <v>253</v>
      </c>
      <c r="CU10" s="243">
        <v>0</v>
      </c>
      <c r="CV10" s="243">
        <v>4</v>
      </c>
      <c r="CW10" s="243">
        <v>493</v>
      </c>
      <c r="CX10" s="243">
        <v>70890204</v>
      </c>
      <c r="CY10" s="243">
        <v>0</v>
      </c>
      <c r="CZ10" s="243">
        <v>0</v>
      </c>
      <c r="DA10" s="243">
        <v>0</v>
      </c>
      <c r="DB10" s="243">
        <v>0</v>
      </c>
      <c r="DC10" s="243">
        <v>105</v>
      </c>
      <c r="DD10" s="243">
        <v>27</v>
      </c>
      <c r="DE10" s="243">
        <v>0</v>
      </c>
      <c r="DF10" s="243">
        <v>0</v>
      </c>
      <c r="DG10" s="243">
        <v>132</v>
      </c>
      <c r="DH10" s="243">
        <v>26196300</v>
      </c>
      <c r="DI10" s="243">
        <v>0</v>
      </c>
      <c r="DJ10" s="243">
        <v>0</v>
      </c>
      <c r="DK10" s="243">
        <v>32</v>
      </c>
      <c r="DL10" s="243">
        <v>0</v>
      </c>
      <c r="DM10" s="243">
        <v>0</v>
      </c>
      <c r="DN10" s="243">
        <v>0</v>
      </c>
      <c r="DO10" s="243">
        <v>20</v>
      </c>
      <c r="DP10" s="243">
        <v>0</v>
      </c>
      <c r="DQ10" s="243">
        <v>52</v>
      </c>
      <c r="DR10" s="243">
        <v>1998672</v>
      </c>
      <c r="DS10" s="243">
        <v>0</v>
      </c>
      <c r="DT10" s="243">
        <v>0</v>
      </c>
      <c r="DU10" s="243">
        <v>11</v>
      </c>
      <c r="DV10" s="243">
        <v>0</v>
      </c>
      <c r="DW10" s="243">
        <v>0</v>
      </c>
      <c r="DX10" s="243">
        <v>0</v>
      </c>
      <c r="DY10" s="243">
        <v>8</v>
      </c>
      <c r="DZ10" s="243">
        <v>0</v>
      </c>
      <c r="EA10" s="243">
        <v>19</v>
      </c>
      <c r="EB10" s="243">
        <v>762408</v>
      </c>
      <c r="EC10" s="243">
        <v>0</v>
      </c>
      <c r="ED10" s="243">
        <v>0</v>
      </c>
      <c r="EE10" s="243">
        <v>0</v>
      </c>
      <c r="EF10" s="243">
        <v>0</v>
      </c>
      <c r="EG10" s="243">
        <v>57</v>
      </c>
      <c r="EH10" s="243">
        <v>131</v>
      </c>
      <c r="EI10" s="243">
        <v>4</v>
      </c>
      <c r="EJ10" s="243">
        <v>0</v>
      </c>
      <c r="EK10" s="251">
        <v>192</v>
      </c>
      <c r="EL10" s="243">
        <v>49077516</v>
      </c>
      <c r="EM10" s="243">
        <v>0</v>
      </c>
      <c r="EN10" s="243">
        <v>0</v>
      </c>
      <c r="EO10" s="243">
        <v>0</v>
      </c>
      <c r="EP10" s="243">
        <v>0</v>
      </c>
      <c r="EQ10" s="243">
        <v>9</v>
      </c>
      <c r="ER10" s="243">
        <v>37</v>
      </c>
      <c r="ES10" s="243">
        <v>7</v>
      </c>
      <c r="ET10" s="243">
        <v>0</v>
      </c>
      <c r="EU10" s="251">
        <v>53</v>
      </c>
      <c r="EV10" s="243">
        <v>747360</v>
      </c>
      <c r="EW10" s="253">
        <v>0</v>
      </c>
      <c r="EX10" s="253">
        <v>0</v>
      </c>
      <c r="EY10" s="253">
        <v>47</v>
      </c>
      <c r="EZ10" s="253">
        <v>63</v>
      </c>
      <c r="FA10" s="253">
        <v>7190</v>
      </c>
      <c r="FB10" s="253">
        <v>7933</v>
      </c>
      <c r="FC10" s="253">
        <v>86</v>
      </c>
      <c r="FD10" s="253">
        <v>1212</v>
      </c>
      <c r="FE10" s="253">
        <v>16531</v>
      </c>
      <c r="FF10" s="253">
        <v>1251736644</v>
      </c>
      <c r="FG10" s="243">
        <v>0</v>
      </c>
      <c r="FH10" s="243">
        <v>25</v>
      </c>
      <c r="FI10" s="243">
        <v>0</v>
      </c>
      <c r="FJ10" s="243">
        <v>0</v>
      </c>
      <c r="FK10" s="243">
        <v>158</v>
      </c>
      <c r="FL10" s="243">
        <v>346</v>
      </c>
      <c r="FM10" s="243">
        <v>2</v>
      </c>
      <c r="FN10" s="243">
        <v>0</v>
      </c>
      <c r="FO10" s="243">
        <v>531</v>
      </c>
      <c r="FP10" s="243">
        <v>50651988</v>
      </c>
      <c r="FQ10" s="253">
        <v>0</v>
      </c>
      <c r="FR10" s="253">
        <v>25</v>
      </c>
      <c r="FS10" s="253">
        <v>47</v>
      </c>
      <c r="FT10" s="253">
        <v>63</v>
      </c>
      <c r="FU10" s="253">
        <v>7348</v>
      </c>
      <c r="FV10" s="253">
        <v>8279</v>
      </c>
      <c r="FW10" s="253">
        <v>88</v>
      </c>
      <c r="FX10" s="253">
        <v>1212</v>
      </c>
      <c r="FY10" s="253">
        <v>17062</v>
      </c>
      <c r="FZ10" s="253">
        <v>7348</v>
      </c>
      <c r="GA10" s="253">
        <v>8304</v>
      </c>
      <c r="GB10" s="253">
        <v>135</v>
      </c>
      <c r="GC10" s="253">
        <v>1275</v>
      </c>
      <c r="GD10" s="253">
        <v>1302388632</v>
      </c>
      <c r="GE10" s="253">
        <v>21241100.000000007</v>
      </c>
      <c r="GF10" s="232">
        <v>1323629700</v>
      </c>
      <c r="GG10" s="307">
        <v>1282431.8</v>
      </c>
      <c r="GH10" s="307">
        <v>1319791.8</v>
      </c>
      <c r="GI10" s="166">
        <f t="shared" si="5"/>
        <v>1333729.1000000001</v>
      </c>
      <c r="GJ10" s="166">
        <f t="shared" si="6"/>
        <v>1372583.5</v>
      </c>
      <c r="GK10" s="166">
        <v>1300934.2</v>
      </c>
      <c r="GL10" s="166">
        <f t="shared" si="13"/>
        <v>1352971.6</v>
      </c>
      <c r="GM10" s="281">
        <f t="shared" si="0"/>
        <v>1272266900</v>
      </c>
      <c r="GN10" s="281">
        <f t="shared" si="7"/>
        <v>16399.917475257618</v>
      </c>
      <c r="GO10" s="281">
        <f t="shared" si="8"/>
        <v>1237508500</v>
      </c>
      <c r="GP10" s="309">
        <f t="shared" si="9"/>
        <v>15951.870849528383</v>
      </c>
      <c r="GQ10" s="230">
        <v>16652</v>
      </c>
      <c r="GR10" s="230">
        <v>1282431800</v>
      </c>
      <c r="GS10" s="243">
        <f t="shared" si="1"/>
        <v>410</v>
      </c>
      <c r="GT10" s="243">
        <v>16727</v>
      </c>
      <c r="GU10" s="243">
        <f t="shared" si="2"/>
        <v>335</v>
      </c>
      <c r="GW10" s="162">
        <f t="shared" si="10"/>
        <v>1323629700</v>
      </c>
      <c r="GX10" s="162">
        <f t="shared" ref="GX10" si="16">ROUND(GW10*1.04,-2)</f>
        <v>1376574900</v>
      </c>
      <c r="GY10" s="162">
        <f>ROUNDUP(GX10*1.04,-2)</f>
        <v>1431637900</v>
      </c>
      <c r="GZ10" s="162"/>
      <c r="HA10" s="162">
        <f t="shared" si="12"/>
        <v>1323629.7</v>
      </c>
      <c r="HB10" s="162">
        <f t="shared" si="4"/>
        <v>1376574.9</v>
      </c>
      <c r="HC10" s="162">
        <f t="shared" si="4"/>
        <v>1431637.9</v>
      </c>
    </row>
    <row r="11" spans="1:211" s="247" customFormat="1" x14ac:dyDescent="0.2">
      <c r="A11" s="248">
        <v>6</v>
      </c>
      <c r="B11" s="248" t="s">
        <v>10</v>
      </c>
      <c r="C11" s="250">
        <v>0</v>
      </c>
      <c r="D11" s="250">
        <v>0</v>
      </c>
      <c r="E11" s="250">
        <v>0</v>
      </c>
      <c r="F11" s="250">
        <v>147</v>
      </c>
      <c r="G11" s="250">
        <v>4588</v>
      </c>
      <c r="H11" s="250">
        <v>4005</v>
      </c>
      <c r="I11" s="250">
        <v>168</v>
      </c>
      <c r="J11" s="250">
        <v>395</v>
      </c>
      <c r="K11" s="251">
        <v>9303</v>
      </c>
      <c r="L11" s="243">
        <v>572549952</v>
      </c>
      <c r="M11" s="250">
        <v>0</v>
      </c>
      <c r="N11" s="250">
        <v>0</v>
      </c>
      <c r="O11" s="250">
        <v>73</v>
      </c>
      <c r="P11" s="250">
        <v>0</v>
      </c>
      <c r="Q11" s="250">
        <v>0</v>
      </c>
      <c r="R11" s="250">
        <v>1358</v>
      </c>
      <c r="S11" s="250">
        <v>142</v>
      </c>
      <c r="T11" s="250">
        <v>0</v>
      </c>
      <c r="U11" s="243">
        <v>1573</v>
      </c>
      <c r="V11" s="252">
        <v>124679940</v>
      </c>
      <c r="W11" s="243">
        <v>0</v>
      </c>
      <c r="X11" s="243">
        <v>0</v>
      </c>
      <c r="Y11" s="243">
        <v>0</v>
      </c>
      <c r="Z11" s="243">
        <v>0</v>
      </c>
      <c r="AA11" s="243">
        <v>876</v>
      </c>
      <c r="AB11" s="243">
        <v>783</v>
      </c>
      <c r="AC11" s="243">
        <v>50</v>
      </c>
      <c r="AD11" s="243">
        <v>52</v>
      </c>
      <c r="AE11" s="243">
        <v>1761</v>
      </c>
      <c r="AF11" s="243">
        <v>107983824</v>
      </c>
      <c r="AG11" s="243">
        <v>0</v>
      </c>
      <c r="AH11" s="243">
        <v>0</v>
      </c>
      <c r="AI11" s="243">
        <v>21</v>
      </c>
      <c r="AJ11" s="243">
        <v>0</v>
      </c>
      <c r="AK11" s="243">
        <v>89</v>
      </c>
      <c r="AL11" s="243">
        <v>127</v>
      </c>
      <c r="AM11" s="243">
        <v>0</v>
      </c>
      <c r="AN11" s="243">
        <v>0</v>
      </c>
      <c r="AO11" s="243">
        <v>237</v>
      </c>
      <c r="AP11" s="243">
        <v>16107636</v>
      </c>
      <c r="AQ11" s="243">
        <v>0</v>
      </c>
      <c r="AR11" s="243">
        <v>0</v>
      </c>
      <c r="AS11" s="243">
        <v>0</v>
      </c>
      <c r="AT11" s="243">
        <v>0</v>
      </c>
      <c r="AU11" s="243">
        <v>29</v>
      </c>
      <c r="AV11" s="243">
        <v>58</v>
      </c>
      <c r="AW11" s="243">
        <v>0</v>
      </c>
      <c r="AX11" s="243">
        <v>0</v>
      </c>
      <c r="AY11" s="243">
        <v>87</v>
      </c>
      <c r="AZ11" s="243">
        <v>9110640</v>
      </c>
      <c r="BA11" s="243">
        <v>0</v>
      </c>
      <c r="BB11" s="243">
        <v>0</v>
      </c>
      <c r="BC11" s="243">
        <v>0</v>
      </c>
      <c r="BD11" s="243">
        <v>0</v>
      </c>
      <c r="BE11" s="243">
        <v>0</v>
      </c>
      <c r="BF11" s="243">
        <v>0</v>
      </c>
      <c r="BG11" s="243">
        <v>0</v>
      </c>
      <c r="BH11" s="243">
        <v>0</v>
      </c>
      <c r="BI11" s="243">
        <v>0</v>
      </c>
      <c r="BJ11" s="243">
        <v>0</v>
      </c>
      <c r="BK11" s="243">
        <v>0</v>
      </c>
      <c r="BL11" s="243">
        <v>0</v>
      </c>
      <c r="BM11" s="243">
        <v>10</v>
      </c>
      <c r="BN11" s="243">
        <v>0</v>
      </c>
      <c r="BO11" s="243">
        <v>2142</v>
      </c>
      <c r="BP11" s="243">
        <v>2209</v>
      </c>
      <c r="BQ11" s="243">
        <v>241</v>
      </c>
      <c r="BR11" s="243">
        <v>0</v>
      </c>
      <c r="BS11" s="243">
        <v>4602</v>
      </c>
      <c r="BT11" s="243">
        <v>364383240</v>
      </c>
      <c r="BU11" s="243">
        <v>0</v>
      </c>
      <c r="BV11" s="243">
        <v>0</v>
      </c>
      <c r="BW11" s="243">
        <v>14</v>
      </c>
      <c r="BX11" s="243">
        <v>0</v>
      </c>
      <c r="BY11" s="243">
        <v>196</v>
      </c>
      <c r="BZ11" s="243">
        <v>172</v>
      </c>
      <c r="CA11" s="243">
        <v>17</v>
      </c>
      <c r="CB11" s="243">
        <v>0</v>
      </c>
      <c r="CC11" s="243">
        <v>399</v>
      </c>
      <c r="CD11" s="243">
        <v>35563344</v>
      </c>
      <c r="CE11" s="243">
        <v>0</v>
      </c>
      <c r="CF11" s="243">
        <v>0</v>
      </c>
      <c r="CG11" s="243">
        <v>0</v>
      </c>
      <c r="CH11" s="243">
        <v>0</v>
      </c>
      <c r="CI11" s="243">
        <v>297</v>
      </c>
      <c r="CJ11" s="243">
        <v>292</v>
      </c>
      <c r="CK11" s="243">
        <v>0</v>
      </c>
      <c r="CL11" s="243">
        <v>0</v>
      </c>
      <c r="CM11" s="243">
        <v>589</v>
      </c>
      <c r="CN11" s="243">
        <v>61789224</v>
      </c>
      <c r="CO11" s="243">
        <v>0</v>
      </c>
      <c r="CP11" s="243">
        <v>0</v>
      </c>
      <c r="CQ11" s="243">
        <v>0</v>
      </c>
      <c r="CR11" s="243">
        <v>0</v>
      </c>
      <c r="CS11" s="243">
        <v>62</v>
      </c>
      <c r="CT11" s="243">
        <v>0</v>
      </c>
      <c r="CU11" s="243">
        <v>0</v>
      </c>
      <c r="CV11" s="243">
        <v>0</v>
      </c>
      <c r="CW11" s="243">
        <v>62</v>
      </c>
      <c r="CX11" s="243">
        <v>7233912</v>
      </c>
      <c r="CY11" s="243">
        <v>0</v>
      </c>
      <c r="CZ11" s="243">
        <v>0</v>
      </c>
      <c r="DA11" s="243">
        <v>0</v>
      </c>
      <c r="DB11" s="243">
        <v>0</v>
      </c>
      <c r="DC11" s="243">
        <v>91</v>
      </c>
      <c r="DD11" s="243">
        <v>0</v>
      </c>
      <c r="DE11" s="243">
        <v>0</v>
      </c>
      <c r="DF11" s="243">
        <v>0</v>
      </c>
      <c r="DG11" s="243">
        <v>91</v>
      </c>
      <c r="DH11" s="243">
        <v>16572192</v>
      </c>
      <c r="DI11" s="243">
        <v>0</v>
      </c>
      <c r="DJ11" s="243">
        <v>0</v>
      </c>
      <c r="DK11" s="243">
        <v>40</v>
      </c>
      <c r="DL11" s="243">
        <v>0</v>
      </c>
      <c r="DM11" s="243">
        <v>0</v>
      </c>
      <c r="DN11" s="243">
        <v>0</v>
      </c>
      <c r="DO11" s="243">
        <v>25</v>
      </c>
      <c r="DP11" s="243">
        <v>0</v>
      </c>
      <c r="DQ11" s="243">
        <v>65</v>
      </c>
      <c r="DR11" s="243">
        <v>2498340</v>
      </c>
      <c r="DS11" s="243">
        <v>0</v>
      </c>
      <c r="DT11" s="243">
        <v>0</v>
      </c>
      <c r="DU11" s="243">
        <v>0</v>
      </c>
      <c r="DV11" s="243">
        <v>0</v>
      </c>
      <c r="DW11" s="243">
        <v>0</v>
      </c>
      <c r="DX11" s="243">
        <v>0</v>
      </c>
      <c r="DY11" s="243">
        <v>0</v>
      </c>
      <c r="DZ11" s="243">
        <v>0</v>
      </c>
      <c r="EA11" s="243">
        <v>0</v>
      </c>
      <c r="EB11" s="243">
        <v>0</v>
      </c>
      <c r="EC11" s="243">
        <v>0</v>
      </c>
      <c r="ED11" s="243">
        <v>0</v>
      </c>
      <c r="EE11" s="243">
        <v>0</v>
      </c>
      <c r="EF11" s="243">
        <v>0</v>
      </c>
      <c r="EG11" s="243">
        <v>70</v>
      </c>
      <c r="EH11" s="243">
        <v>101</v>
      </c>
      <c r="EI11" s="243">
        <v>3</v>
      </c>
      <c r="EJ11" s="243">
        <v>4</v>
      </c>
      <c r="EK11" s="251">
        <v>178</v>
      </c>
      <c r="EL11" s="243">
        <v>43329660</v>
      </c>
      <c r="EM11" s="243">
        <v>0</v>
      </c>
      <c r="EN11" s="243">
        <v>0</v>
      </c>
      <c r="EO11" s="243">
        <v>0</v>
      </c>
      <c r="EP11" s="243">
        <v>0</v>
      </c>
      <c r="EQ11" s="243">
        <v>21</v>
      </c>
      <c r="ER11" s="243">
        <v>27</v>
      </c>
      <c r="ES11" s="243">
        <v>8</v>
      </c>
      <c r="ET11" s="243">
        <v>0</v>
      </c>
      <c r="EU11" s="251">
        <v>56</v>
      </c>
      <c r="EV11" s="243">
        <v>713076</v>
      </c>
      <c r="EW11" s="253">
        <v>0</v>
      </c>
      <c r="EX11" s="253">
        <v>0</v>
      </c>
      <c r="EY11" s="253">
        <v>158</v>
      </c>
      <c r="EZ11" s="253">
        <v>147</v>
      </c>
      <c r="FA11" s="253">
        <v>8461</v>
      </c>
      <c r="FB11" s="253">
        <v>9132</v>
      </c>
      <c r="FC11" s="253">
        <v>654</v>
      </c>
      <c r="FD11" s="253">
        <v>451</v>
      </c>
      <c r="FE11" s="253">
        <v>19003</v>
      </c>
      <c r="FF11" s="253">
        <v>1362514980</v>
      </c>
      <c r="FG11" s="243">
        <v>0</v>
      </c>
      <c r="FH11" s="243">
        <v>642</v>
      </c>
      <c r="FI11" s="243">
        <v>0</v>
      </c>
      <c r="FJ11" s="243">
        <v>0</v>
      </c>
      <c r="FK11" s="243">
        <v>536</v>
      </c>
      <c r="FL11" s="243">
        <v>25</v>
      </c>
      <c r="FM11" s="243">
        <v>0</v>
      </c>
      <c r="FN11" s="243">
        <v>0</v>
      </c>
      <c r="FO11" s="243">
        <v>1203</v>
      </c>
      <c r="FP11" s="243">
        <v>88163028</v>
      </c>
      <c r="FQ11" s="253">
        <v>0</v>
      </c>
      <c r="FR11" s="253">
        <v>642</v>
      </c>
      <c r="FS11" s="253">
        <v>158</v>
      </c>
      <c r="FT11" s="253">
        <v>147</v>
      </c>
      <c r="FU11" s="253">
        <v>8997</v>
      </c>
      <c r="FV11" s="253">
        <v>9157</v>
      </c>
      <c r="FW11" s="253">
        <v>654</v>
      </c>
      <c r="FX11" s="253">
        <v>451</v>
      </c>
      <c r="FY11" s="253">
        <v>20206</v>
      </c>
      <c r="FZ11" s="253">
        <v>8997</v>
      </c>
      <c r="GA11" s="253">
        <v>9799</v>
      </c>
      <c r="GB11" s="253">
        <v>812</v>
      </c>
      <c r="GC11" s="253">
        <v>598</v>
      </c>
      <c r="GD11" s="253">
        <v>1450678008</v>
      </c>
      <c r="GE11" s="253">
        <v>25345000.000000004</v>
      </c>
      <c r="GF11" s="232">
        <v>1476023000</v>
      </c>
      <c r="GG11" s="307">
        <v>1390916.7</v>
      </c>
      <c r="GH11" s="307">
        <v>1424785.6</v>
      </c>
      <c r="GI11" s="166">
        <f t="shared" si="5"/>
        <v>1446553.4</v>
      </c>
      <c r="GJ11" s="166">
        <f t="shared" si="6"/>
        <v>1481777</v>
      </c>
      <c r="GK11" s="166">
        <v>1421183.3</v>
      </c>
      <c r="GL11" s="166">
        <f t="shared" si="13"/>
        <v>1478030.6</v>
      </c>
      <c r="GM11" s="281">
        <f t="shared" si="0"/>
        <v>1418746600</v>
      </c>
      <c r="GN11" s="281">
        <f t="shared" si="7"/>
        <v>19421.915376386412</v>
      </c>
      <c r="GO11" s="281">
        <f t="shared" si="8"/>
        <v>1379986400</v>
      </c>
      <c r="GP11" s="309">
        <f t="shared" si="9"/>
        <v>18891.308061188749</v>
      </c>
      <c r="GQ11" s="230">
        <v>19071</v>
      </c>
      <c r="GR11" s="230">
        <v>1390916700</v>
      </c>
      <c r="GS11" s="243">
        <f t="shared" si="1"/>
        <v>1135</v>
      </c>
      <c r="GT11" s="243">
        <v>19921</v>
      </c>
      <c r="GU11" s="243">
        <f t="shared" si="2"/>
        <v>285</v>
      </c>
      <c r="GW11" s="162">
        <f t="shared" si="10"/>
        <v>1476023000</v>
      </c>
      <c r="GX11" s="162">
        <f t="shared" ref="GX11" si="17">ROUND(GW11*1.04,-2)</f>
        <v>1535063900</v>
      </c>
      <c r="GY11" s="162">
        <f>ROUNDUP(GX11*1.04,-2)</f>
        <v>1596466500</v>
      </c>
      <c r="GZ11" s="162"/>
      <c r="HA11" s="162">
        <f t="shared" si="12"/>
        <v>1476023</v>
      </c>
      <c r="HB11" s="162">
        <f t="shared" si="4"/>
        <v>1535063.9</v>
      </c>
      <c r="HC11" s="162">
        <f t="shared" si="4"/>
        <v>1596466.5</v>
      </c>
    </row>
    <row r="12" spans="1:211" s="247" customFormat="1" x14ac:dyDescent="0.2">
      <c r="A12" s="248">
        <v>7</v>
      </c>
      <c r="B12" s="249" t="s">
        <v>11</v>
      </c>
      <c r="C12" s="250">
        <v>0</v>
      </c>
      <c r="D12" s="250">
        <v>0</v>
      </c>
      <c r="E12" s="250">
        <v>0</v>
      </c>
      <c r="F12" s="250">
        <v>0</v>
      </c>
      <c r="G12" s="250">
        <v>1720</v>
      </c>
      <c r="H12" s="250">
        <v>2048</v>
      </c>
      <c r="I12" s="250">
        <v>0</v>
      </c>
      <c r="J12" s="250">
        <v>422</v>
      </c>
      <c r="K12" s="251">
        <v>4190</v>
      </c>
      <c r="L12" s="243">
        <v>269556696</v>
      </c>
      <c r="M12" s="250">
        <v>0</v>
      </c>
      <c r="N12" s="250">
        <v>0</v>
      </c>
      <c r="O12" s="250">
        <v>0</v>
      </c>
      <c r="P12" s="250">
        <v>0</v>
      </c>
      <c r="Q12" s="250">
        <v>697</v>
      </c>
      <c r="R12" s="250">
        <v>742</v>
      </c>
      <c r="S12" s="250">
        <v>0</v>
      </c>
      <c r="T12" s="250">
        <v>162</v>
      </c>
      <c r="U12" s="243">
        <v>1601</v>
      </c>
      <c r="V12" s="252">
        <v>110142456</v>
      </c>
      <c r="W12" s="243">
        <v>0</v>
      </c>
      <c r="X12" s="243">
        <v>0</v>
      </c>
      <c r="Y12" s="243">
        <v>0</v>
      </c>
      <c r="Z12" s="243">
        <v>0</v>
      </c>
      <c r="AA12" s="243">
        <v>0</v>
      </c>
      <c r="AB12" s="243">
        <v>0</v>
      </c>
      <c r="AC12" s="243">
        <v>0</v>
      </c>
      <c r="AD12" s="243">
        <v>0</v>
      </c>
      <c r="AE12" s="243">
        <v>0</v>
      </c>
      <c r="AF12" s="243">
        <v>0</v>
      </c>
      <c r="AG12" s="243">
        <v>0</v>
      </c>
      <c r="AH12" s="243">
        <v>0</v>
      </c>
      <c r="AI12" s="243">
        <v>0</v>
      </c>
      <c r="AJ12" s="243">
        <v>0</v>
      </c>
      <c r="AK12" s="243">
        <v>0</v>
      </c>
      <c r="AL12" s="243">
        <v>0</v>
      </c>
      <c r="AM12" s="243">
        <v>0</v>
      </c>
      <c r="AN12" s="243">
        <v>0</v>
      </c>
      <c r="AO12" s="243">
        <v>0</v>
      </c>
      <c r="AP12" s="243">
        <v>0</v>
      </c>
      <c r="AQ12" s="243">
        <v>0</v>
      </c>
      <c r="AR12" s="243">
        <v>0</v>
      </c>
      <c r="AS12" s="243">
        <v>0</v>
      </c>
      <c r="AT12" s="243">
        <v>0</v>
      </c>
      <c r="AU12" s="243">
        <v>0</v>
      </c>
      <c r="AV12" s="243">
        <v>0</v>
      </c>
      <c r="AW12" s="243">
        <v>0</v>
      </c>
      <c r="AX12" s="243">
        <v>0</v>
      </c>
      <c r="AY12" s="243">
        <v>0</v>
      </c>
      <c r="AZ12" s="243">
        <v>0</v>
      </c>
      <c r="BA12" s="243">
        <v>0</v>
      </c>
      <c r="BB12" s="243">
        <v>0</v>
      </c>
      <c r="BC12" s="243">
        <v>0</v>
      </c>
      <c r="BD12" s="243">
        <v>0</v>
      </c>
      <c r="BE12" s="243">
        <v>0</v>
      </c>
      <c r="BF12" s="243">
        <v>0</v>
      </c>
      <c r="BG12" s="243">
        <v>0</v>
      </c>
      <c r="BH12" s="243">
        <v>0</v>
      </c>
      <c r="BI12" s="243">
        <v>0</v>
      </c>
      <c r="BJ12" s="243">
        <v>0</v>
      </c>
      <c r="BK12" s="243">
        <v>0</v>
      </c>
      <c r="BL12" s="243">
        <v>0</v>
      </c>
      <c r="BM12" s="243">
        <v>0</v>
      </c>
      <c r="BN12" s="243">
        <v>0</v>
      </c>
      <c r="BO12" s="243">
        <v>268</v>
      </c>
      <c r="BP12" s="243">
        <v>265</v>
      </c>
      <c r="BQ12" s="243">
        <v>0</v>
      </c>
      <c r="BR12" s="243">
        <v>34</v>
      </c>
      <c r="BS12" s="243">
        <v>567</v>
      </c>
      <c r="BT12" s="243">
        <v>45106932</v>
      </c>
      <c r="BU12" s="243">
        <v>0</v>
      </c>
      <c r="BV12" s="243">
        <v>0</v>
      </c>
      <c r="BW12" s="243">
        <v>0</v>
      </c>
      <c r="BX12" s="243">
        <v>0</v>
      </c>
      <c r="BY12" s="243">
        <v>0</v>
      </c>
      <c r="BZ12" s="243">
        <v>0</v>
      </c>
      <c r="CA12" s="243">
        <v>0</v>
      </c>
      <c r="CB12" s="243">
        <v>0</v>
      </c>
      <c r="CC12" s="243">
        <v>0</v>
      </c>
      <c r="CD12" s="243">
        <v>0</v>
      </c>
      <c r="CE12" s="243">
        <v>0</v>
      </c>
      <c r="CF12" s="243">
        <v>0</v>
      </c>
      <c r="CG12" s="243">
        <v>0</v>
      </c>
      <c r="CH12" s="243">
        <v>0</v>
      </c>
      <c r="CI12" s="243">
        <v>247</v>
      </c>
      <c r="CJ12" s="243">
        <v>284</v>
      </c>
      <c r="CK12" s="243">
        <v>0</v>
      </c>
      <c r="CL12" s="243">
        <v>23</v>
      </c>
      <c r="CM12" s="243">
        <v>554</v>
      </c>
      <c r="CN12" s="243">
        <v>60193548</v>
      </c>
      <c r="CO12" s="243">
        <v>0</v>
      </c>
      <c r="CP12" s="243">
        <v>0</v>
      </c>
      <c r="CQ12" s="243">
        <v>0</v>
      </c>
      <c r="CR12" s="243">
        <v>0</v>
      </c>
      <c r="CS12" s="243">
        <v>35</v>
      </c>
      <c r="CT12" s="243">
        <v>51</v>
      </c>
      <c r="CU12" s="243">
        <v>0</v>
      </c>
      <c r="CV12" s="243">
        <v>0</v>
      </c>
      <c r="CW12" s="243">
        <v>86</v>
      </c>
      <c r="CX12" s="243">
        <v>12647376</v>
      </c>
      <c r="CY12" s="243">
        <v>0</v>
      </c>
      <c r="CZ12" s="243">
        <v>0</v>
      </c>
      <c r="DA12" s="243">
        <v>0</v>
      </c>
      <c r="DB12" s="243">
        <v>0</v>
      </c>
      <c r="DC12" s="243">
        <v>0</v>
      </c>
      <c r="DD12" s="243">
        <v>0</v>
      </c>
      <c r="DE12" s="243">
        <v>0</v>
      </c>
      <c r="DF12" s="243">
        <v>0</v>
      </c>
      <c r="DG12" s="243">
        <v>0</v>
      </c>
      <c r="DH12" s="243">
        <v>0</v>
      </c>
      <c r="DI12" s="243">
        <v>0</v>
      </c>
      <c r="DJ12" s="243">
        <v>0</v>
      </c>
      <c r="DK12" s="243">
        <v>30</v>
      </c>
      <c r="DL12" s="243">
        <v>0</v>
      </c>
      <c r="DM12" s="243">
        <v>0</v>
      </c>
      <c r="DN12" s="243">
        <v>0</v>
      </c>
      <c r="DO12" s="243">
        <v>0</v>
      </c>
      <c r="DP12" s="243">
        <v>0</v>
      </c>
      <c r="DQ12" s="243">
        <v>30</v>
      </c>
      <c r="DR12" s="243">
        <v>1153080</v>
      </c>
      <c r="DS12" s="243">
        <v>0</v>
      </c>
      <c r="DT12" s="243">
        <v>0</v>
      </c>
      <c r="DU12" s="243">
        <v>0</v>
      </c>
      <c r="DV12" s="243">
        <v>0</v>
      </c>
      <c r="DW12" s="243">
        <v>0</v>
      </c>
      <c r="DX12" s="243">
        <v>0</v>
      </c>
      <c r="DY12" s="243">
        <v>0</v>
      </c>
      <c r="DZ12" s="243">
        <v>0</v>
      </c>
      <c r="EA12" s="243">
        <v>0</v>
      </c>
      <c r="EB12" s="243">
        <v>0</v>
      </c>
      <c r="EC12" s="243">
        <v>0</v>
      </c>
      <c r="ED12" s="243">
        <v>0</v>
      </c>
      <c r="EE12" s="243">
        <v>0</v>
      </c>
      <c r="EF12" s="243">
        <v>0</v>
      </c>
      <c r="EG12" s="243">
        <v>9</v>
      </c>
      <c r="EH12" s="243">
        <v>18</v>
      </c>
      <c r="EI12" s="243">
        <v>0</v>
      </c>
      <c r="EJ12" s="243">
        <v>4</v>
      </c>
      <c r="EK12" s="251">
        <v>31</v>
      </c>
      <c r="EL12" s="243">
        <v>6825276</v>
      </c>
      <c r="EM12" s="243">
        <v>0</v>
      </c>
      <c r="EN12" s="243">
        <v>0</v>
      </c>
      <c r="EO12" s="243">
        <v>0</v>
      </c>
      <c r="EP12" s="243">
        <v>0</v>
      </c>
      <c r="EQ12" s="243">
        <v>2</v>
      </c>
      <c r="ER12" s="243">
        <v>1</v>
      </c>
      <c r="ES12" s="243">
        <v>0</v>
      </c>
      <c r="ET12" s="243">
        <v>0</v>
      </c>
      <c r="EU12" s="251">
        <v>3</v>
      </c>
      <c r="EV12" s="243">
        <v>31332</v>
      </c>
      <c r="EW12" s="253">
        <v>0</v>
      </c>
      <c r="EX12" s="253">
        <v>0</v>
      </c>
      <c r="EY12" s="253">
        <v>30</v>
      </c>
      <c r="EZ12" s="253">
        <v>0</v>
      </c>
      <c r="FA12" s="253">
        <v>2978</v>
      </c>
      <c r="FB12" s="253">
        <v>3409</v>
      </c>
      <c r="FC12" s="253">
        <v>0</v>
      </c>
      <c r="FD12" s="253">
        <v>645</v>
      </c>
      <c r="FE12" s="253">
        <v>7062</v>
      </c>
      <c r="FF12" s="253">
        <v>505656696</v>
      </c>
      <c r="FG12" s="243">
        <v>0</v>
      </c>
      <c r="FH12" s="243">
        <v>63</v>
      </c>
      <c r="FI12" s="243">
        <v>0</v>
      </c>
      <c r="FJ12" s="243">
        <v>0</v>
      </c>
      <c r="FK12" s="243">
        <v>222</v>
      </c>
      <c r="FL12" s="243">
        <v>142</v>
      </c>
      <c r="FM12" s="243">
        <v>0</v>
      </c>
      <c r="FN12" s="243">
        <v>0</v>
      </c>
      <c r="FO12" s="243">
        <v>427</v>
      </c>
      <c r="FP12" s="243">
        <v>43158528</v>
      </c>
      <c r="FQ12" s="253">
        <v>0</v>
      </c>
      <c r="FR12" s="253">
        <v>63</v>
      </c>
      <c r="FS12" s="253">
        <v>30</v>
      </c>
      <c r="FT12" s="253">
        <v>0</v>
      </c>
      <c r="FU12" s="253">
        <v>3200</v>
      </c>
      <c r="FV12" s="253">
        <v>3551</v>
      </c>
      <c r="FW12" s="253">
        <v>0</v>
      </c>
      <c r="FX12" s="253">
        <v>645</v>
      </c>
      <c r="FY12" s="253">
        <v>7489</v>
      </c>
      <c r="FZ12" s="253">
        <v>3200</v>
      </c>
      <c r="GA12" s="253">
        <v>3614</v>
      </c>
      <c r="GB12" s="253">
        <v>30</v>
      </c>
      <c r="GC12" s="253">
        <v>645</v>
      </c>
      <c r="GD12" s="253">
        <v>548815224</v>
      </c>
      <c r="GE12" s="253">
        <v>9594199.9999999981</v>
      </c>
      <c r="GF12" s="232">
        <v>558409400</v>
      </c>
      <c r="GG12" s="307">
        <v>546611.30000000005</v>
      </c>
      <c r="GH12" s="307">
        <v>548775.9</v>
      </c>
      <c r="GI12" s="166">
        <f t="shared" si="5"/>
        <v>568475.80000000005</v>
      </c>
      <c r="GJ12" s="166">
        <f t="shared" si="6"/>
        <v>570726.9</v>
      </c>
      <c r="GK12" s="166">
        <v>547653.5</v>
      </c>
      <c r="GL12" s="166">
        <f t="shared" si="13"/>
        <v>569559.6</v>
      </c>
      <c r="GM12" s="281">
        <f t="shared" si="0"/>
        <v>536740600</v>
      </c>
      <c r="GN12" s="281">
        <f t="shared" si="7"/>
        <v>7198.3930668072562</v>
      </c>
      <c r="GO12" s="281">
        <f t="shared" si="8"/>
        <v>522076800</v>
      </c>
      <c r="GP12" s="309">
        <f t="shared" si="9"/>
        <v>7001.7323404656145</v>
      </c>
      <c r="GQ12" s="230">
        <v>7269</v>
      </c>
      <c r="GR12" s="230">
        <v>546611300</v>
      </c>
      <c r="GS12" s="243">
        <f t="shared" si="1"/>
        <v>220</v>
      </c>
      <c r="GT12" s="243">
        <v>7346</v>
      </c>
      <c r="GU12" s="243">
        <f t="shared" si="2"/>
        <v>143</v>
      </c>
      <c r="GW12" s="162">
        <f t="shared" si="10"/>
        <v>558409400</v>
      </c>
      <c r="GX12" s="162">
        <f t="shared" ref="GX12" si="18">ROUND(GW12*1.04,-2)</f>
        <v>580745800</v>
      </c>
      <c r="GY12" s="162">
        <f>ROUNDUP(GX12*1.04,-2)</f>
        <v>603975700</v>
      </c>
      <c r="GZ12" s="162"/>
      <c r="HA12" s="162">
        <f t="shared" si="12"/>
        <v>558409.4</v>
      </c>
      <c r="HB12" s="162">
        <f t="shared" si="4"/>
        <v>580745.80000000005</v>
      </c>
      <c r="HC12" s="162">
        <f t="shared" si="4"/>
        <v>603975.69999999995</v>
      </c>
    </row>
    <row r="13" spans="1:211" s="247" customFormat="1" x14ac:dyDescent="0.2">
      <c r="A13" s="248">
        <v>8</v>
      </c>
      <c r="B13" s="249" t="s">
        <v>12</v>
      </c>
      <c r="C13" s="250">
        <v>0</v>
      </c>
      <c r="D13" s="250">
        <v>0</v>
      </c>
      <c r="E13" s="250">
        <v>0</v>
      </c>
      <c r="F13" s="250">
        <v>0</v>
      </c>
      <c r="G13" s="250">
        <v>2593</v>
      </c>
      <c r="H13" s="250">
        <v>2564</v>
      </c>
      <c r="I13" s="250">
        <v>0</v>
      </c>
      <c r="J13" s="250">
        <v>434</v>
      </c>
      <c r="K13" s="251">
        <v>5591</v>
      </c>
      <c r="L13" s="243">
        <v>350260128</v>
      </c>
      <c r="M13" s="250">
        <v>0</v>
      </c>
      <c r="N13" s="250">
        <v>0</v>
      </c>
      <c r="O13" s="250">
        <v>0</v>
      </c>
      <c r="P13" s="250">
        <v>0</v>
      </c>
      <c r="Q13" s="250">
        <v>0</v>
      </c>
      <c r="R13" s="250">
        <v>236</v>
      </c>
      <c r="S13" s="250">
        <v>0</v>
      </c>
      <c r="T13" s="250">
        <v>170</v>
      </c>
      <c r="U13" s="243">
        <v>406</v>
      </c>
      <c r="V13" s="252">
        <v>35470344</v>
      </c>
      <c r="W13" s="243">
        <v>0</v>
      </c>
      <c r="X13" s="243">
        <v>0</v>
      </c>
      <c r="Y13" s="243">
        <v>0</v>
      </c>
      <c r="Z13" s="243">
        <v>0</v>
      </c>
      <c r="AA13" s="243">
        <v>109</v>
      </c>
      <c r="AB13" s="243">
        <v>183</v>
      </c>
      <c r="AC13" s="243">
        <v>0</v>
      </c>
      <c r="AD13" s="243">
        <v>12</v>
      </c>
      <c r="AE13" s="243">
        <v>304</v>
      </c>
      <c r="AF13" s="243">
        <v>19528848</v>
      </c>
      <c r="AG13" s="243">
        <v>0</v>
      </c>
      <c r="AH13" s="243">
        <v>0</v>
      </c>
      <c r="AI13" s="243">
        <v>0</v>
      </c>
      <c r="AJ13" s="243">
        <v>0</v>
      </c>
      <c r="AK13" s="243">
        <v>0</v>
      </c>
      <c r="AL13" s="243">
        <v>0</v>
      </c>
      <c r="AM13" s="243">
        <v>0</v>
      </c>
      <c r="AN13" s="243">
        <v>0</v>
      </c>
      <c r="AO13" s="243">
        <v>0</v>
      </c>
      <c r="AP13" s="243">
        <v>0</v>
      </c>
      <c r="AQ13" s="243">
        <v>0</v>
      </c>
      <c r="AR13" s="243">
        <v>0</v>
      </c>
      <c r="AS13" s="243">
        <v>0</v>
      </c>
      <c r="AT13" s="243">
        <v>0</v>
      </c>
      <c r="AU13" s="243">
        <v>0</v>
      </c>
      <c r="AV13" s="243">
        <v>0</v>
      </c>
      <c r="AW13" s="243">
        <v>0</v>
      </c>
      <c r="AX13" s="243">
        <v>0</v>
      </c>
      <c r="AY13" s="243">
        <v>0</v>
      </c>
      <c r="AZ13" s="243">
        <v>0</v>
      </c>
      <c r="BA13" s="243">
        <v>0</v>
      </c>
      <c r="BB13" s="243">
        <v>0</v>
      </c>
      <c r="BC13" s="243">
        <v>0</v>
      </c>
      <c r="BD13" s="243">
        <v>0</v>
      </c>
      <c r="BE13" s="243">
        <v>0</v>
      </c>
      <c r="BF13" s="243">
        <v>0</v>
      </c>
      <c r="BG13" s="243">
        <v>0</v>
      </c>
      <c r="BH13" s="243">
        <v>0</v>
      </c>
      <c r="BI13" s="243">
        <v>0</v>
      </c>
      <c r="BJ13" s="243">
        <v>0</v>
      </c>
      <c r="BK13" s="243">
        <v>0</v>
      </c>
      <c r="BL13" s="243">
        <v>0</v>
      </c>
      <c r="BM13" s="243">
        <v>0</v>
      </c>
      <c r="BN13" s="243">
        <v>0</v>
      </c>
      <c r="BO13" s="243">
        <v>0</v>
      </c>
      <c r="BP13" s="243">
        <v>0</v>
      </c>
      <c r="BQ13" s="243">
        <v>0</v>
      </c>
      <c r="BR13" s="243">
        <v>0</v>
      </c>
      <c r="BS13" s="243">
        <v>0</v>
      </c>
      <c r="BT13" s="243">
        <v>0</v>
      </c>
      <c r="BU13" s="243">
        <v>0</v>
      </c>
      <c r="BV13" s="243">
        <v>0</v>
      </c>
      <c r="BW13" s="243">
        <v>0</v>
      </c>
      <c r="BX13" s="243">
        <v>0</v>
      </c>
      <c r="BY13" s="243">
        <v>93</v>
      </c>
      <c r="BZ13" s="243">
        <v>120</v>
      </c>
      <c r="CA13" s="243">
        <v>0</v>
      </c>
      <c r="CB13" s="243">
        <v>10</v>
      </c>
      <c r="CC13" s="243">
        <v>223</v>
      </c>
      <c r="CD13" s="243">
        <v>20520396</v>
      </c>
      <c r="CE13" s="243">
        <v>0</v>
      </c>
      <c r="CF13" s="243">
        <v>0</v>
      </c>
      <c r="CG13" s="243">
        <v>0</v>
      </c>
      <c r="CH13" s="243">
        <v>0</v>
      </c>
      <c r="CI13" s="243">
        <v>0</v>
      </c>
      <c r="CJ13" s="243">
        <v>0</v>
      </c>
      <c r="CK13" s="243">
        <v>0</v>
      </c>
      <c r="CL13" s="243">
        <v>0</v>
      </c>
      <c r="CM13" s="243">
        <v>0</v>
      </c>
      <c r="CN13" s="243">
        <v>0</v>
      </c>
      <c r="CO13" s="243">
        <v>0</v>
      </c>
      <c r="CP13" s="243">
        <v>0</v>
      </c>
      <c r="CQ13" s="243">
        <v>0</v>
      </c>
      <c r="CR13" s="243">
        <v>0</v>
      </c>
      <c r="CS13" s="243">
        <v>106</v>
      </c>
      <c r="CT13" s="243">
        <v>110</v>
      </c>
      <c r="CU13" s="243">
        <v>0</v>
      </c>
      <c r="CV13" s="243">
        <v>6</v>
      </c>
      <c r="CW13" s="243">
        <v>222</v>
      </c>
      <c r="CX13" s="243">
        <v>32146296</v>
      </c>
      <c r="CY13" s="243">
        <v>0</v>
      </c>
      <c r="CZ13" s="243">
        <v>0</v>
      </c>
      <c r="DA13" s="243">
        <v>0</v>
      </c>
      <c r="DB13" s="243">
        <v>0</v>
      </c>
      <c r="DC13" s="243">
        <v>0</v>
      </c>
      <c r="DD13" s="243">
        <v>0</v>
      </c>
      <c r="DE13" s="243">
        <v>0</v>
      </c>
      <c r="DF13" s="243">
        <v>0</v>
      </c>
      <c r="DG13" s="243">
        <v>0</v>
      </c>
      <c r="DH13" s="243">
        <v>0</v>
      </c>
      <c r="DI13" s="243">
        <v>0</v>
      </c>
      <c r="DJ13" s="243">
        <v>0</v>
      </c>
      <c r="DK13" s="243">
        <v>25</v>
      </c>
      <c r="DL13" s="243">
        <v>0</v>
      </c>
      <c r="DM13" s="243">
        <v>0</v>
      </c>
      <c r="DN13" s="243">
        <v>0</v>
      </c>
      <c r="DO13" s="243">
        <v>0</v>
      </c>
      <c r="DP13" s="243">
        <v>0</v>
      </c>
      <c r="DQ13" s="243">
        <v>25</v>
      </c>
      <c r="DR13" s="243">
        <v>960900</v>
      </c>
      <c r="DS13" s="243">
        <v>0</v>
      </c>
      <c r="DT13" s="243">
        <v>0</v>
      </c>
      <c r="DU13" s="243">
        <v>0</v>
      </c>
      <c r="DV13" s="243">
        <v>0</v>
      </c>
      <c r="DW13" s="243">
        <v>0</v>
      </c>
      <c r="DX13" s="243">
        <v>0</v>
      </c>
      <c r="DY13" s="243">
        <v>0</v>
      </c>
      <c r="DZ13" s="243">
        <v>0</v>
      </c>
      <c r="EA13" s="243">
        <v>0</v>
      </c>
      <c r="EB13" s="243">
        <v>0</v>
      </c>
      <c r="EC13" s="243">
        <v>0</v>
      </c>
      <c r="ED13" s="243">
        <v>0</v>
      </c>
      <c r="EE13" s="243">
        <v>0</v>
      </c>
      <c r="EF13" s="243">
        <v>0</v>
      </c>
      <c r="EG13" s="243">
        <v>9</v>
      </c>
      <c r="EH13" s="243">
        <v>13</v>
      </c>
      <c r="EI13" s="243">
        <v>7</v>
      </c>
      <c r="EJ13" s="243">
        <v>0</v>
      </c>
      <c r="EK13" s="251">
        <v>29</v>
      </c>
      <c r="EL13" s="243">
        <v>7566528</v>
      </c>
      <c r="EM13" s="243">
        <v>0</v>
      </c>
      <c r="EN13" s="243">
        <v>0</v>
      </c>
      <c r="EO13" s="243">
        <v>0</v>
      </c>
      <c r="EP13" s="243">
        <v>0</v>
      </c>
      <c r="EQ13" s="243">
        <v>0</v>
      </c>
      <c r="ER13" s="243">
        <v>0</v>
      </c>
      <c r="ES13" s="243">
        <v>0</v>
      </c>
      <c r="ET13" s="243">
        <v>0</v>
      </c>
      <c r="EU13" s="251">
        <v>0</v>
      </c>
      <c r="EV13" s="243">
        <v>0</v>
      </c>
      <c r="EW13" s="253">
        <v>0</v>
      </c>
      <c r="EX13" s="253">
        <v>0</v>
      </c>
      <c r="EY13" s="253">
        <v>25</v>
      </c>
      <c r="EZ13" s="253">
        <v>0</v>
      </c>
      <c r="FA13" s="253">
        <v>2910</v>
      </c>
      <c r="FB13" s="253">
        <v>3226</v>
      </c>
      <c r="FC13" s="253">
        <v>7</v>
      </c>
      <c r="FD13" s="253">
        <v>632</v>
      </c>
      <c r="FE13" s="253">
        <v>6800</v>
      </c>
      <c r="FF13" s="253">
        <v>466453440</v>
      </c>
      <c r="FG13" s="243">
        <v>0</v>
      </c>
      <c r="FH13" s="243">
        <v>0</v>
      </c>
      <c r="FI13" s="243">
        <v>0</v>
      </c>
      <c r="FJ13" s="243">
        <v>0</v>
      </c>
      <c r="FK13" s="243">
        <v>105</v>
      </c>
      <c r="FL13" s="243">
        <v>103</v>
      </c>
      <c r="FM13" s="243">
        <v>0</v>
      </c>
      <c r="FN13" s="243">
        <v>0</v>
      </c>
      <c r="FO13" s="243">
        <v>208</v>
      </c>
      <c r="FP13" s="243">
        <v>34011756</v>
      </c>
      <c r="FQ13" s="253">
        <v>0</v>
      </c>
      <c r="FR13" s="253">
        <v>0</v>
      </c>
      <c r="FS13" s="253">
        <v>25</v>
      </c>
      <c r="FT13" s="253">
        <v>0</v>
      </c>
      <c r="FU13" s="253">
        <v>3015</v>
      </c>
      <c r="FV13" s="253">
        <v>3329</v>
      </c>
      <c r="FW13" s="253">
        <v>7</v>
      </c>
      <c r="FX13" s="253">
        <v>632</v>
      </c>
      <c r="FY13" s="253">
        <v>7008</v>
      </c>
      <c r="FZ13" s="253">
        <v>3015</v>
      </c>
      <c r="GA13" s="253">
        <v>3329</v>
      </c>
      <c r="GB13" s="253">
        <v>32</v>
      </c>
      <c r="GC13" s="253">
        <v>632</v>
      </c>
      <c r="GD13" s="253">
        <v>500465196</v>
      </c>
      <c r="GE13" s="253">
        <v>8686800</v>
      </c>
      <c r="GF13" s="232">
        <v>509152000</v>
      </c>
      <c r="GG13" s="307">
        <v>490862.3</v>
      </c>
      <c r="GH13" s="307">
        <v>494638.4</v>
      </c>
      <c r="GI13" s="166">
        <f t="shared" si="5"/>
        <v>510496.8</v>
      </c>
      <c r="GJ13" s="166">
        <f t="shared" si="6"/>
        <v>514423.9</v>
      </c>
      <c r="GK13" s="166">
        <v>492732.4</v>
      </c>
      <c r="GL13" s="166">
        <f t="shared" si="13"/>
        <v>512441.7</v>
      </c>
      <c r="GM13" s="281">
        <f t="shared" si="0"/>
        <v>489394600</v>
      </c>
      <c r="GN13" s="281">
        <f t="shared" si="7"/>
        <v>6736.0579096222737</v>
      </c>
      <c r="GO13" s="281">
        <f t="shared" si="8"/>
        <v>476024300</v>
      </c>
      <c r="GP13" s="309">
        <f>GP36</f>
        <v>6552.0282634655268</v>
      </c>
      <c r="GQ13" s="230">
        <v>6813</v>
      </c>
      <c r="GR13" s="230">
        <v>490862300</v>
      </c>
      <c r="GS13" s="243">
        <f t="shared" si="1"/>
        <v>195</v>
      </c>
      <c r="GT13" s="243">
        <v>6843</v>
      </c>
      <c r="GU13" s="243">
        <f t="shared" si="2"/>
        <v>165</v>
      </c>
      <c r="GW13" s="162">
        <f t="shared" si="10"/>
        <v>509152000</v>
      </c>
      <c r="GX13" s="162">
        <f t="shared" ref="GX13:GY13" si="19">ROUND(GW13*1.04,-2)</f>
        <v>529518100</v>
      </c>
      <c r="GY13" s="162">
        <f t="shared" si="19"/>
        <v>550698800</v>
      </c>
      <c r="GZ13" s="162"/>
      <c r="HA13" s="162">
        <f t="shared" si="12"/>
        <v>509152</v>
      </c>
      <c r="HB13" s="162">
        <f t="shared" si="4"/>
        <v>529518.1</v>
      </c>
      <c r="HC13" s="162">
        <f t="shared" si="4"/>
        <v>550698.80000000005</v>
      </c>
    </row>
    <row r="14" spans="1:211" s="247" customFormat="1" ht="13.5" customHeight="1" x14ac:dyDescent="0.2">
      <c r="A14" s="248">
        <v>9</v>
      </c>
      <c r="B14" s="249" t="s">
        <v>13</v>
      </c>
      <c r="C14" s="250">
        <v>0</v>
      </c>
      <c r="D14" s="250">
        <v>0</v>
      </c>
      <c r="E14" s="250">
        <v>0</v>
      </c>
      <c r="F14" s="250">
        <v>0</v>
      </c>
      <c r="G14" s="250">
        <v>2774</v>
      </c>
      <c r="H14" s="250">
        <v>2291</v>
      </c>
      <c r="I14" s="250">
        <v>0</v>
      </c>
      <c r="J14" s="250">
        <v>204</v>
      </c>
      <c r="K14" s="251">
        <v>5269</v>
      </c>
      <c r="L14" s="243">
        <v>318350184</v>
      </c>
      <c r="M14" s="250">
        <v>0</v>
      </c>
      <c r="N14" s="250">
        <v>0</v>
      </c>
      <c r="O14" s="250">
        <v>0</v>
      </c>
      <c r="P14" s="250">
        <v>0</v>
      </c>
      <c r="Q14" s="250">
        <v>0</v>
      </c>
      <c r="R14" s="250">
        <v>659</v>
      </c>
      <c r="S14" s="250">
        <v>0</v>
      </c>
      <c r="T14" s="250">
        <v>184</v>
      </c>
      <c r="U14" s="243">
        <v>843</v>
      </c>
      <c r="V14" s="252">
        <v>69419100</v>
      </c>
      <c r="W14" s="243">
        <v>0</v>
      </c>
      <c r="X14" s="243">
        <v>0</v>
      </c>
      <c r="Y14" s="243">
        <v>0</v>
      </c>
      <c r="Z14" s="243">
        <v>47</v>
      </c>
      <c r="AA14" s="243">
        <v>786</v>
      </c>
      <c r="AB14" s="243">
        <v>840</v>
      </c>
      <c r="AC14" s="243">
        <v>17</v>
      </c>
      <c r="AD14" s="243">
        <v>45</v>
      </c>
      <c r="AE14" s="243">
        <v>1735</v>
      </c>
      <c r="AF14" s="243">
        <v>107566620</v>
      </c>
      <c r="AG14" s="243">
        <v>0</v>
      </c>
      <c r="AH14" s="243">
        <v>0</v>
      </c>
      <c r="AI14" s="243">
        <v>0</v>
      </c>
      <c r="AJ14" s="243">
        <v>0</v>
      </c>
      <c r="AK14" s="243">
        <v>0</v>
      </c>
      <c r="AL14" s="243">
        <v>0</v>
      </c>
      <c r="AM14" s="243">
        <v>0</v>
      </c>
      <c r="AN14" s="243">
        <v>0</v>
      </c>
      <c r="AO14" s="243">
        <v>0</v>
      </c>
      <c r="AP14" s="243">
        <v>0</v>
      </c>
      <c r="AQ14" s="243">
        <v>0</v>
      </c>
      <c r="AR14" s="243">
        <v>0</v>
      </c>
      <c r="AS14" s="243">
        <v>0</v>
      </c>
      <c r="AT14" s="243">
        <v>0</v>
      </c>
      <c r="AU14" s="243">
        <v>80</v>
      </c>
      <c r="AV14" s="243">
        <v>81</v>
      </c>
      <c r="AW14" s="243">
        <v>0</v>
      </c>
      <c r="AX14" s="243">
        <v>0</v>
      </c>
      <c r="AY14" s="243">
        <v>161</v>
      </c>
      <c r="AZ14" s="243">
        <v>15883164</v>
      </c>
      <c r="BA14" s="243">
        <v>0</v>
      </c>
      <c r="BB14" s="243">
        <v>0</v>
      </c>
      <c r="BC14" s="243">
        <v>0</v>
      </c>
      <c r="BD14" s="243">
        <v>0</v>
      </c>
      <c r="BE14" s="243">
        <v>0</v>
      </c>
      <c r="BF14" s="243">
        <v>0</v>
      </c>
      <c r="BG14" s="243">
        <v>0</v>
      </c>
      <c r="BH14" s="243">
        <v>0</v>
      </c>
      <c r="BI14" s="243">
        <v>0</v>
      </c>
      <c r="BJ14" s="243">
        <v>0</v>
      </c>
      <c r="BK14" s="243">
        <v>0</v>
      </c>
      <c r="BL14" s="243">
        <v>0</v>
      </c>
      <c r="BM14" s="243">
        <v>0</v>
      </c>
      <c r="BN14" s="243">
        <v>0</v>
      </c>
      <c r="BO14" s="243">
        <v>0</v>
      </c>
      <c r="BP14" s="243">
        <v>0</v>
      </c>
      <c r="BQ14" s="243">
        <v>0</v>
      </c>
      <c r="BR14" s="243">
        <v>0</v>
      </c>
      <c r="BS14" s="243">
        <v>0</v>
      </c>
      <c r="BT14" s="243">
        <v>0</v>
      </c>
      <c r="BU14" s="243">
        <v>0</v>
      </c>
      <c r="BV14" s="243">
        <v>0</v>
      </c>
      <c r="BW14" s="243">
        <v>0</v>
      </c>
      <c r="BX14" s="243">
        <v>0</v>
      </c>
      <c r="BY14" s="243">
        <v>0</v>
      </c>
      <c r="BZ14" s="243">
        <v>0</v>
      </c>
      <c r="CA14" s="243">
        <v>0</v>
      </c>
      <c r="CB14" s="243">
        <v>0</v>
      </c>
      <c r="CC14" s="243">
        <v>0</v>
      </c>
      <c r="CD14" s="243">
        <v>0</v>
      </c>
      <c r="CE14" s="243">
        <v>0</v>
      </c>
      <c r="CF14" s="243">
        <v>0</v>
      </c>
      <c r="CG14" s="243">
        <v>0</v>
      </c>
      <c r="CH14" s="243">
        <v>0</v>
      </c>
      <c r="CI14" s="243">
        <v>130</v>
      </c>
      <c r="CJ14" s="243">
        <v>173</v>
      </c>
      <c r="CK14" s="243">
        <v>0</v>
      </c>
      <c r="CL14" s="243">
        <v>9</v>
      </c>
      <c r="CM14" s="243">
        <v>312</v>
      </c>
      <c r="CN14" s="243">
        <v>34098024</v>
      </c>
      <c r="CO14" s="243">
        <v>0</v>
      </c>
      <c r="CP14" s="243">
        <v>0</v>
      </c>
      <c r="CQ14" s="243">
        <v>0</v>
      </c>
      <c r="CR14" s="243">
        <v>0</v>
      </c>
      <c r="CS14" s="243">
        <v>38</v>
      </c>
      <c r="CT14" s="243">
        <v>36</v>
      </c>
      <c r="CU14" s="243">
        <v>0</v>
      </c>
      <c r="CV14" s="243">
        <v>0</v>
      </c>
      <c r="CW14" s="243">
        <v>74</v>
      </c>
      <c r="CX14" s="243">
        <v>10478664</v>
      </c>
      <c r="CY14" s="243">
        <v>0</v>
      </c>
      <c r="CZ14" s="243">
        <v>0</v>
      </c>
      <c r="DA14" s="243">
        <v>0</v>
      </c>
      <c r="DB14" s="243">
        <v>0</v>
      </c>
      <c r="DC14" s="243">
        <v>47</v>
      </c>
      <c r="DD14" s="243">
        <v>22</v>
      </c>
      <c r="DE14" s="243">
        <v>0</v>
      </c>
      <c r="DF14" s="243">
        <v>0</v>
      </c>
      <c r="DG14" s="243">
        <v>69</v>
      </c>
      <c r="DH14" s="243">
        <v>14323704</v>
      </c>
      <c r="DI14" s="243">
        <v>0</v>
      </c>
      <c r="DJ14" s="243">
        <v>0</v>
      </c>
      <c r="DK14" s="243">
        <v>0</v>
      </c>
      <c r="DL14" s="243">
        <v>0</v>
      </c>
      <c r="DM14" s="243">
        <v>0</v>
      </c>
      <c r="DN14" s="243">
        <v>14</v>
      </c>
      <c r="DO14" s="243">
        <v>24</v>
      </c>
      <c r="DP14" s="243">
        <v>0</v>
      </c>
      <c r="DQ14" s="243">
        <v>38</v>
      </c>
      <c r="DR14" s="243">
        <v>1451328</v>
      </c>
      <c r="DS14" s="243">
        <v>0</v>
      </c>
      <c r="DT14" s="243">
        <v>0</v>
      </c>
      <c r="DU14" s="243">
        <v>0</v>
      </c>
      <c r="DV14" s="243">
        <v>0</v>
      </c>
      <c r="DW14" s="243">
        <v>0</v>
      </c>
      <c r="DX14" s="243">
        <v>0</v>
      </c>
      <c r="DY14" s="243">
        <v>0</v>
      </c>
      <c r="DZ14" s="243">
        <v>0</v>
      </c>
      <c r="EA14" s="243">
        <v>0</v>
      </c>
      <c r="EB14" s="243">
        <v>0</v>
      </c>
      <c r="EC14" s="243">
        <v>0</v>
      </c>
      <c r="ED14" s="243">
        <v>0</v>
      </c>
      <c r="EE14" s="243">
        <v>1</v>
      </c>
      <c r="EF14" s="243">
        <v>0</v>
      </c>
      <c r="EG14" s="243">
        <v>61</v>
      </c>
      <c r="EH14" s="243">
        <v>109</v>
      </c>
      <c r="EI14" s="243">
        <v>1</v>
      </c>
      <c r="EJ14" s="243">
        <v>0</v>
      </c>
      <c r="EK14" s="251">
        <v>172</v>
      </c>
      <c r="EL14" s="243">
        <v>43308528</v>
      </c>
      <c r="EM14" s="243">
        <v>0</v>
      </c>
      <c r="EN14" s="243">
        <v>0</v>
      </c>
      <c r="EO14" s="243">
        <v>1</v>
      </c>
      <c r="EP14" s="243">
        <v>0</v>
      </c>
      <c r="EQ14" s="243">
        <v>11</v>
      </c>
      <c r="ER14" s="243">
        <v>4</v>
      </c>
      <c r="ES14" s="243">
        <v>1</v>
      </c>
      <c r="ET14" s="243">
        <v>0</v>
      </c>
      <c r="EU14" s="251">
        <v>17</v>
      </c>
      <c r="EV14" s="243">
        <v>183312</v>
      </c>
      <c r="EW14" s="253">
        <v>0</v>
      </c>
      <c r="EX14" s="253">
        <v>0</v>
      </c>
      <c r="EY14" s="253">
        <v>2</v>
      </c>
      <c r="EZ14" s="253">
        <v>47</v>
      </c>
      <c r="FA14" s="253">
        <v>3927</v>
      </c>
      <c r="FB14" s="253">
        <v>4229</v>
      </c>
      <c r="FC14" s="253">
        <v>43</v>
      </c>
      <c r="FD14" s="253">
        <v>442</v>
      </c>
      <c r="FE14" s="253">
        <v>8690</v>
      </c>
      <c r="FF14" s="253">
        <v>615062628</v>
      </c>
      <c r="FG14" s="243">
        <v>0</v>
      </c>
      <c r="FH14" s="243">
        <v>176</v>
      </c>
      <c r="FI14" s="243">
        <v>0</v>
      </c>
      <c r="FJ14" s="243">
        <v>0</v>
      </c>
      <c r="FK14" s="243">
        <v>98</v>
      </c>
      <c r="FL14" s="243">
        <v>1</v>
      </c>
      <c r="FM14" s="243">
        <v>0</v>
      </c>
      <c r="FN14" s="243">
        <v>0</v>
      </c>
      <c r="FO14" s="243">
        <v>275</v>
      </c>
      <c r="FP14" s="243">
        <v>17040960</v>
      </c>
      <c r="FQ14" s="253">
        <v>0</v>
      </c>
      <c r="FR14" s="253">
        <v>176</v>
      </c>
      <c r="FS14" s="253">
        <v>2</v>
      </c>
      <c r="FT14" s="253">
        <v>47</v>
      </c>
      <c r="FU14" s="253">
        <v>4025</v>
      </c>
      <c r="FV14" s="253">
        <v>4230</v>
      </c>
      <c r="FW14" s="253">
        <v>43</v>
      </c>
      <c r="FX14" s="253">
        <v>442</v>
      </c>
      <c r="FY14" s="253">
        <v>8965</v>
      </c>
      <c r="FZ14" s="253">
        <v>4025</v>
      </c>
      <c r="GA14" s="253">
        <v>4406</v>
      </c>
      <c r="GB14" s="253">
        <v>45</v>
      </c>
      <c r="GC14" s="253">
        <v>489</v>
      </c>
      <c r="GD14" s="253">
        <v>632103588</v>
      </c>
      <c r="GE14" s="253">
        <v>10038200.000000002</v>
      </c>
      <c r="GF14" s="232">
        <v>642141800</v>
      </c>
      <c r="GG14" s="307">
        <v>598714.5</v>
      </c>
      <c r="GH14" s="307">
        <v>629695.19999999995</v>
      </c>
      <c r="GI14" s="166">
        <f t="shared" si="5"/>
        <v>622663.1</v>
      </c>
      <c r="GJ14" s="166">
        <f t="shared" si="6"/>
        <v>654883</v>
      </c>
      <c r="GK14" s="166">
        <v>614057.6</v>
      </c>
      <c r="GL14" s="166">
        <f t="shared" si="13"/>
        <v>638619.9</v>
      </c>
      <c r="GM14" s="281">
        <f t="shared" si="0"/>
        <v>617223800</v>
      </c>
      <c r="GN14" s="281">
        <f t="shared" si="7"/>
        <v>8617.1175385249808</v>
      </c>
      <c r="GO14" s="281">
        <f t="shared" si="8"/>
        <v>600361200</v>
      </c>
      <c r="GP14" s="309">
        <f t="shared" si="9"/>
        <v>8381.6972481778957</v>
      </c>
      <c r="GQ14" s="230">
        <v>8386</v>
      </c>
      <c r="GR14" s="230">
        <v>598714500</v>
      </c>
      <c r="GS14" s="243">
        <f t="shared" si="1"/>
        <v>579</v>
      </c>
      <c r="GT14" s="243">
        <v>8768</v>
      </c>
      <c r="GU14" s="243">
        <f t="shared" si="2"/>
        <v>197</v>
      </c>
      <c r="GW14" s="162">
        <f t="shared" si="10"/>
        <v>642141800</v>
      </c>
      <c r="GX14" s="162">
        <f t="shared" ref="GX14:GY14" si="20">ROUND(GW14*1.04,-2)</f>
        <v>667827500</v>
      </c>
      <c r="GY14" s="162">
        <f t="shared" si="20"/>
        <v>694540600</v>
      </c>
      <c r="GZ14" s="162"/>
      <c r="HA14" s="162">
        <f t="shared" si="12"/>
        <v>642141.80000000005</v>
      </c>
      <c r="HB14" s="162">
        <f t="shared" si="4"/>
        <v>667827.5</v>
      </c>
      <c r="HC14" s="162">
        <f t="shared" si="4"/>
        <v>694540.6</v>
      </c>
    </row>
    <row r="15" spans="1:211" s="247" customFormat="1" ht="15" customHeight="1" x14ac:dyDescent="0.2">
      <c r="A15" s="248">
        <v>10</v>
      </c>
      <c r="B15" s="249" t="s">
        <v>33</v>
      </c>
      <c r="C15" s="250">
        <v>0</v>
      </c>
      <c r="D15" s="250">
        <v>0</v>
      </c>
      <c r="E15" s="250">
        <v>0</v>
      </c>
      <c r="F15" s="250">
        <v>0</v>
      </c>
      <c r="G15" s="250">
        <v>802</v>
      </c>
      <c r="H15" s="250">
        <v>729</v>
      </c>
      <c r="I15" s="250">
        <v>0</v>
      </c>
      <c r="J15" s="250">
        <v>60</v>
      </c>
      <c r="K15" s="251">
        <v>1591</v>
      </c>
      <c r="L15" s="243">
        <v>96901272</v>
      </c>
      <c r="M15" s="250">
        <v>0</v>
      </c>
      <c r="N15" s="250">
        <v>0</v>
      </c>
      <c r="O15" s="250">
        <v>0</v>
      </c>
      <c r="P15" s="250">
        <v>0</v>
      </c>
      <c r="Q15" s="250">
        <v>0</v>
      </c>
      <c r="R15" s="250">
        <v>244</v>
      </c>
      <c r="S15" s="250">
        <v>0</v>
      </c>
      <c r="T15" s="250">
        <v>84</v>
      </c>
      <c r="U15" s="243">
        <v>328</v>
      </c>
      <c r="V15" s="252">
        <v>27320640</v>
      </c>
      <c r="W15" s="243">
        <v>0</v>
      </c>
      <c r="X15" s="243">
        <v>0</v>
      </c>
      <c r="Y15" s="243">
        <v>0</v>
      </c>
      <c r="Z15" s="243">
        <v>0</v>
      </c>
      <c r="AA15" s="243">
        <v>0</v>
      </c>
      <c r="AB15" s="243">
        <v>0</v>
      </c>
      <c r="AC15" s="243">
        <v>0</v>
      </c>
      <c r="AD15" s="243">
        <v>0</v>
      </c>
      <c r="AE15" s="243">
        <v>0</v>
      </c>
      <c r="AF15" s="243">
        <v>0</v>
      </c>
      <c r="AG15" s="243">
        <v>0</v>
      </c>
      <c r="AH15" s="243">
        <v>0</v>
      </c>
      <c r="AI15" s="243">
        <v>0</v>
      </c>
      <c r="AJ15" s="243">
        <v>0</v>
      </c>
      <c r="AK15" s="243">
        <v>0</v>
      </c>
      <c r="AL15" s="243">
        <v>0</v>
      </c>
      <c r="AM15" s="243">
        <v>0</v>
      </c>
      <c r="AN15" s="243">
        <v>0</v>
      </c>
      <c r="AO15" s="243">
        <v>0</v>
      </c>
      <c r="AP15" s="243">
        <v>0</v>
      </c>
      <c r="AQ15" s="243">
        <v>0</v>
      </c>
      <c r="AR15" s="243">
        <v>0</v>
      </c>
      <c r="AS15" s="243">
        <v>0</v>
      </c>
      <c r="AT15" s="243">
        <v>0</v>
      </c>
      <c r="AU15" s="243">
        <v>0</v>
      </c>
      <c r="AV15" s="243">
        <v>0</v>
      </c>
      <c r="AW15" s="243">
        <v>0</v>
      </c>
      <c r="AX15" s="243">
        <v>0</v>
      </c>
      <c r="AY15" s="243">
        <v>0</v>
      </c>
      <c r="AZ15" s="243">
        <v>0</v>
      </c>
      <c r="BA15" s="243">
        <v>0</v>
      </c>
      <c r="BB15" s="243">
        <v>0</v>
      </c>
      <c r="BC15" s="243">
        <v>0</v>
      </c>
      <c r="BD15" s="243">
        <v>0</v>
      </c>
      <c r="BE15" s="243">
        <v>0</v>
      </c>
      <c r="BF15" s="243">
        <v>0</v>
      </c>
      <c r="BG15" s="243">
        <v>0</v>
      </c>
      <c r="BH15" s="243">
        <v>0</v>
      </c>
      <c r="BI15" s="243">
        <v>0</v>
      </c>
      <c r="BJ15" s="243">
        <v>0</v>
      </c>
      <c r="BK15" s="243">
        <v>0</v>
      </c>
      <c r="BL15" s="243">
        <v>0</v>
      </c>
      <c r="BM15" s="243">
        <v>0</v>
      </c>
      <c r="BN15" s="243">
        <v>0</v>
      </c>
      <c r="BO15" s="243">
        <v>0</v>
      </c>
      <c r="BP15" s="243">
        <v>0</v>
      </c>
      <c r="BQ15" s="243">
        <v>0</v>
      </c>
      <c r="BR15" s="243">
        <v>0</v>
      </c>
      <c r="BS15" s="243">
        <v>0</v>
      </c>
      <c r="BT15" s="243">
        <v>0</v>
      </c>
      <c r="BU15" s="243">
        <v>0</v>
      </c>
      <c r="BV15" s="243">
        <v>0</v>
      </c>
      <c r="BW15" s="243">
        <v>0</v>
      </c>
      <c r="BX15" s="243">
        <v>0</v>
      </c>
      <c r="BY15" s="243">
        <v>61</v>
      </c>
      <c r="BZ15" s="243">
        <v>74</v>
      </c>
      <c r="CA15" s="243">
        <v>0</v>
      </c>
      <c r="CB15" s="243">
        <v>16</v>
      </c>
      <c r="CC15" s="243">
        <v>151</v>
      </c>
      <c r="CD15" s="243">
        <v>14243964</v>
      </c>
      <c r="CE15" s="243">
        <v>0</v>
      </c>
      <c r="CF15" s="243">
        <v>0</v>
      </c>
      <c r="CG15" s="243">
        <v>0</v>
      </c>
      <c r="CH15" s="243">
        <v>0</v>
      </c>
      <c r="CI15" s="243">
        <v>108</v>
      </c>
      <c r="CJ15" s="243">
        <v>98</v>
      </c>
      <c r="CK15" s="243">
        <v>0</v>
      </c>
      <c r="CL15" s="243">
        <v>13</v>
      </c>
      <c r="CM15" s="243">
        <v>219</v>
      </c>
      <c r="CN15" s="243">
        <v>23547348</v>
      </c>
      <c r="CO15" s="243">
        <v>0</v>
      </c>
      <c r="CP15" s="243">
        <v>0</v>
      </c>
      <c r="CQ15" s="243">
        <v>0</v>
      </c>
      <c r="CR15" s="243">
        <v>0</v>
      </c>
      <c r="CS15" s="243">
        <v>0</v>
      </c>
      <c r="CT15" s="243">
        <v>0</v>
      </c>
      <c r="CU15" s="243">
        <v>0</v>
      </c>
      <c r="CV15" s="243">
        <v>0</v>
      </c>
      <c r="CW15" s="243">
        <v>0</v>
      </c>
      <c r="CX15" s="243">
        <v>0</v>
      </c>
      <c r="CY15" s="243">
        <v>0</v>
      </c>
      <c r="CZ15" s="243">
        <v>0</v>
      </c>
      <c r="DA15" s="243">
        <v>0</v>
      </c>
      <c r="DB15" s="243">
        <v>0</v>
      </c>
      <c r="DC15" s="243">
        <v>0</v>
      </c>
      <c r="DD15" s="243">
        <v>0</v>
      </c>
      <c r="DE15" s="243">
        <v>0</v>
      </c>
      <c r="DF15" s="243">
        <v>0</v>
      </c>
      <c r="DG15" s="243">
        <v>0</v>
      </c>
      <c r="DH15" s="243">
        <v>0</v>
      </c>
      <c r="DI15" s="243">
        <v>0</v>
      </c>
      <c r="DJ15" s="243">
        <v>0</v>
      </c>
      <c r="DK15" s="243">
        <v>0</v>
      </c>
      <c r="DL15" s="243">
        <v>0</v>
      </c>
      <c r="DM15" s="243">
        <v>0</v>
      </c>
      <c r="DN15" s="243">
        <v>0</v>
      </c>
      <c r="DO15" s="243">
        <v>56</v>
      </c>
      <c r="DP15" s="243">
        <v>0</v>
      </c>
      <c r="DQ15" s="243">
        <v>56</v>
      </c>
      <c r="DR15" s="243">
        <v>2152416</v>
      </c>
      <c r="DS15" s="243">
        <v>0</v>
      </c>
      <c r="DT15" s="243">
        <v>0</v>
      </c>
      <c r="DU15" s="243">
        <v>0</v>
      </c>
      <c r="DV15" s="243">
        <v>0</v>
      </c>
      <c r="DW15" s="243">
        <v>0</v>
      </c>
      <c r="DX15" s="243">
        <v>0</v>
      </c>
      <c r="DY15" s="243">
        <v>0</v>
      </c>
      <c r="DZ15" s="243">
        <v>0</v>
      </c>
      <c r="EA15" s="243">
        <v>0</v>
      </c>
      <c r="EB15" s="243">
        <v>0</v>
      </c>
      <c r="EC15" s="243">
        <v>0</v>
      </c>
      <c r="ED15" s="243">
        <v>0</v>
      </c>
      <c r="EE15" s="243">
        <v>0</v>
      </c>
      <c r="EF15" s="243">
        <v>0</v>
      </c>
      <c r="EG15" s="243">
        <v>39</v>
      </c>
      <c r="EH15" s="243">
        <v>42</v>
      </c>
      <c r="EI15" s="243">
        <v>0</v>
      </c>
      <c r="EJ15" s="243">
        <v>0</v>
      </c>
      <c r="EK15" s="251">
        <v>81</v>
      </c>
      <c r="EL15" s="243">
        <v>19736964</v>
      </c>
      <c r="EM15" s="243">
        <v>0</v>
      </c>
      <c r="EN15" s="243">
        <v>0</v>
      </c>
      <c r="EO15" s="243">
        <v>0</v>
      </c>
      <c r="EP15" s="243">
        <v>0</v>
      </c>
      <c r="EQ15" s="243">
        <v>0</v>
      </c>
      <c r="ER15" s="243">
        <v>0</v>
      </c>
      <c r="ES15" s="243">
        <v>0</v>
      </c>
      <c r="ET15" s="243">
        <v>0</v>
      </c>
      <c r="EU15" s="251">
        <v>0</v>
      </c>
      <c r="EV15" s="243">
        <v>0</v>
      </c>
      <c r="EW15" s="253">
        <v>0</v>
      </c>
      <c r="EX15" s="253">
        <v>0</v>
      </c>
      <c r="EY15" s="253">
        <v>0</v>
      </c>
      <c r="EZ15" s="253">
        <v>0</v>
      </c>
      <c r="FA15" s="253">
        <v>1010</v>
      </c>
      <c r="FB15" s="253">
        <v>1187</v>
      </c>
      <c r="FC15" s="253">
        <v>56</v>
      </c>
      <c r="FD15" s="253">
        <v>173</v>
      </c>
      <c r="FE15" s="253">
        <v>2426</v>
      </c>
      <c r="FF15" s="253">
        <v>183902604</v>
      </c>
      <c r="FG15" s="243">
        <v>0</v>
      </c>
      <c r="FH15" s="243">
        <v>0</v>
      </c>
      <c r="FI15" s="243">
        <v>0</v>
      </c>
      <c r="FJ15" s="243">
        <v>0</v>
      </c>
      <c r="FK15" s="243">
        <v>110</v>
      </c>
      <c r="FL15" s="243">
        <v>147</v>
      </c>
      <c r="FM15" s="243">
        <v>0</v>
      </c>
      <c r="FN15" s="243">
        <v>0</v>
      </c>
      <c r="FO15" s="243">
        <v>257</v>
      </c>
      <c r="FP15" s="243">
        <v>38321076</v>
      </c>
      <c r="FQ15" s="253">
        <v>0</v>
      </c>
      <c r="FR15" s="253">
        <v>0</v>
      </c>
      <c r="FS15" s="253">
        <v>0</v>
      </c>
      <c r="FT15" s="253">
        <v>0</v>
      </c>
      <c r="FU15" s="253">
        <v>1120</v>
      </c>
      <c r="FV15" s="253">
        <v>1334</v>
      </c>
      <c r="FW15" s="253">
        <v>56</v>
      </c>
      <c r="FX15" s="253">
        <v>173</v>
      </c>
      <c r="FY15" s="253">
        <v>2683</v>
      </c>
      <c r="FZ15" s="253">
        <v>1120</v>
      </c>
      <c r="GA15" s="253">
        <v>1334</v>
      </c>
      <c r="GB15" s="253">
        <v>56</v>
      </c>
      <c r="GC15" s="253">
        <v>173</v>
      </c>
      <c r="GD15" s="253">
        <v>222223680</v>
      </c>
      <c r="GE15" s="253">
        <v>3673699.9999999995</v>
      </c>
      <c r="GF15" s="232">
        <v>225897400</v>
      </c>
      <c r="GG15" s="307">
        <v>211521.7</v>
      </c>
      <c r="GH15" s="307">
        <v>228140.3</v>
      </c>
      <c r="GI15" s="166">
        <f t="shared" si="5"/>
        <v>219982.6</v>
      </c>
      <c r="GJ15" s="166">
        <f t="shared" si="6"/>
        <v>237265.9</v>
      </c>
      <c r="GK15" s="166">
        <v>211521.7</v>
      </c>
      <c r="GL15" s="166">
        <f t="shared" si="13"/>
        <v>219982.6</v>
      </c>
      <c r="GM15" s="281">
        <f t="shared" si="0"/>
        <v>217131600</v>
      </c>
      <c r="GN15" s="281">
        <f t="shared" si="7"/>
        <v>2578.8879500162466</v>
      </c>
      <c r="GO15" s="281">
        <f t="shared" si="8"/>
        <v>211199500</v>
      </c>
      <c r="GP15" s="309">
        <f t="shared" si="9"/>
        <v>2508.4319629176784</v>
      </c>
      <c r="GQ15" s="230">
        <v>2767</v>
      </c>
      <c r="GR15" s="230">
        <v>211521700</v>
      </c>
      <c r="GS15" s="243">
        <f t="shared" si="1"/>
        <v>-84</v>
      </c>
      <c r="GT15" s="243">
        <v>2767</v>
      </c>
      <c r="GU15" s="243">
        <f t="shared" si="2"/>
        <v>-84</v>
      </c>
      <c r="GW15" s="162">
        <f t="shared" si="10"/>
        <v>225897400</v>
      </c>
      <c r="GX15" s="162">
        <f t="shared" ref="GX15:GY15" si="21">ROUND(GW15*1.04,-2)</f>
        <v>234933300</v>
      </c>
      <c r="GY15" s="162">
        <f t="shared" si="21"/>
        <v>244330600</v>
      </c>
      <c r="GZ15" s="162"/>
      <c r="HA15" s="162">
        <f t="shared" si="12"/>
        <v>225897.4</v>
      </c>
      <c r="HB15" s="162">
        <f t="shared" si="4"/>
        <v>234933.3</v>
      </c>
      <c r="HC15" s="162">
        <f t="shared" si="4"/>
        <v>244330.6</v>
      </c>
    </row>
    <row r="16" spans="1:211" s="247" customFormat="1" x14ac:dyDescent="0.2">
      <c r="A16" s="248">
        <v>11</v>
      </c>
      <c r="B16" s="248" t="s">
        <v>15</v>
      </c>
      <c r="C16" s="250">
        <v>0</v>
      </c>
      <c r="D16" s="250">
        <v>0</v>
      </c>
      <c r="E16" s="250">
        <v>0</v>
      </c>
      <c r="F16" s="250">
        <v>0</v>
      </c>
      <c r="G16" s="250">
        <v>0</v>
      </c>
      <c r="H16" s="250">
        <v>0</v>
      </c>
      <c r="I16" s="250">
        <v>0</v>
      </c>
      <c r="J16" s="250">
        <v>0</v>
      </c>
      <c r="K16" s="251">
        <v>0</v>
      </c>
      <c r="L16" s="243">
        <v>0</v>
      </c>
      <c r="M16" s="250">
        <v>0</v>
      </c>
      <c r="N16" s="250">
        <v>0</v>
      </c>
      <c r="O16" s="250">
        <v>0</v>
      </c>
      <c r="P16" s="250">
        <v>0</v>
      </c>
      <c r="Q16" s="250">
        <v>0</v>
      </c>
      <c r="R16" s="250">
        <v>0</v>
      </c>
      <c r="S16" s="250">
        <v>0</v>
      </c>
      <c r="T16" s="250">
        <v>0</v>
      </c>
      <c r="U16" s="243">
        <v>0</v>
      </c>
      <c r="V16" s="252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294</v>
      </c>
      <c r="AB16" s="243">
        <v>171</v>
      </c>
      <c r="AC16" s="243">
        <v>0</v>
      </c>
      <c r="AD16" s="243">
        <v>0</v>
      </c>
      <c r="AE16" s="243">
        <v>465</v>
      </c>
      <c r="AF16" s="243">
        <v>26607096</v>
      </c>
      <c r="AG16" s="243">
        <v>0</v>
      </c>
      <c r="AH16" s="243">
        <v>0</v>
      </c>
      <c r="AI16" s="243">
        <v>0</v>
      </c>
      <c r="AJ16" s="243">
        <v>0</v>
      </c>
      <c r="AK16" s="243">
        <v>97</v>
      </c>
      <c r="AL16" s="243">
        <v>90</v>
      </c>
      <c r="AM16" s="243">
        <v>27</v>
      </c>
      <c r="AN16" s="243">
        <v>0</v>
      </c>
      <c r="AO16" s="243">
        <v>214</v>
      </c>
      <c r="AP16" s="243">
        <v>14648184</v>
      </c>
      <c r="AQ16" s="243">
        <v>0</v>
      </c>
      <c r="AR16" s="243">
        <v>0</v>
      </c>
      <c r="AS16" s="243">
        <v>8</v>
      </c>
      <c r="AT16" s="243">
        <v>0</v>
      </c>
      <c r="AU16" s="243">
        <v>99</v>
      </c>
      <c r="AV16" s="243">
        <v>72</v>
      </c>
      <c r="AW16" s="243">
        <v>11</v>
      </c>
      <c r="AX16" s="243">
        <v>0</v>
      </c>
      <c r="AY16" s="243">
        <v>190</v>
      </c>
      <c r="AZ16" s="243">
        <v>18805320</v>
      </c>
      <c r="BA16" s="243">
        <v>0</v>
      </c>
      <c r="BB16" s="243">
        <v>0</v>
      </c>
      <c r="BC16" s="243">
        <v>0</v>
      </c>
      <c r="BD16" s="243">
        <v>0</v>
      </c>
      <c r="BE16" s="243">
        <v>0</v>
      </c>
      <c r="BF16" s="243">
        <v>0</v>
      </c>
      <c r="BG16" s="243">
        <v>0</v>
      </c>
      <c r="BH16" s="243">
        <v>0</v>
      </c>
      <c r="BI16" s="243">
        <v>0</v>
      </c>
      <c r="BJ16" s="243">
        <v>0</v>
      </c>
      <c r="BK16" s="243">
        <v>0</v>
      </c>
      <c r="BL16" s="243">
        <v>0</v>
      </c>
      <c r="BM16" s="243">
        <v>0</v>
      </c>
      <c r="BN16" s="243">
        <v>39</v>
      </c>
      <c r="BO16" s="243">
        <v>1837</v>
      </c>
      <c r="BP16" s="243">
        <v>1806</v>
      </c>
      <c r="BQ16" s="243">
        <v>98</v>
      </c>
      <c r="BR16" s="243">
        <v>217</v>
      </c>
      <c r="BS16" s="243">
        <v>3997</v>
      </c>
      <c r="BT16" s="243">
        <v>320881200</v>
      </c>
      <c r="BU16" s="243">
        <v>0</v>
      </c>
      <c r="BV16" s="243">
        <v>0</v>
      </c>
      <c r="BW16" s="243">
        <v>0</v>
      </c>
      <c r="BX16" s="243">
        <v>0</v>
      </c>
      <c r="BY16" s="243">
        <v>203</v>
      </c>
      <c r="BZ16" s="243">
        <v>204</v>
      </c>
      <c r="CA16" s="243">
        <v>18</v>
      </c>
      <c r="CB16" s="243">
        <v>0</v>
      </c>
      <c r="CC16" s="243">
        <v>425</v>
      </c>
      <c r="CD16" s="243">
        <v>38118108</v>
      </c>
      <c r="CE16" s="243">
        <v>0</v>
      </c>
      <c r="CF16" s="243">
        <v>0</v>
      </c>
      <c r="CG16" s="243">
        <v>6</v>
      </c>
      <c r="CH16" s="243">
        <v>0</v>
      </c>
      <c r="CI16" s="243">
        <v>255</v>
      </c>
      <c r="CJ16" s="243">
        <v>295</v>
      </c>
      <c r="CK16" s="243">
        <v>0</v>
      </c>
      <c r="CL16" s="243">
        <v>12</v>
      </c>
      <c r="CM16" s="243">
        <v>568</v>
      </c>
      <c r="CN16" s="243">
        <v>61192164</v>
      </c>
      <c r="CO16" s="243">
        <v>0</v>
      </c>
      <c r="CP16" s="243">
        <v>0</v>
      </c>
      <c r="CQ16" s="243">
        <v>0</v>
      </c>
      <c r="CR16" s="243">
        <v>0</v>
      </c>
      <c r="CS16" s="243">
        <v>0</v>
      </c>
      <c r="CT16" s="243">
        <v>0</v>
      </c>
      <c r="CU16" s="243">
        <v>0</v>
      </c>
      <c r="CV16" s="243">
        <v>0</v>
      </c>
      <c r="CW16" s="243">
        <v>0</v>
      </c>
      <c r="CX16" s="243">
        <v>0</v>
      </c>
      <c r="CY16" s="243">
        <v>0</v>
      </c>
      <c r="CZ16" s="243">
        <v>0</v>
      </c>
      <c r="DA16" s="243">
        <v>0</v>
      </c>
      <c r="DB16" s="243">
        <v>0</v>
      </c>
      <c r="DC16" s="243">
        <v>0</v>
      </c>
      <c r="DD16" s="243">
        <v>0</v>
      </c>
      <c r="DE16" s="243">
        <v>0</v>
      </c>
      <c r="DF16" s="243">
        <v>0</v>
      </c>
      <c r="DG16" s="243">
        <v>0</v>
      </c>
      <c r="DH16" s="243">
        <v>0</v>
      </c>
      <c r="DI16" s="243">
        <v>0</v>
      </c>
      <c r="DJ16" s="243">
        <v>0</v>
      </c>
      <c r="DK16" s="243">
        <v>0</v>
      </c>
      <c r="DL16" s="243">
        <v>0</v>
      </c>
      <c r="DM16" s="243">
        <v>0</v>
      </c>
      <c r="DN16" s="243">
        <v>0</v>
      </c>
      <c r="DO16" s="243">
        <v>0</v>
      </c>
      <c r="DP16" s="243">
        <v>0</v>
      </c>
      <c r="DQ16" s="243">
        <v>0</v>
      </c>
      <c r="DR16" s="243">
        <v>0</v>
      </c>
      <c r="DS16" s="243">
        <v>0</v>
      </c>
      <c r="DT16" s="243">
        <v>0</v>
      </c>
      <c r="DU16" s="243">
        <v>0</v>
      </c>
      <c r="DV16" s="243">
        <v>0</v>
      </c>
      <c r="DW16" s="243">
        <v>0</v>
      </c>
      <c r="DX16" s="243">
        <v>0</v>
      </c>
      <c r="DY16" s="243">
        <v>0</v>
      </c>
      <c r="DZ16" s="243">
        <v>0</v>
      </c>
      <c r="EA16" s="243">
        <v>0</v>
      </c>
      <c r="EB16" s="243">
        <v>0</v>
      </c>
      <c r="EC16" s="243">
        <v>0</v>
      </c>
      <c r="ED16" s="243">
        <v>0</v>
      </c>
      <c r="EE16" s="243">
        <v>1</v>
      </c>
      <c r="EF16" s="243">
        <v>0</v>
      </c>
      <c r="EG16" s="243">
        <v>19</v>
      </c>
      <c r="EH16" s="243">
        <v>29</v>
      </c>
      <c r="EI16" s="243">
        <v>1</v>
      </c>
      <c r="EJ16" s="243">
        <v>0</v>
      </c>
      <c r="EK16" s="251">
        <v>50</v>
      </c>
      <c r="EL16" s="243">
        <v>12550488</v>
      </c>
      <c r="EM16" s="243">
        <v>0</v>
      </c>
      <c r="EN16" s="243">
        <v>0</v>
      </c>
      <c r="EO16" s="243">
        <v>0</v>
      </c>
      <c r="EP16" s="243">
        <v>0</v>
      </c>
      <c r="EQ16" s="243">
        <v>0</v>
      </c>
      <c r="ER16" s="243">
        <v>0</v>
      </c>
      <c r="ES16" s="243">
        <v>0</v>
      </c>
      <c r="ET16" s="243">
        <v>0</v>
      </c>
      <c r="EU16" s="251">
        <v>0</v>
      </c>
      <c r="EV16" s="243">
        <v>0</v>
      </c>
      <c r="EW16" s="253">
        <v>0</v>
      </c>
      <c r="EX16" s="253">
        <v>0</v>
      </c>
      <c r="EY16" s="253">
        <v>15</v>
      </c>
      <c r="EZ16" s="253">
        <v>39</v>
      </c>
      <c r="FA16" s="253">
        <v>2804</v>
      </c>
      <c r="FB16" s="253">
        <v>2667</v>
      </c>
      <c r="FC16" s="253">
        <v>155</v>
      </c>
      <c r="FD16" s="253">
        <v>229</v>
      </c>
      <c r="FE16" s="253">
        <v>5909</v>
      </c>
      <c r="FF16" s="253">
        <v>492802560</v>
      </c>
      <c r="FG16" s="243">
        <v>0</v>
      </c>
      <c r="FH16" s="243">
        <v>14</v>
      </c>
      <c r="FI16" s="243">
        <v>3</v>
      </c>
      <c r="FJ16" s="243">
        <v>0</v>
      </c>
      <c r="FK16" s="243">
        <v>86</v>
      </c>
      <c r="FL16" s="243">
        <v>44</v>
      </c>
      <c r="FM16" s="243">
        <v>0</v>
      </c>
      <c r="FN16" s="243">
        <v>0</v>
      </c>
      <c r="FO16" s="243">
        <v>147</v>
      </c>
      <c r="FP16" s="243">
        <v>26045952</v>
      </c>
      <c r="FQ16" s="253">
        <v>0</v>
      </c>
      <c r="FR16" s="253">
        <v>14</v>
      </c>
      <c r="FS16" s="253">
        <v>18</v>
      </c>
      <c r="FT16" s="253">
        <v>39</v>
      </c>
      <c r="FU16" s="253">
        <v>2890</v>
      </c>
      <c r="FV16" s="253">
        <v>2711</v>
      </c>
      <c r="FW16" s="253">
        <v>155</v>
      </c>
      <c r="FX16" s="253">
        <v>229</v>
      </c>
      <c r="FY16" s="253">
        <v>6056</v>
      </c>
      <c r="FZ16" s="253">
        <v>2890</v>
      </c>
      <c r="GA16" s="253">
        <v>2725</v>
      </c>
      <c r="GB16" s="253">
        <v>173</v>
      </c>
      <c r="GC16" s="253">
        <v>268</v>
      </c>
      <c r="GD16" s="253">
        <v>518848512</v>
      </c>
      <c r="GE16" s="253">
        <v>7724800.0000000009</v>
      </c>
      <c r="GF16" s="232">
        <v>526573300</v>
      </c>
      <c r="GG16" s="307">
        <v>430128.9</v>
      </c>
      <c r="GH16" s="307">
        <v>455709.1</v>
      </c>
      <c r="GI16" s="166">
        <f t="shared" si="5"/>
        <v>447334.1</v>
      </c>
      <c r="GJ16" s="166">
        <f t="shared" si="6"/>
        <v>473937.5</v>
      </c>
      <c r="GK16" s="166">
        <v>442904.9</v>
      </c>
      <c r="GL16" s="166">
        <f t="shared" si="13"/>
        <v>460621.1</v>
      </c>
      <c r="GM16" s="281">
        <f t="shared" si="0"/>
        <v>506139900</v>
      </c>
      <c r="GN16" s="281">
        <f t="shared" si="7"/>
        <v>5821.0001046388034</v>
      </c>
      <c r="GO16" s="281">
        <f t="shared" si="8"/>
        <v>492312100</v>
      </c>
      <c r="GP16" s="309">
        <f t="shared" si="9"/>
        <v>5661.9697155172889</v>
      </c>
      <c r="GQ16" s="230">
        <v>4844</v>
      </c>
      <c r="GR16" s="230">
        <v>430128900</v>
      </c>
      <c r="GS16" s="243">
        <f t="shared" si="1"/>
        <v>1212</v>
      </c>
      <c r="GT16" s="243">
        <v>5093</v>
      </c>
      <c r="GU16" s="243">
        <f t="shared" si="2"/>
        <v>963</v>
      </c>
      <c r="GW16" s="162">
        <f t="shared" si="10"/>
        <v>526573300</v>
      </c>
      <c r="GX16" s="162">
        <f t="shared" ref="GX16:GY16" si="22">ROUND(GW16*1.04,-2)</f>
        <v>547636200</v>
      </c>
      <c r="GY16" s="162">
        <f t="shared" si="22"/>
        <v>569541600</v>
      </c>
      <c r="GZ16" s="162"/>
      <c r="HA16" s="162">
        <f t="shared" si="12"/>
        <v>526573.30000000005</v>
      </c>
      <c r="HB16" s="162">
        <f t="shared" si="4"/>
        <v>547636.19999999995</v>
      </c>
      <c r="HC16" s="162">
        <f t="shared" si="4"/>
        <v>569541.6</v>
      </c>
    </row>
    <row r="17" spans="1:211" s="247" customFormat="1" x14ac:dyDescent="0.2">
      <c r="A17" s="248">
        <v>12</v>
      </c>
      <c r="B17" s="249" t="s">
        <v>16</v>
      </c>
      <c r="C17" s="250">
        <v>0</v>
      </c>
      <c r="D17" s="250">
        <v>0</v>
      </c>
      <c r="E17" s="250">
        <v>0</v>
      </c>
      <c r="F17" s="250">
        <v>0</v>
      </c>
      <c r="G17" s="250">
        <v>1551</v>
      </c>
      <c r="H17" s="250">
        <v>1686</v>
      </c>
      <c r="I17" s="250">
        <v>0</v>
      </c>
      <c r="J17" s="250">
        <v>259</v>
      </c>
      <c r="K17" s="251">
        <v>3496</v>
      </c>
      <c r="L17" s="243">
        <v>220352100</v>
      </c>
      <c r="M17" s="250">
        <v>0</v>
      </c>
      <c r="N17" s="250">
        <v>0</v>
      </c>
      <c r="O17" s="250">
        <v>0</v>
      </c>
      <c r="P17" s="250">
        <v>0</v>
      </c>
      <c r="Q17" s="250">
        <v>0</v>
      </c>
      <c r="R17" s="250">
        <v>0</v>
      </c>
      <c r="S17" s="250">
        <v>0</v>
      </c>
      <c r="T17" s="250">
        <v>0</v>
      </c>
      <c r="U17" s="243">
        <v>0</v>
      </c>
      <c r="V17" s="252">
        <v>0</v>
      </c>
      <c r="W17" s="243">
        <v>0</v>
      </c>
      <c r="X17" s="243">
        <v>0</v>
      </c>
      <c r="Y17" s="243">
        <v>0</v>
      </c>
      <c r="Z17" s="243">
        <v>0</v>
      </c>
      <c r="AA17" s="243">
        <v>0</v>
      </c>
      <c r="AB17" s="243">
        <v>0</v>
      </c>
      <c r="AC17" s="243">
        <v>0</v>
      </c>
      <c r="AD17" s="243">
        <v>0</v>
      </c>
      <c r="AE17" s="243">
        <v>0</v>
      </c>
      <c r="AF17" s="243">
        <v>0</v>
      </c>
      <c r="AG17" s="243">
        <v>0</v>
      </c>
      <c r="AH17" s="243">
        <v>0</v>
      </c>
      <c r="AI17" s="243">
        <v>0</v>
      </c>
      <c r="AJ17" s="243">
        <v>0</v>
      </c>
      <c r="AK17" s="243">
        <v>73</v>
      </c>
      <c r="AL17" s="243">
        <v>113</v>
      </c>
      <c r="AM17" s="243">
        <v>0</v>
      </c>
      <c r="AN17" s="243">
        <v>20</v>
      </c>
      <c r="AO17" s="243">
        <v>206</v>
      </c>
      <c r="AP17" s="243">
        <v>14620440</v>
      </c>
      <c r="AQ17" s="243">
        <v>0</v>
      </c>
      <c r="AR17" s="243">
        <v>0</v>
      </c>
      <c r="AS17" s="243">
        <v>0</v>
      </c>
      <c r="AT17" s="243">
        <v>0</v>
      </c>
      <c r="AU17" s="243">
        <v>0</v>
      </c>
      <c r="AV17" s="243">
        <v>0</v>
      </c>
      <c r="AW17" s="243">
        <v>0</v>
      </c>
      <c r="AX17" s="243">
        <v>0</v>
      </c>
      <c r="AY17" s="243">
        <v>0</v>
      </c>
      <c r="AZ17" s="243">
        <v>0</v>
      </c>
      <c r="BA17" s="243">
        <v>0</v>
      </c>
      <c r="BB17" s="243">
        <v>0</v>
      </c>
      <c r="BC17" s="243">
        <v>0</v>
      </c>
      <c r="BD17" s="243">
        <v>0</v>
      </c>
      <c r="BE17" s="243">
        <v>0</v>
      </c>
      <c r="BF17" s="243">
        <v>0</v>
      </c>
      <c r="BG17" s="243">
        <v>0</v>
      </c>
      <c r="BH17" s="243">
        <v>0</v>
      </c>
      <c r="BI17" s="243">
        <v>0</v>
      </c>
      <c r="BJ17" s="243">
        <v>0</v>
      </c>
      <c r="BK17" s="243">
        <v>0</v>
      </c>
      <c r="BL17" s="243">
        <v>0</v>
      </c>
      <c r="BM17" s="243">
        <v>0</v>
      </c>
      <c r="BN17" s="243">
        <v>0</v>
      </c>
      <c r="BO17" s="243">
        <v>261</v>
      </c>
      <c r="BP17" s="243">
        <v>279</v>
      </c>
      <c r="BQ17" s="243">
        <v>0</v>
      </c>
      <c r="BR17" s="243">
        <v>38</v>
      </c>
      <c r="BS17" s="243">
        <v>578</v>
      </c>
      <c r="BT17" s="243">
        <v>46422540</v>
      </c>
      <c r="BU17" s="243">
        <v>0</v>
      </c>
      <c r="BV17" s="243">
        <v>0</v>
      </c>
      <c r="BW17" s="243">
        <v>0</v>
      </c>
      <c r="BX17" s="243">
        <v>0</v>
      </c>
      <c r="BY17" s="243">
        <v>72</v>
      </c>
      <c r="BZ17" s="243">
        <v>85</v>
      </c>
      <c r="CA17" s="243">
        <v>0</v>
      </c>
      <c r="CB17" s="243">
        <v>17</v>
      </c>
      <c r="CC17" s="243">
        <v>174</v>
      </c>
      <c r="CD17" s="243">
        <v>16314768</v>
      </c>
      <c r="CE17" s="243">
        <v>0</v>
      </c>
      <c r="CF17" s="243">
        <v>0</v>
      </c>
      <c r="CG17" s="243">
        <v>0</v>
      </c>
      <c r="CH17" s="243">
        <v>11</v>
      </c>
      <c r="CI17" s="243">
        <v>210</v>
      </c>
      <c r="CJ17" s="243">
        <v>316</v>
      </c>
      <c r="CK17" s="243">
        <v>0</v>
      </c>
      <c r="CL17" s="243">
        <v>20</v>
      </c>
      <c r="CM17" s="243">
        <v>557</v>
      </c>
      <c r="CN17" s="243">
        <v>61885560</v>
      </c>
      <c r="CO17" s="243">
        <v>0</v>
      </c>
      <c r="CP17" s="243">
        <v>0</v>
      </c>
      <c r="CQ17" s="243">
        <v>0</v>
      </c>
      <c r="CR17" s="243">
        <v>0</v>
      </c>
      <c r="CS17" s="243">
        <v>55</v>
      </c>
      <c r="CT17" s="243">
        <v>64</v>
      </c>
      <c r="CU17" s="243">
        <v>0</v>
      </c>
      <c r="CV17" s="243">
        <v>0</v>
      </c>
      <c r="CW17" s="243">
        <v>119</v>
      </c>
      <c r="CX17" s="243">
        <v>17163804</v>
      </c>
      <c r="CY17" s="243">
        <v>0</v>
      </c>
      <c r="CZ17" s="243">
        <v>0</v>
      </c>
      <c r="DA17" s="243">
        <v>0</v>
      </c>
      <c r="DB17" s="243">
        <v>0</v>
      </c>
      <c r="DC17" s="243">
        <v>37</v>
      </c>
      <c r="DD17" s="243">
        <v>23</v>
      </c>
      <c r="DE17" s="243">
        <v>0</v>
      </c>
      <c r="DF17" s="243">
        <v>0</v>
      </c>
      <c r="DG17" s="243">
        <v>60</v>
      </c>
      <c r="DH17" s="243">
        <v>12764604</v>
      </c>
      <c r="DI17" s="243">
        <v>0</v>
      </c>
      <c r="DJ17" s="243">
        <v>0</v>
      </c>
      <c r="DK17" s="243">
        <v>125</v>
      </c>
      <c r="DL17" s="243">
        <v>0</v>
      </c>
      <c r="DM17" s="243">
        <v>0</v>
      </c>
      <c r="DN17" s="243">
        <v>0</v>
      </c>
      <c r="DO17" s="243">
        <v>50</v>
      </c>
      <c r="DP17" s="243">
        <v>0</v>
      </c>
      <c r="DQ17" s="243">
        <v>175</v>
      </c>
      <c r="DR17" s="243">
        <v>6726300</v>
      </c>
      <c r="DS17" s="243">
        <v>0</v>
      </c>
      <c r="DT17" s="243">
        <v>0</v>
      </c>
      <c r="DU17" s="243">
        <v>0</v>
      </c>
      <c r="DV17" s="243">
        <v>0</v>
      </c>
      <c r="DW17" s="243">
        <v>0</v>
      </c>
      <c r="DX17" s="243">
        <v>0</v>
      </c>
      <c r="DY17" s="243">
        <v>0</v>
      </c>
      <c r="DZ17" s="243">
        <v>0</v>
      </c>
      <c r="EA17" s="243">
        <v>0</v>
      </c>
      <c r="EB17" s="243">
        <v>0</v>
      </c>
      <c r="EC17" s="243">
        <v>0</v>
      </c>
      <c r="ED17" s="243">
        <v>0</v>
      </c>
      <c r="EE17" s="243">
        <v>0</v>
      </c>
      <c r="EF17" s="243">
        <v>0</v>
      </c>
      <c r="EG17" s="243">
        <v>58</v>
      </c>
      <c r="EH17" s="243">
        <v>67</v>
      </c>
      <c r="EI17" s="243">
        <v>0</v>
      </c>
      <c r="EJ17" s="243">
        <v>3</v>
      </c>
      <c r="EK17" s="251">
        <v>128</v>
      </c>
      <c r="EL17" s="243">
        <v>30592824</v>
      </c>
      <c r="EM17" s="243">
        <v>0</v>
      </c>
      <c r="EN17" s="243">
        <v>0</v>
      </c>
      <c r="EO17" s="243">
        <v>0</v>
      </c>
      <c r="EP17" s="243">
        <v>0</v>
      </c>
      <c r="EQ17" s="243">
        <v>0</v>
      </c>
      <c r="ER17" s="243">
        <v>0</v>
      </c>
      <c r="ES17" s="243">
        <v>0</v>
      </c>
      <c r="ET17" s="243">
        <v>0</v>
      </c>
      <c r="EU17" s="251">
        <v>0</v>
      </c>
      <c r="EV17" s="243">
        <v>0</v>
      </c>
      <c r="EW17" s="253">
        <v>0</v>
      </c>
      <c r="EX17" s="253">
        <v>0</v>
      </c>
      <c r="EY17" s="253">
        <v>125</v>
      </c>
      <c r="EZ17" s="253">
        <v>11</v>
      </c>
      <c r="FA17" s="253">
        <v>2317</v>
      </c>
      <c r="FB17" s="253">
        <v>2633</v>
      </c>
      <c r="FC17" s="253">
        <v>50</v>
      </c>
      <c r="FD17" s="253">
        <v>357</v>
      </c>
      <c r="FE17" s="253">
        <v>5493</v>
      </c>
      <c r="FF17" s="253">
        <v>426842940</v>
      </c>
      <c r="FG17" s="243">
        <v>0</v>
      </c>
      <c r="FH17" s="243">
        <v>273</v>
      </c>
      <c r="FI17" s="243">
        <v>0</v>
      </c>
      <c r="FJ17" s="243">
        <v>0</v>
      </c>
      <c r="FK17" s="243">
        <v>146</v>
      </c>
      <c r="FL17" s="243">
        <v>0</v>
      </c>
      <c r="FM17" s="243">
        <v>0</v>
      </c>
      <c r="FN17" s="243">
        <v>0</v>
      </c>
      <c r="FO17" s="243">
        <v>419</v>
      </c>
      <c r="FP17" s="243">
        <v>43791072</v>
      </c>
      <c r="FQ17" s="253">
        <v>0</v>
      </c>
      <c r="FR17" s="253">
        <v>273</v>
      </c>
      <c r="FS17" s="253">
        <v>125</v>
      </c>
      <c r="FT17" s="253">
        <v>11</v>
      </c>
      <c r="FU17" s="253">
        <v>2463</v>
      </c>
      <c r="FV17" s="253">
        <v>2633</v>
      </c>
      <c r="FW17" s="253">
        <v>50</v>
      </c>
      <c r="FX17" s="253">
        <v>357</v>
      </c>
      <c r="FY17" s="253">
        <v>5912</v>
      </c>
      <c r="FZ17" s="253">
        <v>2463</v>
      </c>
      <c r="GA17" s="253">
        <v>2906</v>
      </c>
      <c r="GB17" s="253">
        <v>175</v>
      </c>
      <c r="GC17" s="253">
        <v>368</v>
      </c>
      <c r="GD17" s="253">
        <v>470634012</v>
      </c>
      <c r="GE17" s="253">
        <v>8388400</v>
      </c>
      <c r="GF17" s="232">
        <v>479022400</v>
      </c>
      <c r="GG17" s="307">
        <v>462606.9</v>
      </c>
      <c r="GH17" s="307">
        <v>477031</v>
      </c>
      <c r="GI17" s="166">
        <f t="shared" si="5"/>
        <v>481111.2</v>
      </c>
      <c r="GJ17" s="166">
        <f t="shared" si="6"/>
        <v>496112.2</v>
      </c>
      <c r="GK17" s="166">
        <v>466910.9</v>
      </c>
      <c r="GL17" s="166">
        <f t="shared" si="13"/>
        <v>485587.3</v>
      </c>
      <c r="GM17" s="281">
        <f t="shared" si="0"/>
        <v>460434200</v>
      </c>
      <c r="GN17" s="281">
        <f t="shared" si="7"/>
        <v>5682.5881010992389</v>
      </c>
      <c r="GO17" s="281">
        <f t="shared" si="8"/>
        <v>447855100</v>
      </c>
      <c r="GP17" s="309">
        <f t="shared" si="9"/>
        <v>5527.3393294342804</v>
      </c>
      <c r="GQ17" s="230">
        <v>5763</v>
      </c>
      <c r="GR17" s="230">
        <v>462606900</v>
      </c>
      <c r="GS17" s="243">
        <f t="shared" si="1"/>
        <v>149</v>
      </c>
      <c r="GT17" s="243">
        <v>5861</v>
      </c>
      <c r="GU17" s="243">
        <f t="shared" si="2"/>
        <v>51</v>
      </c>
      <c r="GW17" s="162">
        <f t="shared" si="10"/>
        <v>479022400</v>
      </c>
      <c r="GX17" s="162">
        <f t="shared" ref="GX17:GY17" si="23">ROUND(GW17*1.04,-2)</f>
        <v>498183300</v>
      </c>
      <c r="GY17" s="162">
        <f t="shared" si="23"/>
        <v>518110600</v>
      </c>
      <c r="GZ17" s="162"/>
      <c r="HA17" s="162">
        <f t="shared" si="12"/>
        <v>479022.4</v>
      </c>
      <c r="HB17" s="162">
        <f t="shared" si="4"/>
        <v>498183.3</v>
      </c>
      <c r="HC17" s="162">
        <f t="shared" si="4"/>
        <v>518110.6</v>
      </c>
    </row>
    <row r="18" spans="1:211" s="247" customFormat="1" x14ac:dyDescent="0.2">
      <c r="A18" s="248">
        <v>13</v>
      </c>
      <c r="B18" s="249" t="s">
        <v>17</v>
      </c>
      <c r="C18" s="250">
        <v>0</v>
      </c>
      <c r="D18" s="250">
        <v>0</v>
      </c>
      <c r="E18" s="250">
        <v>0</v>
      </c>
      <c r="F18" s="250">
        <v>0</v>
      </c>
      <c r="G18" s="250">
        <v>716</v>
      </c>
      <c r="H18" s="250">
        <v>910</v>
      </c>
      <c r="I18" s="250">
        <v>0</v>
      </c>
      <c r="J18" s="250">
        <v>184</v>
      </c>
      <c r="K18" s="251">
        <v>1810</v>
      </c>
      <c r="L18" s="243">
        <v>117090576</v>
      </c>
      <c r="M18" s="250">
        <v>0</v>
      </c>
      <c r="N18" s="250">
        <v>0</v>
      </c>
      <c r="O18" s="250">
        <v>0</v>
      </c>
      <c r="P18" s="250">
        <v>0</v>
      </c>
      <c r="Q18" s="250">
        <v>0</v>
      </c>
      <c r="R18" s="250">
        <v>0</v>
      </c>
      <c r="S18" s="250">
        <v>0</v>
      </c>
      <c r="T18" s="250">
        <v>0</v>
      </c>
      <c r="U18" s="243">
        <v>0</v>
      </c>
      <c r="V18" s="252">
        <v>0</v>
      </c>
      <c r="W18" s="243">
        <v>0</v>
      </c>
      <c r="X18" s="243">
        <v>0</v>
      </c>
      <c r="Y18" s="243">
        <v>0</v>
      </c>
      <c r="Z18" s="243">
        <v>0</v>
      </c>
      <c r="AA18" s="243">
        <v>0</v>
      </c>
      <c r="AB18" s="243">
        <v>0</v>
      </c>
      <c r="AC18" s="243">
        <v>0</v>
      </c>
      <c r="AD18" s="243">
        <v>0</v>
      </c>
      <c r="AE18" s="243">
        <v>0</v>
      </c>
      <c r="AF18" s="243">
        <v>0</v>
      </c>
      <c r="AG18" s="243">
        <v>0</v>
      </c>
      <c r="AH18" s="243">
        <v>0</v>
      </c>
      <c r="AI18" s="243">
        <v>0</v>
      </c>
      <c r="AJ18" s="243">
        <v>0</v>
      </c>
      <c r="AK18" s="243">
        <v>176</v>
      </c>
      <c r="AL18" s="243">
        <v>247</v>
      </c>
      <c r="AM18" s="243">
        <v>0</v>
      </c>
      <c r="AN18" s="243">
        <v>22</v>
      </c>
      <c r="AO18" s="243">
        <v>445</v>
      </c>
      <c r="AP18" s="243">
        <v>30657660</v>
      </c>
      <c r="AQ18" s="243">
        <v>0</v>
      </c>
      <c r="AR18" s="243">
        <v>0</v>
      </c>
      <c r="AS18" s="243">
        <v>0</v>
      </c>
      <c r="AT18" s="243">
        <v>0</v>
      </c>
      <c r="AU18" s="243">
        <v>86</v>
      </c>
      <c r="AV18" s="243">
        <v>102</v>
      </c>
      <c r="AW18" s="243">
        <v>0</v>
      </c>
      <c r="AX18" s="243">
        <v>0</v>
      </c>
      <c r="AY18" s="243">
        <v>188</v>
      </c>
      <c r="AZ18" s="243">
        <v>18821880</v>
      </c>
      <c r="BA18" s="243">
        <v>0</v>
      </c>
      <c r="BB18" s="243">
        <v>0</v>
      </c>
      <c r="BC18" s="243">
        <v>0</v>
      </c>
      <c r="BD18" s="243">
        <v>0</v>
      </c>
      <c r="BE18" s="243">
        <v>0</v>
      </c>
      <c r="BF18" s="243">
        <v>0</v>
      </c>
      <c r="BG18" s="243">
        <v>0</v>
      </c>
      <c r="BH18" s="243">
        <v>0</v>
      </c>
      <c r="BI18" s="243">
        <v>0</v>
      </c>
      <c r="BJ18" s="243">
        <v>0</v>
      </c>
      <c r="BK18" s="243">
        <v>0</v>
      </c>
      <c r="BL18" s="243">
        <v>0</v>
      </c>
      <c r="BM18" s="243">
        <v>0</v>
      </c>
      <c r="BN18" s="243">
        <v>0</v>
      </c>
      <c r="BO18" s="243">
        <v>0</v>
      </c>
      <c r="BP18" s="243">
        <v>0</v>
      </c>
      <c r="BQ18" s="243">
        <v>0</v>
      </c>
      <c r="BR18" s="243">
        <v>0</v>
      </c>
      <c r="BS18" s="243">
        <v>0</v>
      </c>
      <c r="BT18" s="243">
        <v>0</v>
      </c>
      <c r="BU18" s="243">
        <v>0</v>
      </c>
      <c r="BV18" s="243">
        <v>0</v>
      </c>
      <c r="BW18" s="243">
        <v>0</v>
      </c>
      <c r="BX18" s="243">
        <v>0</v>
      </c>
      <c r="BY18" s="243">
        <v>0</v>
      </c>
      <c r="BZ18" s="243">
        <v>0</v>
      </c>
      <c r="CA18" s="243">
        <v>0</v>
      </c>
      <c r="CB18" s="243">
        <v>0</v>
      </c>
      <c r="CC18" s="243">
        <v>0</v>
      </c>
      <c r="CD18" s="243">
        <v>0</v>
      </c>
      <c r="CE18" s="243">
        <v>0</v>
      </c>
      <c r="CF18" s="243">
        <v>0</v>
      </c>
      <c r="CG18" s="243">
        <v>0</v>
      </c>
      <c r="CH18" s="243">
        <v>0</v>
      </c>
      <c r="CI18" s="243">
        <v>53</v>
      </c>
      <c r="CJ18" s="243">
        <v>102</v>
      </c>
      <c r="CK18" s="243">
        <v>0</v>
      </c>
      <c r="CL18" s="243">
        <v>17</v>
      </c>
      <c r="CM18" s="243">
        <v>172</v>
      </c>
      <c r="CN18" s="243">
        <v>19949868</v>
      </c>
      <c r="CO18" s="243">
        <v>0</v>
      </c>
      <c r="CP18" s="243">
        <v>0</v>
      </c>
      <c r="CQ18" s="243">
        <v>0</v>
      </c>
      <c r="CR18" s="243">
        <v>0</v>
      </c>
      <c r="CS18" s="243">
        <v>0</v>
      </c>
      <c r="CT18" s="243">
        <v>0</v>
      </c>
      <c r="CU18" s="243">
        <v>0</v>
      </c>
      <c r="CV18" s="243">
        <v>0</v>
      </c>
      <c r="CW18" s="243">
        <v>0</v>
      </c>
      <c r="CX18" s="243">
        <v>0</v>
      </c>
      <c r="CY18" s="243">
        <v>0</v>
      </c>
      <c r="CZ18" s="243">
        <v>0</v>
      </c>
      <c r="DA18" s="243">
        <v>0</v>
      </c>
      <c r="DB18" s="243">
        <v>0</v>
      </c>
      <c r="DC18" s="243">
        <v>0</v>
      </c>
      <c r="DD18" s="243">
        <v>0</v>
      </c>
      <c r="DE18" s="243">
        <v>0</v>
      </c>
      <c r="DF18" s="243">
        <v>0</v>
      </c>
      <c r="DG18" s="243">
        <v>0</v>
      </c>
      <c r="DH18" s="243">
        <v>0</v>
      </c>
      <c r="DI18" s="243">
        <v>0</v>
      </c>
      <c r="DJ18" s="243">
        <v>1</v>
      </c>
      <c r="DK18" s="243">
        <v>2</v>
      </c>
      <c r="DL18" s="243">
        <v>0</v>
      </c>
      <c r="DM18" s="243">
        <v>0</v>
      </c>
      <c r="DN18" s="243">
        <v>0</v>
      </c>
      <c r="DO18" s="243">
        <v>0</v>
      </c>
      <c r="DP18" s="243">
        <v>0</v>
      </c>
      <c r="DQ18" s="243">
        <v>3</v>
      </c>
      <c r="DR18" s="243">
        <v>114648</v>
      </c>
      <c r="DS18" s="243">
        <v>0</v>
      </c>
      <c r="DT18" s="243">
        <v>0</v>
      </c>
      <c r="DU18" s="243">
        <v>0</v>
      </c>
      <c r="DV18" s="243">
        <v>0</v>
      </c>
      <c r="DW18" s="243">
        <v>0</v>
      </c>
      <c r="DX18" s="243">
        <v>0</v>
      </c>
      <c r="DY18" s="243">
        <v>0</v>
      </c>
      <c r="DZ18" s="243">
        <v>0</v>
      </c>
      <c r="EA18" s="243">
        <v>0</v>
      </c>
      <c r="EB18" s="243">
        <v>0</v>
      </c>
      <c r="EC18" s="243">
        <v>0</v>
      </c>
      <c r="ED18" s="243">
        <v>0</v>
      </c>
      <c r="EE18" s="243">
        <v>0</v>
      </c>
      <c r="EF18" s="243">
        <v>0</v>
      </c>
      <c r="EG18" s="243">
        <v>10</v>
      </c>
      <c r="EH18" s="243">
        <v>25</v>
      </c>
      <c r="EI18" s="243">
        <v>0</v>
      </c>
      <c r="EJ18" s="243">
        <v>3</v>
      </c>
      <c r="EK18" s="251">
        <v>38</v>
      </c>
      <c r="EL18" s="243">
        <v>8950200</v>
      </c>
      <c r="EM18" s="243">
        <v>0</v>
      </c>
      <c r="EN18" s="243">
        <v>0</v>
      </c>
      <c r="EO18" s="243">
        <v>0</v>
      </c>
      <c r="EP18" s="243">
        <v>0</v>
      </c>
      <c r="EQ18" s="243">
        <v>0</v>
      </c>
      <c r="ER18" s="243">
        <v>0</v>
      </c>
      <c r="ES18" s="243">
        <v>0</v>
      </c>
      <c r="ET18" s="243">
        <v>0</v>
      </c>
      <c r="EU18" s="251">
        <v>0</v>
      </c>
      <c r="EV18" s="243">
        <v>0</v>
      </c>
      <c r="EW18" s="253">
        <v>0</v>
      </c>
      <c r="EX18" s="253">
        <v>1</v>
      </c>
      <c r="EY18" s="253">
        <v>2</v>
      </c>
      <c r="EZ18" s="253">
        <v>0</v>
      </c>
      <c r="FA18" s="253">
        <v>1041</v>
      </c>
      <c r="FB18" s="253">
        <v>1386</v>
      </c>
      <c r="FC18" s="253">
        <v>0</v>
      </c>
      <c r="FD18" s="253">
        <v>226</v>
      </c>
      <c r="FE18" s="253">
        <v>2656</v>
      </c>
      <c r="FF18" s="253">
        <v>195584832</v>
      </c>
      <c r="FG18" s="243">
        <v>0</v>
      </c>
      <c r="FH18" s="243">
        <v>0</v>
      </c>
      <c r="FI18" s="243">
        <v>0</v>
      </c>
      <c r="FJ18" s="243">
        <v>0</v>
      </c>
      <c r="FK18" s="243">
        <v>77</v>
      </c>
      <c r="FL18" s="243">
        <v>49</v>
      </c>
      <c r="FM18" s="243">
        <v>6</v>
      </c>
      <c r="FN18" s="243">
        <v>0</v>
      </c>
      <c r="FO18" s="243">
        <v>132</v>
      </c>
      <c r="FP18" s="243">
        <v>12038880</v>
      </c>
      <c r="FQ18" s="253">
        <v>0</v>
      </c>
      <c r="FR18" s="253">
        <v>1</v>
      </c>
      <c r="FS18" s="253">
        <v>2</v>
      </c>
      <c r="FT18" s="253">
        <v>0</v>
      </c>
      <c r="FU18" s="253">
        <v>1118</v>
      </c>
      <c r="FV18" s="253">
        <v>1435</v>
      </c>
      <c r="FW18" s="253">
        <v>6</v>
      </c>
      <c r="FX18" s="253">
        <v>226</v>
      </c>
      <c r="FY18" s="253">
        <v>2788</v>
      </c>
      <c r="FZ18" s="253">
        <v>1118</v>
      </c>
      <c r="GA18" s="253">
        <v>1436</v>
      </c>
      <c r="GB18" s="253">
        <v>8</v>
      </c>
      <c r="GC18" s="253">
        <v>226</v>
      </c>
      <c r="GD18" s="253">
        <v>207623712</v>
      </c>
      <c r="GE18" s="253">
        <v>3405099.9999999991</v>
      </c>
      <c r="GF18" s="232">
        <v>211028800</v>
      </c>
      <c r="GG18" s="307">
        <v>207038.7</v>
      </c>
      <c r="GH18" s="307">
        <v>204601</v>
      </c>
      <c r="GI18" s="166">
        <f t="shared" si="5"/>
        <v>215320.2</v>
      </c>
      <c r="GJ18" s="166">
        <f t="shared" si="6"/>
        <v>212785</v>
      </c>
      <c r="GK18" s="166">
        <v>207038.7</v>
      </c>
      <c r="GL18" s="166">
        <f t="shared" si="13"/>
        <v>215320.2</v>
      </c>
      <c r="GM18" s="281">
        <f t="shared" si="0"/>
        <v>202839900</v>
      </c>
      <c r="GN18" s="281">
        <f t="shared" si="7"/>
        <v>2679.8126189411114</v>
      </c>
      <c r="GO18" s="281">
        <f t="shared" si="8"/>
        <v>197298300</v>
      </c>
      <c r="GP18" s="309">
        <f t="shared" si="9"/>
        <v>2606.5999541294836</v>
      </c>
      <c r="GQ18" s="230">
        <v>2763</v>
      </c>
      <c r="GR18" s="230">
        <v>207038700</v>
      </c>
      <c r="GS18" s="243">
        <f t="shared" si="1"/>
        <v>25</v>
      </c>
      <c r="GT18" s="243">
        <v>2763</v>
      </c>
      <c r="GU18" s="243">
        <f t="shared" si="2"/>
        <v>25</v>
      </c>
      <c r="GW18" s="162">
        <f t="shared" si="10"/>
        <v>211028800</v>
      </c>
      <c r="GX18" s="162">
        <f t="shared" ref="GX18:GY18" si="24">ROUND(GW18*1.04,-2)</f>
        <v>219470000</v>
      </c>
      <c r="GY18" s="162">
        <f t="shared" si="24"/>
        <v>228248800</v>
      </c>
      <c r="GZ18" s="162"/>
      <c r="HA18" s="162">
        <f t="shared" si="12"/>
        <v>211028.8</v>
      </c>
      <c r="HB18" s="162">
        <f t="shared" si="4"/>
        <v>219470</v>
      </c>
      <c r="HC18" s="162">
        <f t="shared" si="4"/>
        <v>228248.8</v>
      </c>
    </row>
    <row r="19" spans="1:211" s="247" customFormat="1" x14ac:dyDescent="0.2">
      <c r="A19" s="248">
        <v>14</v>
      </c>
      <c r="B19" s="249" t="s">
        <v>18</v>
      </c>
      <c r="C19" s="250">
        <v>0</v>
      </c>
      <c r="D19" s="250">
        <v>0</v>
      </c>
      <c r="E19" s="250">
        <v>0</v>
      </c>
      <c r="F19" s="250">
        <v>0</v>
      </c>
      <c r="G19" s="250">
        <v>787</v>
      </c>
      <c r="H19" s="250">
        <v>783</v>
      </c>
      <c r="I19" s="250">
        <v>0</v>
      </c>
      <c r="J19" s="250">
        <v>153</v>
      </c>
      <c r="K19" s="251">
        <v>1723</v>
      </c>
      <c r="L19" s="243">
        <v>108614484</v>
      </c>
      <c r="M19" s="250">
        <v>0</v>
      </c>
      <c r="N19" s="250">
        <v>0</v>
      </c>
      <c r="O19" s="250">
        <v>0</v>
      </c>
      <c r="P19" s="250">
        <v>0</v>
      </c>
      <c r="Q19" s="250">
        <v>0</v>
      </c>
      <c r="R19" s="250">
        <v>70</v>
      </c>
      <c r="S19" s="250">
        <v>0</v>
      </c>
      <c r="T19" s="250">
        <v>0</v>
      </c>
      <c r="U19" s="243">
        <v>70</v>
      </c>
      <c r="V19" s="252">
        <v>5381880</v>
      </c>
      <c r="W19" s="243">
        <v>0</v>
      </c>
      <c r="X19" s="243">
        <v>0</v>
      </c>
      <c r="Y19" s="243">
        <v>0</v>
      </c>
      <c r="Z19" s="243">
        <v>6</v>
      </c>
      <c r="AA19" s="243">
        <v>124</v>
      </c>
      <c r="AB19" s="243">
        <v>144</v>
      </c>
      <c r="AC19" s="243">
        <v>0</v>
      </c>
      <c r="AD19" s="243">
        <v>9</v>
      </c>
      <c r="AE19" s="243">
        <v>283</v>
      </c>
      <c r="AF19" s="243">
        <v>17631036</v>
      </c>
      <c r="AG19" s="243">
        <v>0</v>
      </c>
      <c r="AH19" s="243">
        <v>0</v>
      </c>
      <c r="AI19" s="243">
        <v>0</v>
      </c>
      <c r="AJ19" s="243">
        <v>0</v>
      </c>
      <c r="AK19" s="243">
        <v>0</v>
      </c>
      <c r="AL19" s="243">
        <v>0</v>
      </c>
      <c r="AM19" s="243">
        <v>0</v>
      </c>
      <c r="AN19" s="243">
        <v>0</v>
      </c>
      <c r="AO19" s="243">
        <v>0</v>
      </c>
      <c r="AP19" s="243">
        <v>0</v>
      </c>
      <c r="AQ19" s="243">
        <v>0</v>
      </c>
      <c r="AR19" s="243">
        <v>0</v>
      </c>
      <c r="AS19" s="243">
        <v>0</v>
      </c>
      <c r="AT19" s="243">
        <v>0</v>
      </c>
      <c r="AU19" s="243">
        <v>0</v>
      </c>
      <c r="AV19" s="243">
        <v>0</v>
      </c>
      <c r="AW19" s="243">
        <v>0</v>
      </c>
      <c r="AX19" s="243">
        <v>0</v>
      </c>
      <c r="AY19" s="243">
        <v>0</v>
      </c>
      <c r="AZ19" s="243">
        <v>0</v>
      </c>
      <c r="BA19" s="243">
        <v>0</v>
      </c>
      <c r="BB19" s="243">
        <v>0</v>
      </c>
      <c r="BC19" s="243">
        <v>0</v>
      </c>
      <c r="BD19" s="243">
        <v>0</v>
      </c>
      <c r="BE19" s="243">
        <v>0</v>
      </c>
      <c r="BF19" s="243">
        <v>0</v>
      </c>
      <c r="BG19" s="243">
        <v>0</v>
      </c>
      <c r="BH19" s="243">
        <v>0</v>
      </c>
      <c r="BI19" s="243">
        <v>0</v>
      </c>
      <c r="BJ19" s="243">
        <v>0</v>
      </c>
      <c r="BK19" s="243">
        <v>0</v>
      </c>
      <c r="BL19" s="243">
        <v>0</v>
      </c>
      <c r="BM19" s="243">
        <v>0</v>
      </c>
      <c r="BN19" s="243">
        <v>7</v>
      </c>
      <c r="BO19" s="243">
        <v>497</v>
      </c>
      <c r="BP19" s="243">
        <v>581</v>
      </c>
      <c r="BQ19" s="243">
        <v>0</v>
      </c>
      <c r="BR19" s="243">
        <v>74</v>
      </c>
      <c r="BS19" s="243">
        <v>1159</v>
      </c>
      <c r="BT19" s="243">
        <v>93796332</v>
      </c>
      <c r="BU19" s="243">
        <v>0</v>
      </c>
      <c r="BV19" s="243">
        <v>0</v>
      </c>
      <c r="BW19" s="243">
        <v>0</v>
      </c>
      <c r="BX19" s="243">
        <v>8</v>
      </c>
      <c r="BY19" s="243">
        <v>67</v>
      </c>
      <c r="BZ19" s="243">
        <v>98</v>
      </c>
      <c r="CA19" s="243">
        <v>0</v>
      </c>
      <c r="CB19" s="243">
        <v>18</v>
      </c>
      <c r="CC19" s="243">
        <v>191</v>
      </c>
      <c r="CD19" s="243">
        <v>18288684</v>
      </c>
      <c r="CE19" s="243">
        <v>0</v>
      </c>
      <c r="CF19" s="243">
        <v>0</v>
      </c>
      <c r="CG19" s="243">
        <v>0</v>
      </c>
      <c r="CH19" s="243">
        <v>21</v>
      </c>
      <c r="CI19" s="243">
        <v>470</v>
      </c>
      <c r="CJ19" s="243">
        <v>438</v>
      </c>
      <c r="CK19" s="243">
        <v>0</v>
      </c>
      <c r="CL19" s="243">
        <v>45</v>
      </c>
      <c r="CM19" s="243">
        <v>974</v>
      </c>
      <c r="CN19" s="243">
        <v>104700972</v>
      </c>
      <c r="CO19" s="243">
        <v>0</v>
      </c>
      <c r="CP19" s="243">
        <v>0</v>
      </c>
      <c r="CQ19" s="243">
        <v>0</v>
      </c>
      <c r="CR19" s="243">
        <v>0</v>
      </c>
      <c r="CS19" s="243">
        <v>163</v>
      </c>
      <c r="CT19" s="243">
        <v>140</v>
      </c>
      <c r="CU19" s="243">
        <v>0</v>
      </c>
      <c r="CV19" s="243">
        <v>0</v>
      </c>
      <c r="CW19" s="243">
        <v>303</v>
      </c>
      <c r="CX19" s="243">
        <v>42526428</v>
      </c>
      <c r="CY19" s="243">
        <v>0</v>
      </c>
      <c r="CZ19" s="243">
        <v>0</v>
      </c>
      <c r="DA19" s="243">
        <v>0</v>
      </c>
      <c r="DB19" s="243">
        <v>0</v>
      </c>
      <c r="DC19" s="243">
        <v>17</v>
      </c>
      <c r="DD19" s="243">
        <v>31</v>
      </c>
      <c r="DE19" s="243">
        <v>0</v>
      </c>
      <c r="DF19" s="243">
        <v>0</v>
      </c>
      <c r="DG19" s="243">
        <v>48</v>
      </c>
      <c r="DH19" s="243">
        <v>11218524</v>
      </c>
      <c r="DI19" s="243">
        <v>0</v>
      </c>
      <c r="DJ19" s="243">
        <v>0</v>
      </c>
      <c r="DK19" s="243">
        <v>0</v>
      </c>
      <c r="DL19" s="243">
        <v>0</v>
      </c>
      <c r="DM19" s="243">
        <v>0</v>
      </c>
      <c r="DN19" s="243">
        <v>0</v>
      </c>
      <c r="DO19" s="243">
        <v>0</v>
      </c>
      <c r="DP19" s="243">
        <v>0</v>
      </c>
      <c r="DQ19" s="243">
        <v>0</v>
      </c>
      <c r="DR19" s="243">
        <v>0</v>
      </c>
      <c r="DS19" s="243">
        <v>0</v>
      </c>
      <c r="DT19" s="243">
        <v>0</v>
      </c>
      <c r="DU19" s="243">
        <v>0</v>
      </c>
      <c r="DV19" s="243">
        <v>0</v>
      </c>
      <c r="DW19" s="243">
        <v>0</v>
      </c>
      <c r="DX19" s="243">
        <v>0</v>
      </c>
      <c r="DY19" s="243">
        <v>0</v>
      </c>
      <c r="DZ19" s="243">
        <v>0</v>
      </c>
      <c r="EA19" s="243">
        <v>0</v>
      </c>
      <c r="EB19" s="243">
        <v>0</v>
      </c>
      <c r="EC19" s="243">
        <v>0</v>
      </c>
      <c r="ED19" s="243">
        <v>0</v>
      </c>
      <c r="EE19" s="243">
        <v>0</v>
      </c>
      <c r="EF19" s="243">
        <v>0</v>
      </c>
      <c r="EG19" s="243">
        <v>13</v>
      </c>
      <c r="EH19" s="243">
        <v>29</v>
      </c>
      <c r="EI19" s="243">
        <v>0</v>
      </c>
      <c r="EJ19" s="243">
        <v>0</v>
      </c>
      <c r="EK19" s="251">
        <v>42</v>
      </c>
      <c r="EL19" s="243">
        <v>10678668</v>
      </c>
      <c r="EM19" s="243">
        <v>0</v>
      </c>
      <c r="EN19" s="243">
        <v>0</v>
      </c>
      <c r="EO19" s="243">
        <v>1</v>
      </c>
      <c r="EP19" s="243">
        <v>0</v>
      </c>
      <c r="EQ19" s="243">
        <v>0</v>
      </c>
      <c r="ER19" s="243">
        <v>2</v>
      </c>
      <c r="ES19" s="243">
        <v>0</v>
      </c>
      <c r="ET19" s="243">
        <v>0</v>
      </c>
      <c r="EU19" s="251">
        <v>3</v>
      </c>
      <c r="EV19" s="243">
        <v>46212</v>
      </c>
      <c r="EW19" s="253">
        <v>0</v>
      </c>
      <c r="EX19" s="253">
        <v>0</v>
      </c>
      <c r="EY19" s="253">
        <v>1</v>
      </c>
      <c r="EZ19" s="253">
        <v>42</v>
      </c>
      <c r="FA19" s="253">
        <v>2138</v>
      </c>
      <c r="FB19" s="253">
        <v>2316</v>
      </c>
      <c r="FC19" s="253">
        <v>0</v>
      </c>
      <c r="FD19" s="253">
        <v>299</v>
      </c>
      <c r="FE19" s="253">
        <v>4796</v>
      </c>
      <c r="FF19" s="253">
        <v>412883220</v>
      </c>
      <c r="FG19" s="243">
        <v>0</v>
      </c>
      <c r="FH19" s="243">
        <v>0</v>
      </c>
      <c r="FI19" s="243">
        <v>0</v>
      </c>
      <c r="FJ19" s="243">
        <v>0</v>
      </c>
      <c r="FK19" s="243">
        <v>179</v>
      </c>
      <c r="FL19" s="243">
        <v>251</v>
      </c>
      <c r="FM19" s="243">
        <v>0</v>
      </c>
      <c r="FN19" s="243">
        <v>0</v>
      </c>
      <c r="FO19" s="243">
        <v>430</v>
      </c>
      <c r="FP19" s="243">
        <v>58319592</v>
      </c>
      <c r="FQ19" s="253">
        <v>0</v>
      </c>
      <c r="FR19" s="253">
        <v>0</v>
      </c>
      <c r="FS19" s="253">
        <v>1</v>
      </c>
      <c r="FT19" s="253">
        <v>42</v>
      </c>
      <c r="FU19" s="253">
        <v>2317</v>
      </c>
      <c r="FV19" s="253">
        <v>2567</v>
      </c>
      <c r="FW19" s="253">
        <v>0</v>
      </c>
      <c r="FX19" s="253">
        <v>299</v>
      </c>
      <c r="FY19" s="253">
        <v>5226</v>
      </c>
      <c r="FZ19" s="253">
        <v>2317</v>
      </c>
      <c r="GA19" s="253">
        <v>2567</v>
      </c>
      <c r="GB19" s="253">
        <v>1</v>
      </c>
      <c r="GC19" s="253">
        <v>341</v>
      </c>
      <c r="GD19" s="253">
        <v>471202812</v>
      </c>
      <c r="GE19" s="253">
        <v>7805199.9999999991</v>
      </c>
      <c r="GF19" s="232">
        <v>479008000</v>
      </c>
      <c r="GG19" s="307">
        <v>468106.6</v>
      </c>
      <c r="GH19" s="307">
        <v>458215.5</v>
      </c>
      <c r="GI19" s="166">
        <f t="shared" si="5"/>
        <v>486830.9</v>
      </c>
      <c r="GJ19" s="166">
        <f t="shared" si="6"/>
        <v>476544.1</v>
      </c>
      <c r="GK19" s="166">
        <v>468106.6</v>
      </c>
      <c r="GL19" s="166">
        <f t="shared" si="13"/>
        <v>486830.9</v>
      </c>
      <c r="GM19" s="281">
        <f t="shared" si="0"/>
        <v>460420300</v>
      </c>
      <c r="GN19" s="281">
        <f t="shared" si="7"/>
        <v>5023.2073113601446</v>
      </c>
      <c r="GO19" s="281">
        <f t="shared" si="8"/>
        <v>447841600</v>
      </c>
      <c r="GP19" s="309">
        <f t="shared" si="9"/>
        <v>4885.9730977353192</v>
      </c>
      <c r="GQ19" s="230">
        <v>5176</v>
      </c>
      <c r="GR19" s="230">
        <v>468106600</v>
      </c>
      <c r="GS19" s="243">
        <f t="shared" si="1"/>
        <v>50</v>
      </c>
      <c r="GT19" s="243">
        <v>5176</v>
      </c>
      <c r="GU19" s="243">
        <f t="shared" si="2"/>
        <v>50</v>
      </c>
      <c r="GW19" s="162">
        <f t="shared" si="10"/>
        <v>479008000</v>
      </c>
      <c r="GX19" s="162">
        <f t="shared" ref="GX19:GY19" si="25">ROUND(GW19*1.04,-2)</f>
        <v>498168300</v>
      </c>
      <c r="GY19" s="162">
        <f t="shared" si="25"/>
        <v>518095000</v>
      </c>
      <c r="GZ19" s="162"/>
      <c r="HA19" s="162">
        <f t="shared" si="12"/>
        <v>479008</v>
      </c>
      <c r="HB19" s="162">
        <f t="shared" si="4"/>
        <v>498168.3</v>
      </c>
      <c r="HC19" s="162">
        <f t="shared" si="4"/>
        <v>518095</v>
      </c>
    </row>
    <row r="20" spans="1:211" s="247" customFormat="1" x14ac:dyDescent="0.2">
      <c r="A20" s="248">
        <v>15</v>
      </c>
      <c r="B20" s="249" t="s">
        <v>19</v>
      </c>
      <c r="C20" s="250">
        <v>0</v>
      </c>
      <c r="D20" s="250">
        <v>0</v>
      </c>
      <c r="E20" s="250">
        <v>0</v>
      </c>
      <c r="F20" s="250">
        <v>36</v>
      </c>
      <c r="G20" s="250">
        <v>1173</v>
      </c>
      <c r="H20" s="250">
        <v>1425</v>
      </c>
      <c r="I20" s="250">
        <v>0</v>
      </c>
      <c r="J20" s="250">
        <v>159</v>
      </c>
      <c r="K20" s="251">
        <v>2793</v>
      </c>
      <c r="L20" s="243">
        <v>176586012</v>
      </c>
      <c r="M20" s="250">
        <v>0</v>
      </c>
      <c r="N20" s="250">
        <v>0</v>
      </c>
      <c r="O20" s="250">
        <v>0</v>
      </c>
      <c r="P20" s="250">
        <v>0</v>
      </c>
      <c r="Q20" s="250">
        <v>0</v>
      </c>
      <c r="R20" s="250">
        <v>0</v>
      </c>
      <c r="S20" s="250">
        <v>0</v>
      </c>
      <c r="T20" s="250">
        <v>0</v>
      </c>
      <c r="U20" s="243">
        <v>0</v>
      </c>
      <c r="V20" s="252">
        <v>0</v>
      </c>
      <c r="W20" s="243">
        <v>0</v>
      </c>
      <c r="X20" s="243">
        <v>0</v>
      </c>
      <c r="Y20" s="243">
        <v>0</v>
      </c>
      <c r="Z20" s="243">
        <v>0</v>
      </c>
      <c r="AA20" s="243">
        <v>0</v>
      </c>
      <c r="AB20" s="243">
        <v>0</v>
      </c>
      <c r="AC20" s="243">
        <v>0</v>
      </c>
      <c r="AD20" s="243">
        <v>0</v>
      </c>
      <c r="AE20" s="243">
        <v>0</v>
      </c>
      <c r="AF20" s="243">
        <v>0</v>
      </c>
      <c r="AG20" s="243">
        <v>0</v>
      </c>
      <c r="AH20" s="243">
        <v>0</v>
      </c>
      <c r="AI20" s="243">
        <v>0</v>
      </c>
      <c r="AJ20" s="243">
        <v>0</v>
      </c>
      <c r="AK20" s="243">
        <v>0</v>
      </c>
      <c r="AL20" s="243">
        <v>0</v>
      </c>
      <c r="AM20" s="243">
        <v>0</v>
      </c>
      <c r="AN20" s="243">
        <v>0</v>
      </c>
      <c r="AO20" s="243">
        <v>0</v>
      </c>
      <c r="AP20" s="243">
        <v>0</v>
      </c>
      <c r="AQ20" s="243">
        <v>0</v>
      </c>
      <c r="AR20" s="243">
        <v>0</v>
      </c>
      <c r="AS20" s="243">
        <v>0</v>
      </c>
      <c r="AT20" s="243">
        <v>0</v>
      </c>
      <c r="AU20" s="243">
        <v>0</v>
      </c>
      <c r="AV20" s="243">
        <v>0</v>
      </c>
      <c r="AW20" s="243">
        <v>0</v>
      </c>
      <c r="AX20" s="243">
        <v>0</v>
      </c>
      <c r="AY20" s="243">
        <v>0</v>
      </c>
      <c r="AZ20" s="243">
        <v>0</v>
      </c>
      <c r="BA20" s="243">
        <v>0</v>
      </c>
      <c r="BB20" s="243">
        <v>0</v>
      </c>
      <c r="BC20" s="243">
        <v>0</v>
      </c>
      <c r="BD20" s="243">
        <v>0</v>
      </c>
      <c r="BE20" s="243">
        <v>0</v>
      </c>
      <c r="BF20" s="243">
        <v>0</v>
      </c>
      <c r="BG20" s="243">
        <v>0</v>
      </c>
      <c r="BH20" s="243">
        <v>0</v>
      </c>
      <c r="BI20" s="243">
        <v>0</v>
      </c>
      <c r="BJ20" s="243">
        <v>0</v>
      </c>
      <c r="BK20" s="243">
        <v>0</v>
      </c>
      <c r="BL20" s="243">
        <v>0</v>
      </c>
      <c r="BM20" s="243">
        <v>0</v>
      </c>
      <c r="BN20" s="243">
        <v>0</v>
      </c>
      <c r="BO20" s="243">
        <v>0</v>
      </c>
      <c r="BP20" s="243">
        <v>0</v>
      </c>
      <c r="BQ20" s="243">
        <v>0</v>
      </c>
      <c r="BR20" s="243">
        <v>0</v>
      </c>
      <c r="BS20" s="243">
        <v>0</v>
      </c>
      <c r="BT20" s="243">
        <v>0</v>
      </c>
      <c r="BU20" s="243">
        <v>0</v>
      </c>
      <c r="BV20" s="243">
        <v>0</v>
      </c>
      <c r="BW20" s="243">
        <v>0</v>
      </c>
      <c r="BX20" s="243">
        <v>0</v>
      </c>
      <c r="BY20" s="243">
        <v>0</v>
      </c>
      <c r="BZ20" s="243">
        <v>0</v>
      </c>
      <c r="CA20" s="243">
        <v>0</v>
      </c>
      <c r="CB20" s="243">
        <v>0</v>
      </c>
      <c r="CC20" s="243">
        <v>0</v>
      </c>
      <c r="CD20" s="243">
        <v>0</v>
      </c>
      <c r="CE20" s="243">
        <v>0</v>
      </c>
      <c r="CF20" s="243">
        <v>0</v>
      </c>
      <c r="CG20" s="243">
        <v>0</v>
      </c>
      <c r="CH20" s="243">
        <v>0</v>
      </c>
      <c r="CI20" s="243">
        <v>34</v>
      </c>
      <c r="CJ20" s="243">
        <v>63</v>
      </c>
      <c r="CK20" s="243">
        <v>0</v>
      </c>
      <c r="CL20" s="243">
        <v>11</v>
      </c>
      <c r="CM20" s="243">
        <v>108</v>
      </c>
      <c r="CN20" s="243">
        <v>12511416</v>
      </c>
      <c r="CO20" s="243">
        <v>0</v>
      </c>
      <c r="CP20" s="243">
        <v>0</v>
      </c>
      <c r="CQ20" s="243">
        <v>0</v>
      </c>
      <c r="CR20" s="243">
        <v>2</v>
      </c>
      <c r="CS20" s="243">
        <v>65</v>
      </c>
      <c r="CT20" s="243">
        <v>70</v>
      </c>
      <c r="CU20" s="243">
        <v>0</v>
      </c>
      <c r="CV20" s="243">
        <v>3</v>
      </c>
      <c r="CW20" s="243">
        <v>140</v>
      </c>
      <c r="CX20" s="243">
        <v>20335200</v>
      </c>
      <c r="CY20" s="243">
        <v>0</v>
      </c>
      <c r="CZ20" s="243">
        <v>0</v>
      </c>
      <c r="DA20" s="243">
        <v>0</v>
      </c>
      <c r="DB20" s="243">
        <v>0</v>
      </c>
      <c r="DC20" s="243">
        <v>36</v>
      </c>
      <c r="DD20" s="243">
        <v>12</v>
      </c>
      <c r="DE20" s="243">
        <v>0</v>
      </c>
      <c r="DF20" s="243">
        <v>0</v>
      </c>
      <c r="DG20" s="243">
        <v>48</v>
      </c>
      <c r="DH20" s="243">
        <v>9700272</v>
      </c>
      <c r="DI20" s="243">
        <v>0</v>
      </c>
      <c r="DJ20" s="243">
        <v>0</v>
      </c>
      <c r="DK20" s="243">
        <v>0</v>
      </c>
      <c r="DL20" s="243">
        <v>0</v>
      </c>
      <c r="DM20" s="243">
        <v>0</v>
      </c>
      <c r="DN20" s="243">
        <v>0</v>
      </c>
      <c r="DO20" s="243">
        <v>24</v>
      </c>
      <c r="DP20" s="243">
        <v>0</v>
      </c>
      <c r="DQ20" s="243">
        <v>24</v>
      </c>
      <c r="DR20" s="243">
        <v>922464</v>
      </c>
      <c r="DS20" s="243">
        <v>0</v>
      </c>
      <c r="DT20" s="243">
        <v>0</v>
      </c>
      <c r="DU20" s="243">
        <v>0</v>
      </c>
      <c r="DV20" s="243">
        <v>0</v>
      </c>
      <c r="DW20" s="243">
        <v>0</v>
      </c>
      <c r="DX20" s="243">
        <v>0</v>
      </c>
      <c r="DY20" s="243">
        <v>0</v>
      </c>
      <c r="DZ20" s="243">
        <v>0</v>
      </c>
      <c r="EA20" s="243">
        <v>0</v>
      </c>
      <c r="EB20" s="243">
        <v>0</v>
      </c>
      <c r="EC20" s="243">
        <v>4</v>
      </c>
      <c r="ED20" s="243">
        <v>7</v>
      </c>
      <c r="EE20" s="243">
        <v>0</v>
      </c>
      <c r="EF20" s="243">
        <v>1</v>
      </c>
      <c r="EG20" s="243">
        <v>5</v>
      </c>
      <c r="EH20" s="243">
        <v>11</v>
      </c>
      <c r="EI20" s="243">
        <v>0</v>
      </c>
      <c r="EJ20" s="243">
        <v>0</v>
      </c>
      <c r="EK20" s="251">
        <v>28</v>
      </c>
      <c r="EL20" s="243">
        <v>6817788</v>
      </c>
      <c r="EM20" s="243">
        <v>0</v>
      </c>
      <c r="EN20" s="243">
        <v>0</v>
      </c>
      <c r="EO20" s="243">
        <v>0</v>
      </c>
      <c r="EP20" s="243">
        <v>0</v>
      </c>
      <c r="EQ20" s="243">
        <v>0</v>
      </c>
      <c r="ER20" s="243">
        <v>0</v>
      </c>
      <c r="ES20" s="243">
        <v>0</v>
      </c>
      <c r="ET20" s="243">
        <v>0</v>
      </c>
      <c r="EU20" s="251">
        <v>0</v>
      </c>
      <c r="EV20" s="243">
        <v>0</v>
      </c>
      <c r="EW20" s="253">
        <v>4</v>
      </c>
      <c r="EX20" s="253">
        <v>7</v>
      </c>
      <c r="EY20" s="253">
        <v>0</v>
      </c>
      <c r="EZ20" s="253">
        <v>39</v>
      </c>
      <c r="FA20" s="253">
        <v>1313</v>
      </c>
      <c r="FB20" s="253">
        <v>1581</v>
      </c>
      <c r="FC20" s="253">
        <v>24</v>
      </c>
      <c r="FD20" s="253">
        <v>173</v>
      </c>
      <c r="FE20" s="253">
        <v>3141</v>
      </c>
      <c r="FF20" s="253">
        <v>226873152</v>
      </c>
      <c r="FG20" s="243">
        <v>2</v>
      </c>
      <c r="FH20" s="243">
        <v>116</v>
      </c>
      <c r="FI20" s="243">
        <v>0</v>
      </c>
      <c r="FJ20" s="243">
        <v>0</v>
      </c>
      <c r="FK20" s="243">
        <v>146</v>
      </c>
      <c r="FL20" s="243">
        <v>50</v>
      </c>
      <c r="FM20" s="243">
        <v>0</v>
      </c>
      <c r="FN20" s="243">
        <v>0</v>
      </c>
      <c r="FO20" s="243">
        <v>314</v>
      </c>
      <c r="FP20" s="243">
        <v>38794152</v>
      </c>
      <c r="FQ20" s="253">
        <v>6</v>
      </c>
      <c r="FR20" s="253">
        <v>123</v>
      </c>
      <c r="FS20" s="253">
        <v>0</v>
      </c>
      <c r="FT20" s="253">
        <v>39</v>
      </c>
      <c r="FU20" s="253">
        <v>1459</v>
      </c>
      <c r="FV20" s="253">
        <v>1631</v>
      </c>
      <c r="FW20" s="253">
        <v>24</v>
      </c>
      <c r="FX20" s="253">
        <v>173</v>
      </c>
      <c r="FY20" s="253">
        <v>3455</v>
      </c>
      <c r="FZ20" s="253">
        <v>1465</v>
      </c>
      <c r="GA20" s="253">
        <v>1754</v>
      </c>
      <c r="GB20" s="253">
        <v>24</v>
      </c>
      <c r="GC20" s="253">
        <v>212</v>
      </c>
      <c r="GD20" s="253">
        <v>265667304</v>
      </c>
      <c r="GE20" s="253">
        <v>4650100</v>
      </c>
      <c r="GF20" s="232">
        <v>270317400</v>
      </c>
      <c r="GG20" s="307">
        <v>264695.8</v>
      </c>
      <c r="GH20" s="307">
        <v>278385.5</v>
      </c>
      <c r="GI20" s="166">
        <f t="shared" si="5"/>
        <v>275283.59999999998</v>
      </c>
      <c r="GJ20" s="166">
        <f t="shared" si="6"/>
        <v>289520.90000000002</v>
      </c>
      <c r="GK20" s="166">
        <v>271499.09999999998</v>
      </c>
      <c r="GL20" s="166">
        <f t="shared" si="13"/>
        <v>282359.09999999998</v>
      </c>
      <c r="GM20" s="281">
        <f t="shared" si="0"/>
        <v>259827900</v>
      </c>
      <c r="GN20" s="281">
        <f t="shared" si="7"/>
        <v>3320.9308557273785</v>
      </c>
      <c r="GO20" s="281">
        <f t="shared" si="8"/>
        <v>252729300</v>
      </c>
      <c r="GP20" s="309">
        <f t="shared" si="9"/>
        <v>3230.2017239733736</v>
      </c>
      <c r="GQ20" s="230">
        <v>3399</v>
      </c>
      <c r="GR20" s="230">
        <v>264695800</v>
      </c>
      <c r="GS20" s="243">
        <f t="shared" si="1"/>
        <v>56</v>
      </c>
      <c r="GT20" s="243">
        <v>3398</v>
      </c>
      <c r="GU20" s="243">
        <f t="shared" si="2"/>
        <v>57</v>
      </c>
      <c r="GW20" s="162">
        <f t="shared" si="10"/>
        <v>270317400</v>
      </c>
      <c r="GX20" s="162">
        <f t="shared" ref="GX20:GY20" si="26">ROUND(GW20*1.04,-2)</f>
        <v>281130100</v>
      </c>
      <c r="GY20" s="162">
        <f t="shared" si="26"/>
        <v>292375300</v>
      </c>
      <c r="GZ20" s="162"/>
      <c r="HA20" s="162">
        <f t="shared" si="12"/>
        <v>270317.40000000002</v>
      </c>
      <c r="HB20" s="162">
        <f t="shared" si="4"/>
        <v>281130.09999999998</v>
      </c>
      <c r="HC20" s="162">
        <f t="shared" si="4"/>
        <v>292375.3</v>
      </c>
    </row>
    <row r="21" spans="1:211" s="247" customFormat="1" x14ac:dyDescent="0.2">
      <c r="A21" s="248">
        <v>16</v>
      </c>
      <c r="B21" s="249" t="s">
        <v>20</v>
      </c>
      <c r="C21" s="250">
        <v>0</v>
      </c>
      <c r="D21" s="250">
        <v>0</v>
      </c>
      <c r="E21" s="250">
        <v>0</v>
      </c>
      <c r="F21" s="250">
        <v>0</v>
      </c>
      <c r="G21" s="250">
        <v>2542</v>
      </c>
      <c r="H21" s="250">
        <v>2122</v>
      </c>
      <c r="I21" s="250">
        <v>0</v>
      </c>
      <c r="J21" s="250">
        <v>369</v>
      </c>
      <c r="K21" s="251">
        <v>5033</v>
      </c>
      <c r="L21" s="243">
        <v>310145412</v>
      </c>
      <c r="M21" s="250">
        <v>0</v>
      </c>
      <c r="N21" s="250">
        <v>0</v>
      </c>
      <c r="O21" s="250">
        <v>0</v>
      </c>
      <c r="P21" s="250">
        <v>0</v>
      </c>
      <c r="Q21" s="250">
        <v>0</v>
      </c>
      <c r="R21" s="250">
        <v>885</v>
      </c>
      <c r="S21" s="250">
        <v>0</v>
      </c>
      <c r="T21" s="250">
        <v>135</v>
      </c>
      <c r="U21" s="243">
        <v>1020</v>
      </c>
      <c r="V21" s="252">
        <v>81801000</v>
      </c>
      <c r="W21" s="243">
        <v>0</v>
      </c>
      <c r="X21" s="243">
        <v>0</v>
      </c>
      <c r="Y21" s="243">
        <v>0</v>
      </c>
      <c r="Z21" s="243">
        <v>0</v>
      </c>
      <c r="AA21" s="243">
        <v>0</v>
      </c>
      <c r="AB21" s="243">
        <v>0</v>
      </c>
      <c r="AC21" s="243">
        <v>0</v>
      </c>
      <c r="AD21" s="243">
        <v>0</v>
      </c>
      <c r="AE21" s="243">
        <v>0</v>
      </c>
      <c r="AF21" s="243">
        <v>0</v>
      </c>
      <c r="AG21" s="243">
        <v>0</v>
      </c>
      <c r="AH21" s="243">
        <v>0</v>
      </c>
      <c r="AI21" s="243">
        <v>0</v>
      </c>
      <c r="AJ21" s="243">
        <v>0</v>
      </c>
      <c r="AK21" s="243">
        <v>0</v>
      </c>
      <c r="AL21" s="243">
        <v>0</v>
      </c>
      <c r="AM21" s="243">
        <v>0</v>
      </c>
      <c r="AN21" s="243">
        <v>0</v>
      </c>
      <c r="AO21" s="243">
        <v>0</v>
      </c>
      <c r="AP21" s="243">
        <v>0</v>
      </c>
      <c r="AQ21" s="243">
        <v>0</v>
      </c>
      <c r="AR21" s="243">
        <v>0</v>
      </c>
      <c r="AS21" s="243">
        <v>0</v>
      </c>
      <c r="AT21" s="243">
        <v>0</v>
      </c>
      <c r="AU21" s="243">
        <v>0</v>
      </c>
      <c r="AV21" s="243">
        <v>0</v>
      </c>
      <c r="AW21" s="243">
        <v>0</v>
      </c>
      <c r="AX21" s="243">
        <v>0</v>
      </c>
      <c r="AY21" s="243">
        <v>0</v>
      </c>
      <c r="AZ21" s="243">
        <v>0</v>
      </c>
      <c r="BA21" s="243">
        <v>0</v>
      </c>
      <c r="BB21" s="243">
        <v>0</v>
      </c>
      <c r="BC21" s="243">
        <v>0</v>
      </c>
      <c r="BD21" s="243">
        <v>0</v>
      </c>
      <c r="BE21" s="243">
        <v>0</v>
      </c>
      <c r="BF21" s="243">
        <v>0</v>
      </c>
      <c r="BG21" s="243">
        <v>0</v>
      </c>
      <c r="BH21" s="243">
        <v>0</v>
      </c>
      <c r="BI21" s="243">
        <v>0</v>
      </c>
      <c r="BJ21" s="243">
        <v>0</v>
      </c>
      <c r="BK21" s="243">
        <v>0</v>
      </c>
      <c r="BL21" s="243">
        <v>0</v>
      </c>
      <c r="BM21" s="243">
        <v>0</v>
      </c>
      <c r="BN21" s="243">
        <v>0</v>
      </c>
      <c r="BO21" s="243">
        <v>0</v>
      </c>
      <c r="BP21" s="243">
        <v>0</v>
      </c>
      <c r="BQ21" s="243">
        <v>0</v>
      </c>
      <c r="BR21" s="243">
        <v>0</v>
      </c>
      <c r="BS21" s="243">
        <v>0</v>
      </c>
      <c r="BT21" s="243">
        <v>0</v>
      </c>
      <c r="BU21" s="243">
        <v>0</v>
      </c>
      <c r="BV21" s="243">
        <v>0</v>
      </c>
      <c r="BW21" s="243">
        <v>0</v>
      </c>
      <c r="BX21" s="243">
        <v>0</v>
      </c>
      <c r="BY21" s="243">
        <v>0</v>
      </c>
      <c r="BZ21" s="243">
        <v>0</v>
      </c>
      <c r="CA21" s="243">
        <v>0</v>
      </c>
      <c r="CB21" s="243">
        <v>0</v>
      </c>
      <c r="CC21" s="243">
        <v>0</v>
      </c>
      <c r="CD21" s="243">
        <v>0</v>
      </c>
      <c r="CE21" s="243">
        <v>0</v>
      </c>
      <c r="CF21" s="243">
        <v>0</v>
      </c>
      <c r="CG21" s="243">
        <v>3</v>
      </c>
      <c r="CH21" s="243">
        <v>0</v>
      </c>
      <c r="CI21" s="243">
        <v>35</v>
      </c>
      <c r="CJ21" s="243">
        <v>59</v>
      </c>
      <c r="CK21" s="243">
        <v>5</v>
      </c>
      <c r="CL21" s="243">
        <v>0</v>
      </c>
      <c r="CM21" s="243">
        <v>102</v>
      </c>
      <c r="CN21" s="243">
        <v>11447412</v>
      </c>
      <c r="CO21" s="243">
        <v>0</v>
      </c>
      <c r="CP21" s="243">
        <v>0</v>
      </c>
      <c r="CQ21" s="243">
        <v>0</v>
      </c>
      <c r="CR21" s="243">
        <v>0</v>
      </c>
      <c r="CS21" s="243">
        <v>162</v>
      </c>
      <c r="CT21" s="243">
        <v>160</v>
      </c>
      <c r="CU21" s="243">
        <v>0</v>
      </c>
      <c r="CV21" s="243">
        <v>0</v>
      </c>
      <c r="CW21" s="243">
        <v>322</v>
      </c>
      <c r="CX21" s="243">
        <v>45768072</v>
      </c>
      <c r="CY21" s="243">
        <v>0</v>
      </c>
      <c r="CZ21" s="243">
        <v>0</v>
      </c>
      <c r="DA21" s="243">
        <v>4</v>
      </c>
      <c r="DB21" s="243">
        <v>0</v>
      </c>
      <c r="DC21" s="243">
        <v>57</v>
      </c>
      <c r="DD21" s="243">
        <v>75</v>
      </c>
      <c r="DE21" s="243">
        <v>4</v>
      </c>
      <c r="DF21" s="243">
        <v>0</v>
      </c>
      <c r="DG21" s="243">
        <v>140</v>
      </c>
      <c r="DH21" s="243">
        <v>32323260</v>
      </c>
      <c r="DI21" s="243">
        <v>0</v>
      </c>
      <c r="DJ21" s="243">
        <v>0</v>
      </c>
      <c r="DK21" s="243">
        <v>44</v>
      </c>
      <c r="DL21" s="243">
        <v>0</v>
      </c>
      <c r="DM21" s="243">
        <v>0</v>
      </c>
      <c r="DN21" s="243">
        <v>0</v>
      </c>
      <c r="DO21" s="243">
        <v>0</v>
      </c>
      <c r="DP21" s="243">
        <v>0</v>
      </c>
      <c r="DQ21" s="243">
        <v>44</v>
      </c>
      <c r="DR21" s="243">
        <v>1691184</v>
      </c>
      <c r="DS21" s="243">
        <v>0</v>
      </c>
      <c r="DT21" s="243">
        <v>0</v>
      </c>
      <c r="DU21" s="243">
        <v>0</v>
      </c>
      <c r="DV21" s="243">
        <v>0</v>
      </c>
      <c r="DW21" s="243">
        <v>0</v>
      </c>
      <c r="DX21" s="243">
        <v>0</v>
      </c>
      <c r="DY21" s="243">
        <v>0</v>
      </c>
      <c r="DZ21" s="243">
        <v>0</v>
      </c>
      <c r="EA21" s="243">
        <v>0</v>
      </c>
      <c r="EB21" s="243">
        <v>0</v>
      </c>
      <c r="EC21" s="243">
        <v>0</v>
      </c>
      <c r="ED21" s="243">
        <v>0</v>
      </c>
      <c r="EE21" s="243">
        <v>0</v>
      </c>
      <c r="EF21" s="243">
        <v>0</v>
      </c>
      <c r="EG21" s="243">
        <v>15</v>
      </c>
      <c r="EH21" s="243">
        <v>24</v>
      </c>
      <c r="EI21" s="243">
        <v>1</v>
      </c>
      <c r="EJ21" s="243">
        <v>3</v>
      </c>
      <c r="EK21" s="251">
        <v>43</v>
      </c>
      <c r="EL21" s="243">
        <v>10036704</v>
      </c>
      <c r="EM21" s="243">
        <v>0</v>
      </c>
      <c r="EN21" s="243">
        <v>0</v>
      </c>
      <c r="EO21" s="243">
        <v>0</v>
      </c>
      <c r="EP21" s="243">
        <v>0</v>
      </c>
      <c r="EQ21" s="243">
        <v>1</v>
      </c>
      <c r="ER21" s="243">
        <v>0</v>
      </c>
      <c r="ES21" s="243">
        <v>0</v>
      </c>
      <c r="ET21" s="243">
        <v>0</v>
      </c>
      <c r="EU21" s="251">
        <v>1</v>
      </c>
      <c r="EV21" s="243">
        <v>8184</v>
      </c>
      <c r="EW21" s="253">
        <v>0</v>
      </c>
      <c r="EX21" s="253">
        <v>0</v>
      </c>
      <c r="EY21" s="253">
        <v>51</v>
      </c>
      <c r="EZ21" s="253">
        <v>0</v>
      </c>
      <c r="FA21" s="253">
        <v>2812</v>
      </c>
      <c r="FB21" s="253">
        <v>3325</v>
      </c>
      <c r="FC21" s="253">
        <v>10</v>
      </c>
      <c r="FD21" s="253">
        <v>507</v>
      </c>
      <c r="FE21" s="253">
        <v>6705</v>
      </c>
      <c r="FF21" s="253">
        <v>493221228</v>
      </c>
      <c r="FG21" s="243">
        <v>0</v>
      </c>
      <c r="FH21" s="243">
        <v>0</v>
      </c>
      <c r="FI21" s="243">
        <v>0</v>
      </c>
      <c r="FJ21" s="243">
        <v>0</v>
      </c>
      <c r="FK21" s="243">
        <v>272</v>
      </c>
      <c r="FL21" s="243">
        <v>216</v>
      </c>
      <c r="FM21" s="243">
        <v>1</v>
      </c>
      <c r="FN21" s="243">
        <v>0</v>
      </c>
      <c r="FO21" s="243">
        <v>489</v>
      </c>
      <c r="FP21" s="243">
        <v>60594528</v>
      </c>
      <c r="FQ21" s="253">
        <v>0</v>
      </c>
      <c r="FR21" s="253">
        <v>0</v>
      </c>
      <c r="FS21" s="253">
        <v>51</v>
      </c>
      <c r="FT21" s="253">
        <v>0</v>
      </c>
      <c r="FU21" s="253">
        <v>3084</v>
      </c>
      <c r="FV21" s="253">
        <v>3541</v>
      </c>
      <c r="FW21" s="253">
        <v>11</v>
      </c>
      <c r="FX21" s="253">
        <v>507</v>
      </c>
      <c r="FY21" s="253">
        <v>7194</v>
      </c>
      <c r="FZ21" s="253">
        <v>3084</v>
      </c>
      <c r="GA21" s="253">
        <v>3541</v>
      </c>
      <c r="GB21" s="253">
        <v>62</v>
      </c>
      <c r="GC21" s="253">
        <v>507</v>
      </c>
      <c r="GD21" s="253">
        <v>553815756</v>
      </c>
      <c r="GE21" s="253">
        <v>9022099.9999999981</v>
      </c>
      <c r="GF21" s="232">
        <v>562837900</v>
      </c>
      <c r="GG21" s="307">
        <v>527536.1</v>
      </c>
      <c r="GH21" s="307">
        <v>555316.30000000005</v>
      </c>
      <c r="GI21" s="166">
        <f t="shared" si="5"/>
        <v>548637.5</v>
      </c>
      <c r="GJ21" s="166">
        <f t="shared" si="6"/>
        <v>577529</v>
      </c>
      <c r="GK21" s="166">
        <v>541294.1</v>
      </c>
      <c r="GL21" s="166">
        <f t="shared" si="13"/>
        <v>562945.9</v>
      </c>
      <c r="GM21" s="281">
        <f t="shared" si="0"/>
        <v>540997200</v>
      </c>
      <c r="GN21" s="281">
        <f t="shared" si="7"/>
        <v>6914.839702159361</v>
      </c>
      <c r="GO21" s="281">
        <f t="shared" si="8"/>
        <v>526217200</v>
      </c>
      <c r="GP21" s="309">
        <f t="shared" si="9"/>
        <v>6725.9268375494967</v>
      </c>
      <c r="GQ21" s="230">
        <v>6960</v>
      </c>
      <c r="GR21" s="230">
        <v>527536100</v>
      </c>
      <c r="GS21" s="243">
        <f t="shared" si="1"/>
        <v>234</v>
      </c>
      <c r="GT21" s="243">
        <v>7105</v>
      </c>
      <c r="GU21" s="243">
        <f t="shared" si="2"/>
        <v>89</v>
      </c>
      <c r="GW21" s="162">
        <f t="shared" si="10"/>
        <v>562837900</v>
      </c>
      <c r="GX21" s="162">
        <f t="shared" ref="GX21:GY21" si="27">ROUND(GW21*1.04,-2)</f>
        <v>585351400</v>
      </c>
      <c r="GY21" s="162">
        <f t="shared" si="27"/>
        <v>608765500</v>
      </c>
      <c r="GZ21" s="162"/>
      <c r="HA21" s="162">
        <f t="shared" si="12"/>
        <v>562837.9</v>
      </c>
      <c r="HB21" s="162">
        <f t="shared" si="4"/>
        <v>585351.4</v>
      </c>
      <c r="HC21" s="162">
        <f t="shared" si="4"/>
        <v>608765.5</v>
      </c>
    </row>
    <row r="22" spans="1:211" s="247" customFormat="1" x14ac:dyDescent="0.2">
      <c r="A22" s="248">
        <v>17</v>
      </c>
      <c r="B22" s="249" t="s">
        <v>21</v>
      </c>
      <c r="C22" s="250">
        <v>0</v>
      </c>
      <c r="D22" s="250">
        <v>0</v>
      </c>
      <c r="E22" s="250">
        <v>0</v>
      </c>
      <c r="F22" s="250">
        <v>0</v>
      </c>
      <c r="G22" s="250">
        <v>2724</v>
      </c>
      <c r="H22" s="250">
        <v>2177</v>
      </c>
      <c r="I22" s="250">
        <v>0</v>
      </c>
      <c r="J22" s="250">
        <v>187</v>
      </c>
      <c r="K22" s="251">
        <v>5088</v>
      </c>
      <c r="L22" s="243">
        <v>306180804</v>
      </c>
      <c r="M22" s="250">
        <v>0</v>
      </c>
      <c r="N22" s="250">
        <v>0</v>
      </c>
      <c r="O22" s="250">
        <v>0</v>
      </c>
      <c r="P22" s="250">
        <v>0</v>
      </c>
      <c r="Q22" s="250">
        <v>0</v>
      </c>
      <c r="R22" s="250">
        <v>639</v>
      </c>
      <c r="S22" s="250">
        <v>0</v>
      </c>
      <c r="T22" s="250">
        <v>237</v>
      </c>
      <c r="U22" s="243">
        <v>876</v>
      </c>
      <c r="V22" s="252">
        <v>73282968</v>
      </c>
      <c r="W22" s="243">
        <v>0</v>
      </c>
      <c r="X22" s="243">
        <v>5</v>
      </c>
      <c r="Y22" s="243">
        <v>0</v>
      </c>
      <c r="Z22" s="243">
        <v>0</v>
      </c>
      <c r="AA22" s="243">
        <v>641</v>
      </c>
      <c r="AB22" s="243">
        <v>526</v>
      </c>
      <c r="AC22" s="243">
        <v>0</v>
      </c>
      <c r="AD22" s="243">
        <v>61</v>
      </c>
      <c r="AE22" s="243">
        <v>1233</v>
      </c>
      <c r="AF22" s="243">
        <v>74877384</v>
      </c>
      <c r="AG22" s="243">
        <v>0</v>
      </c>
      <c r="AH22" s="243">
        <v>0</v>
      </c>
      <c r="AI22" s="243">
        <v>0</v>
      </c>
      <c r="AJ22" s="243">
        <v>0</v>
      </c>
      <c r="AK22" s="243">
        <v>204</v>
      </c>
      <c r="AL22" s="243">
        <v>172</v>
      </c>
      <c r="AM22" s="243">
        <v>0</v>
      </c>
      <c r="AN22" s="243">
        <v>0</v>
      </c>
      <c r="AO22" s="243">
        <v>376</v>
      </c>
      <c r="AP22" s="243">
        <v>24130272</v>
      </c>
      <c r="AQ22" s="243">
        <v>0</v>
      </c>
      <c r="AR22" s="243">
        <v>0</v>
      </c>
      <c r="AS22" s="243">
        <v>0</v>
      </c>
      <c r="AT22" s="243">
        <v>0</v>
      </c>
      <c r="AU22" s="243">
        <v>130</v>
      </c>
      <c r="AV22" s="243">
        <v>139</v>
      </c>
      <c r="AW22" s="243">
        <v>0</v>
      </c>
      <c r="AX22" s="243">
        <v>0</v>
      </c>
      <c r="AY22" s="243">
        <v>269</v>
      </c>
      <c r="AZ22" s="243">
        <v>26673636</v>
      </c>
      <c r="BA22" s="243">
        <v>0</v>
      </c>
      <c r="BB22" s="243">
        <v>0</v>
      </c>
      <c r="BC22" s="243">
        <v>0</v>
      </c>
      <c r="BD22" s="243">
        <v>0</v>
      </c>
      <c r="BE22" s="243">
        <v>26</v>
      </c>
      <c r="BF22" s="243">
        <v>32</v>
      </c>
      <c r="BG22" s="243">
        <v>0</v>
      </c>
      <c r="BH22" s="243">
        <v>0</v>
      </c>
      <c r="BI22" s="243">
        <v>58</v>
      </c>
      <c r="BJ22" s="243">
        <v>8663640</v>
      </c>
      <c r="BK22" s="243">
        <v>0</v>
      </c>
      <c r="BL22" s="243">
        <v>0</v>
      </c>
      <c r="BM22" s="243">
        <v>0</v>
      </c>
      <c r="BN22" s="243">
        <v>0</v>
      </c>
      <c r="BO22" s="243">
        <v>558</v>
      </c>
      <c r="BP22" s="243">
        <v>631</v>
      </c>
      <c r="BQ22" s="243">
        <v>0</v>
      </c>
      <c r="BR22" s="243">
        <v>97</v>
      </c>
      <c r="BS22" s="243">
        <v>1286</v>
      </c>
      <c r="BT22" s="243">
        <v>104273796</v>
      </c>
      <c r="BU22" s="243">
        <v>0</v>
      </c>
      <c r="BV22" s="243">
        <v>0</v>
      </c>
      <c r="BW22" s="243">
        <v>0</v>
      </c>
      <c r="BX22" s="243">
        <v>0</v>
      </c>
      <c r="BY22" s="243">
        <v>199</v>
      </c>
      <c r="BZ22" s="243">
        <v>194</v>
      </c>
      <c r="CA22" s="243">
        <v>0</v>
      </c>
      <c r="CB22" s="243">
        <v>24</v>
      </c>
      <c r="CC22" s="243">
        <v>417</v>
      </c>
      <c r="CD22" s="243">
        <v>37740516</v>
      </c>
      <c r="CE22" s="243">
        <v>0</v>
      </c>
      <c r="CF22" s="243">
        <v>0</v>
      </c>
      <c r="CG22" s="243">
        <v>0</v>
      </c>
      <c r="CH22" s="243">
        <v>0</v>
      </c>
      <c r="CI22" s="243">
        <v>104</v>
      </c>
      <c r="CJ22" s="243">
        <v>101</v>
      </c>
      <c r="CK22" s="243">
        <v>0</v>
      </c>
      <c r="CL22" s="243">
        <v>17</v>
      </c>
      <c r="CM22" s="243">
        <v>222</v>
      </c>
      <c r="CN22" s="243">
        <v>24218808</v>
      </c>
      <c r="CO22" s="243">
        <v>0</v>
      </c>
      <c r="CP22" s="243">
        <v>0</v>
      </c>
      <c r="CQ22" s="243">
        <v>0</v>
      </c>
      <c r="CR22" s="243">
        <v>0</v>
      </c>
      <c r="CS22" s="243">
        <v>83</v>
      </c>
      <c r="CT22" s="243">
        <v>90</v>
      </c>
      <c r="CU22" s="243">
        <v>0</v>
      </c>
      <c r="CV22" s="243">
        <v>0</v>
      </c>
      <c r="CW22" s="243">
        <v>173</v>
      </c>
      <c r="CX22" s="243">
        <v>24796548</v>
      </c>
      <c r="CY22" s="243">
        <v>0</v>
      </c>
      <c r="CZ22" s="243">
        <v>0</v>
      </c>
      <c r="DA22" s="243">
        <v>0</v>
      </c>
      <c r="DB22" s="243">
        <v>0</v>
      </c>
      <c r="DC22" s="243">
        <v>15</v>
      </c>
      <c r="DD22" s="243">
        <v>10</v>
      </c>
      <c r="DE22" s="243">
        <v>0</v>
      </c>
      <c r="DF22" s="243">
        <v>0</v>
      </c>
      <c r="DG22" s="243">
        <v>25</v>
      </c>
      <c r="DH22" s="243">
        <v>5351880</v>
      </c>
      <c r="DI22" s="243">
        <v>0</v>
      </c>
      <c r="DJ22" s="243">
        <v>0</v>
      </c>
      <c r="DK22" s="243">
        <v>0</v>
      </c>
      <c r="DL22" s="243">
        <v>0</v>
      </c>
      <c r="DM22" s="243">
        <v>0</v>
      </c>
      <c r="DN22" s="243">
        <v>0</v>
      </c>
      <c r="DO22" s="243">
        <v>0</v>
      </c>
      <c r="DP22" s="243">
        <v>0</v>
      </c>
      <c r="DQ22" s="243">
        <v>0</v>
      </c>
      <c r="DR22" s="243">
        <v>0</v>
      </c>
      <c r="DS22" s="243">
        <v>0</v>
      </c>
      <c r="DT22" s="243">
        <v>0</v>
      </c>
      <c r="DU22" s="243">
        <v>0</v>
      </c>
      <c r="DV22" s="243">
        <v>0</v>
      </c>
      <c r="DW22" s="243">
        <v>0</v>
      </c>
      <c r="DX22" s="243">
        <v>0</v>
      </c>
      <c r="DY22" s="243">
        <v>0</v>
      </c>
      <c r="DZ22" s="243">
        <v>0</v>
      </c>
      <c r="EA22" s="243">
        <v>0</v>
      </c>
      <c r="EB22" s="243">
        <v>0</v>
      </c>
      <c r="EC22" s="243">
        <v>0</v>
      </c>
      <c r="ED22" s="243">
        <v>2</v>
      </c>
      <c r="EE22" s="243">
        <v>0</v>
      </c>
      <c r="EF22" s="243">
        <v>0</v>
      </c>
      <c r="EG22" s="243">
        <v>73</v>
      </c>
      <c r="EH22" s="243">
        <v>88</v>
      </c>
      <c r="EI22" s="243">
        <v>0</v>
      </c>
      <c r="EJ22" s="243">
        <v>6</v>
      </c>
      <c r="EK22" s="251">
        <v>169</v>
      </c>
      <c r="EL22" s="243">
        <v>40053660</v>
      </c>
      <c r="EM22" s="243">
        <v>0</v>
      </c>
      <c r="EN22" s="243">
        <v>0</v>
      </c>
      <c r="EO22" s="243">
        <v>0</v>
      </c>
      <c r="EP22" s="243">
        <v>0</v>
      </c>
      <c r="EQ22" s="243">
        <v>0</v>
      </c>
      <c r="ER22" s="243">
        <v>0</v>
      </c>
      <c r="ES22" s="243">
        <v>0</v>
      </c>
      <c r="ET22" s="243">
        <v>0</v>
      </c>
      <c r="EU22" s="251">
        <v>0</v>
      </c>
      <c r="EV22" s="243">
        <v>0</v>
      </c>
      <c r="EW22" s="253">
        <v>0</v>
      </c>
      <c r="EX22" s="253">
        <v>7</v>
      </c>
      <c r="EY22" s="253">
        <v>0</v>
      </c>
      <c r="EZ22" s="253">
        <v>0</v>
      </c>
      <c r="FA22" s="253">
        <v>4757</v>
      </c>
      <c r="FB22" s="253">
        <v>4799</v>
      </c>
      <c r="FC22" s="253">
        <v>0</v>
      </c>
      <c r="FD22" s="253">
        <v>629</v>
      </c>
      <c r="FE22" s="253">
        <v>10192</v>
      </c>
      <c r="FF22" s="253">
        <v>750243912</v>
      </c>
      <c r="FG22" s="243">
        <v>0</v>
      </c>
      <c r="FH22" s="243">
        <v>110</v>
      </c>
      <c r="FI22" s="243">
        <v>0</v>
      </c>
      <c r="FJ22" s="243">
        <v>0</v>
      </c>
      <c r="FK22" s="243">
        <v>248</v>
      </c>
      <c r="FL22" s="243">
        <v>422</v>
      </c>
      <c r="FM22" s="243">
        <v>1</v>
      </c>
      <c r="FN22" s="243">
        <v>0</v>
      </c>
      <c r="FO22" s="243">
        <v>781</v>
      </c>
      <c r="FP22" s="243">
        <v>79154412</v>
      </c>
      <c r="FQ22" s="253">
        <v>0</v>
      </c>
      <c r="FR22" s="253">
        <v>117</v>
      </c>
      <c r="FS22" s="253">
        <v>0</v>
      </c>
      <c r="FT22" s="253">
        <v>0</v>
      </c>
      <c r="FU22" s="253">
        <v>5005</v>
      </c>
      <c r="FV22" s="253">
        <v>5221</v>
      </c>
      <c r="FW22" s="253">
        <v>1</v>
      </c>
      <c r="FX22" s="253">
        <v>629</v>
      </c>
      <c r="FY22" s="253">
        <v>10973</v>
      </c>
      <c r="FZ22" s="253">
        <v>5005</v>
      </c>
      <c r="GA22" s="253">
        <v>5338</v>
      </c>
      <c r="GB22" s="253">
        <v>1</v>
      </c>
      <c r="GC22" s="253">
        <v>629</v>
      </c>
      <c r="GD22" s="253">
        <v>829398324</v>
      </c>
      <c r="GE22" s="253">
        <v>13654900.000000002</v>
      </c>
      <c r="GF22" s="232">
        <v>843053200</v>
      </c>
      <c r="GG22" s="307">
        <v>759089.3</v>
      </c>
      <c r="GH22" s="307">
        <v>812038</v>
      </c>
      <c r="GI22" s="166">
        <f t="shared" si="5"/>
        <v>789452.9</v>
      </c>
      <c r="GJ22" s="166">
        <f t="shared" si="6"/>
        <v>844519.5</v>
      </c>
      <c r="GK22" s="166">
        <v>785311.9</v>
      </c>
      <c r="GL22" s="166">
        <f t="shared" si="13"/>
        <v>816724.4</v>
      </c>
      <c r="GM22" s="281">
        <f t="shared" si="0"/>
        <v>810338900</v>
      </c>
      <c r="GN22" s="281">
        <f t="shared" si="7"/>
        <v>10547.1976735276</v>
      </c>
      <c r="GO22" s="281">
        <f t="shared" si="8"/>
        <v>788200400</v>
      </c>
      <c r="GP22" s="309">
        <f t="shared" si="9"/>
        <v>10259.047696159625</v>
      </c>
      <c r="GQ22" s="230">
        <v>9991</v>
      </c>
      <c r="GR22" s="230">
        <v>759089300</v>
      </c>
      <c r="GS22" s="243">
        <f t="shared" si="1"/>
        <v>982</v>
      </c>
      <c r="GT22" s="243">
        <v>10653</v>
      </c>
      <c r="GU22" s="243">
        <f t="shared" si="2"/>
        <v>320</v>
      </c>
      <c r="GW22" s="162">
        <f t="shared" si="10"/>
        <v>843053200</v>
      </c>
      <c r="GX22" s="162">
        <f t="shared" ref="GX22:GY22" si="28">ROUND(GW22*1.04,-2)</f>
        <v>876775300</v>
      </c>
      <c r="GY22" s="162">
        <f t="shared" si="28"/>
        <v>911846300</v>
      </c>
      <c r="GZ22" s="162"/>
      <c r="HA22" s="162">
        <f t="shared" si="12"/>
        <v>843053.2</v>
      </c>
      <c r="HB22" s="162">
        <f t="shared" si="12"/>
        <v>876775.3</v>
      </c>
      <c r="HC22" s="162">
        <f t="shared" si="12"/>
        <v>911846.3</v>
      </c>
    </row>
    <row r="23" spans="1:211" s="247" customFormat="1" x14ac:dyDescent="0.2">
      <c r="A23" s="248">
        <v>18</v>
      </c>
      <c r="B23" s="249" t="s">
        <v>22</v>
      </c>
      <c r="C23" s="250">
        <v>0</v>
      </c>
      <c r="D23" s="250">
        <v>0</v>
      </c>
      <c r="E23" s="250">
        <v>0</v>
      </c>
      <c r="F23" s="250">
        <v>0</v>
      </c>
      <c r="G23" s="250">
        <v>2046</v>
      </c>
      <c r="H23" s="250">
        <v>1778</v>
      </c>
      <c r="I23" s="250">
        <v>0</v>
      </c>
      <c r="J23" s="250">
        <v>373</v>
      </c>
      <c r="K23" s="251">
        <v>4197</v>
      </c>
      <c r="L23" s="243">
        <v>261654996</v>
      </c>
      <c r="M23" s="250">
        <v>0</v>
      </c>
      <c r="N23" s="250">
        <v>0</v>
      </c>
      <c r="O23" s="250">
        <v>0</v>
      </c>
      <c r="P23" s="250">
        <v>0</v>
      </c>
      <c r="Q23" s="250">
        <v>540</v>
      </c>
      <c r="R23" s="250">
        <v>921</v>
      </c>
      <c r="S23" s="250">
        <v>0</v>
      </c>
      <c r="T23" s="250">
        <v>314</v>
      </c>
      <c r="U23" s="243">
        <v>1775</v>
      </c>
      <c r="V23" s="252">
        <v>131155308</v>
      </c>
      <c r="W23" s="243">
        <v>0</v>
      </c>
      <c r="X23" s="243">
        <v>0</v>
      </c>
      <c r="Y23" s="243">
        <v>0</v>
      </c>
      <c r="Z23" s="243">
        <v>0</v>
      </c>
      <c r="AA23" s="243">
        <v>0</v>
      </c>
      <c r="AB23" s="243">
        <v>0</v>
      </c>
      <c r="AC23" s="243">
        <v>0</v>
      </c>
      <c r="AD23" s="243">
        <v>0</v>
      </c>
      <c r="AE23" s="243">
        <v>0</v>
      </c>
      <c r="AF23" s="243">
        <v>0</v>
      </c>
      <c r="AG23" s="243">
        <v>0</v>
      </c>
      <c r="AH23" s="243">
        <v>0</v>
      </c>
      <c r="AI23" s="243">
        <v>0</v>
      </c>
      <c r="AJ23" s="243">
        <v>0</v>
      </c>
      <c r="AK23" s="243">
        <v>0</v>
      </c>
      <c r="AL23" s="243">
        <v>0</v>
      </c>
      <c r="AM23" s="243">
        <v>0</v>
      </c>
      <c r="AN23" s="243">
        <v>0</v>
      </c>
      <c r="AO23" s="243">
        <v>0</v>
      </c>
      <c r="AP23" s="243">
        <v>0</v>
      </c>
      <c r="AQ23" s="243">
        <v>0</v>
      </c>
      <c r="AR23" s="243">
        <v>0</v>
      </c>
      <c r="AS23" s="243">
        <v>0</v>
      </c>
      <c r="AT23" s="243">
        <v>0</v>
      </c>
      <c r="AU23" s="243">
        <v>0</v>
      </c>
      <c r="AV23" s="243">
        <v>0</v>
      </c>
      <c r="AW23" s="243">
        <v>0</v>
      </c>
      <c r="AX23" s="243">
        <v>0</v>
      </c>
      <c r="AY23" s="243">
        <v>0</v>
      </c>
      <c r="AZ23" s="243">
        <v>0</v>
      </c>
      <c r="BA23" s="243">
        <v>0</v>
      </c>
      <c r="BB23" s="243">
        <v>0</v>
      </c>
      <c r="BC23" s="243">
        <v>0</v>
      </c>
      <c r="BD23" s="243">
        <v>0</v>
      </c>
      <c r="BE23" s="243">
        <v>0</v>
      </c>
      <c r="BF23" s="243">
        <v>0</v>
      </c>
      <c r="BG23" s="243">
        <v>0</v>
      </c>
      <c r="BH23" s="243">
        <v>0</v>
      </c>
      <c r="BI23" s="243">
        <v>0</v>
      </c>
      <c r="BJ23" s="243">
        <v>0</v>
      </c>
      <c r="BK23" s="243">
        <v>0</v>
      </c>
      <c r="BL23" s="243">
        <v>0</v>
      </c>
      <c r="BM23" s="243">
        <v>0</v>
      </c>
      <c r="BN23" s="243">
        <v>0</v>
      </c>
      <c r="BO23" s="243">
        <v>0</v>
      </c>
      <c r="BP23" s="243">
        <v>0</v>
      </c>
      <c r="BQ23" s="243">
        <v>0</v>
      </c>
      <c r="BR23" s="243">
        <v>0</v>
      </c>
      <c r="BS23" s="243">
        <v>0</v>
      </c>
      <c r="BT23" s="243">
        <v>0</v>
      </c>
      <c r="BU23" s="243">
        <v>0</v>
      </c>
      <c r="BV23" s="243">
        <v>0</v>
      </c>
      <c r="BW23" s="243">
        <v>0</v>
      </c>
      <c r="BX23" s="243">
        <v>0</v>
      </c>
      <c r="BY23" s="243">
        <v>0</v>
      </c>
      <c r="BZ23" s="243">
        <v>0</v>
      </c>
      <c r="CA23" s="243">
        <v>0</v>
      </c>
      <c r="CB23" s="243">
        <v>0</v>
      </c>
      <c r="CC23" s="243">
        <v>0</v>
      </c>
      <c r="CD23" s="243">
        <v>0</v>
      </c>
      <c r="CE23" s="243">
        <v>0</v>
      </c>
      <c r="CF23" s="243">
        <v>0</v>
      </c>
      <c r="CG23" s="243">
        <v>0</v>
      </c>
      <c r="CH23" s="243">
        <v>0</v>
      </c>
      <c r="CI23" s="243">
        <v>0</v>
      </c>
      <c r="CJ23" s="243">
        <v>0</v>
      </c>
      <c r="CK23" s="243">
        <v>0</v>
      </c>
      <c r="CL23" s="243">
        <v>0</v>
      </c>
      <c r="CM23" s="243">
        <v>0</v>
      </c>
      <c r="CN23" s="243">
        <v>0</v>
      </c>
      <c r="CO23" s="243">
        <v>0</v>
      </c>
      <c r="CP23" s="243">
        <v>0</v>
      </c>
      <c r="CQ23" s="243">
        <v>0</v>
      </c>
      <c r="CR23" s="243">
        <v>0</v>
      </c>
      <c r="CS23" s="243">
        <v>0</v>
      </c>
      <c r="CT23" s="243">
        <v>0</v>
      </c>
      <c r="CU23" s="243">
        <v>0</v>
      </c>
      <c r="CV23" s="243">
        <v>0</v>
      </c>
      <c r="CW23" s="243">
        <v>0</v>
      </c>
      <c r="CX23" s="243">
        <v>0</v>
      </c>
      <c r="CY23" s="243">
        <v>0</v>
      </c>
      <c r="CZ23" s="243">
        <v>0</v>
      </c>
      <c r="DA23" s="243">
        <v>0</v>
      </c>
      <c r="DB23" s="243">
        <v>0</v>
      </c>
      <c r="DC23" s="243">
        <v>0</v>
      </c>
      <c r="DD23" s="243">
        <v>0</v>
      </c>
      <c r="DE23" s="243">
        <v>0</v>
      </c>
      <c r="DF23" s="243">
        <v>0</v>
      </c>
      <c r="DG23" s="243">
        <v>0</v>
      </c>
      <c r="DH23" s="243">
        <v>0</v>
      </c>
      <c r="DI23" s="243">
        <v>0</v>
      </c>
      <c r="DJ23" s="243">
        <v>0</v>
      </c>
      <c r="DK23" s="243">
        <v>0</v>
      </c>
      <c r="DL23" s="243">
        <v>0</v>
      </c>
      <c r="DM23" s="243">
        <v>0</v>
      </c>
      <c r="DN23" s="243">
        <v>0</v>
      </c>
      <c r="DO23" s="243">
        <v>0</v>
      </c>
      <c r="DP23" s="243">
        <v>0</v>
      </c>
      <c r="DQ23" s="243">
        <v>0</v>
      </c>
      <c r="DR23" s="243">
        <v>0</v>
      </c>
      <c r="DS23" s="243">
        <v>0</v>
      </c>
      <c r="DT23" s="243">
        <v>0</v>
      </c>
      <c r="DU23" s="243">
        <v>0</v>
      </c>
      <c r="DV23" s="243">
        <v>0</v>
      </c>
      <c r="DW23" s="243">
        <v>0</v>
      </c>
      <c r="DX23" s="243">
        <v>0</v>
      </c>
      <c r="DY23" s="243">
        <v>0</v>
      </c>
      <c r="DZ23" s="243">
        <v>0</v>
      </c>
      <c r="EA23" s="243">
        <v>0</v>
      </c>
      <c r="EB23" s="243">
        <v>0</v>
      </c>
      <c r="EC23" s="243">
        <v>0</v>
      </c>
      <c r="ED23" s="243">
        <v>0</v>
      </c>
      <c r="EE23" s="243">
        <v>0</v>
      </c>
      <c r="EF23" s="243">
        <v>0</v>
      </c>
      <c r="EG23" s="243">
        <v>9</v>
      </c>
      <c r="EH23" s="243">
        <v>30</v>
      </c>
      <c r="EI23" s="243">
        <v>7</v>
      </c>
      <c r="EJ23" s="243">
        <v>0</v>
      </c>
      <c r="EK23" s="251">
        <v>46</v>
      </c>
      <c r="EL23" s="243">
        <v>12212832</v>
      </c>
      <c r="EM23" s="243">
        <v>0</v>
      </c>
      <c r="EN23" s="243">
        <v>0</v>
      </c>
      <c r="EO23" s="243">
        <v>0</v>
      </c>
      <c r="EP23" s="243">
        <v>0</v>
      </c>
      <c r="EQ23" s="243">
        <v>0</v>
      </c>
      <c r="ER23" s="243">
        <v>0</v>
      </c>
      <c r="ES23" s="243">
        <v>0</v>
      </c>
      <c r="ET23" s="243">
        <v>0</v>
      </c>
      <c r="EU23" s="251">
        <v>0</v>
      </c>
      <c r="EV23" s="243">
        <v>0</v>
      </c>
      <c r="EW23" s="253">
        <v>0</v>
      </c>
      <c r="EX23" s="253">
        <v>0</v>
      </c>
      <c r="EY23" s="253">
        <v>0</v>
      </c>
      <c r="EZ23" s="253">
        <v>0</v>
      </c>
      <c r="FA23" s="253">
        <v>2595</v>
      </c>
      <c r="FB23" s="253">
        <v>2729</v>
      </c>
      <c r="FC23" s="253">
        <v>7</v>
      </c>
      <c r="FD23" s="253">
        <v>687</v>
      </c>
      <c r="FE23" s="253">
        <v>6018</v>
      </c>
      <c r="FF23" s="253">
        <v>405023136</v>
      </c>
      <c r="FG23" s="243">
        <v>0</v>
      </c>
      <c r="FH23" s="243">
        <v>205</v>
      </c>
      <c r="FI23" s="243">
        <v>0</v>
      </c>
      <c r="FJ23" s="243">
        <v>0</v>
      </c>
      <c r="FK23" s="243">
        <v>160</v>
      </c>
      <c r="FL23" s="243">
        <v>0</v>
      </c>
      <c r="FM23" s="243">
        <v>0</v>
      </c>
      <c r="FN23" s="243">
        <v>0</v>
      </c>
      <c r="FO23" s="243">
        <v>365</v>
      </c>
      <c r="FP23" s="243">
        <v>39948624</v>
      </c>
      <c r="FQ23" s="253">
        <v>0</v>
      </c>
      <c r="FR23" s="253">
        <v>205</v>
      </c>
      <c r="FS23" s="253">
        <v>0</v>
      </c>
      <c r="FT23" s="253">
        <v>0</v>
      </c>
      <c r="FU23" s="253">
        <v>2755</v>
      </c>
      <c r="FV23" s="253">
        <v>2729</v>
      </c>
      <c r="FW23" s="253">
        <v>7</v>
      </c>
      <c r="FX23" s="253">
        <v>687</v>
      </c>
      <c r="FY23" s="253">
        <v>6383</v>
      </c>
      <c r="FZ23" s="253">
        <v>2755</v>
      </c>
      <c r="GA23" s="253">
        <v>2934</v>
      </c>
      <c r="GB23" s="253">
        <v>7</v>
      </c>
      <c r="GC23" s="253">
        <v>687</v>
      </c>
      <c r="GD23" s="253">
        <v>444971760</v>
      </c>
      <c r="GE23" s="253">
        <v>7651800</v>
      </c>
      <c r="GF23" s="232">
        <v>452623600</v>
      </c>
      <c r="GG23" s="307">
        <v>413763.5</v>
      </c>
      <c r="GH23" s="307">
        <v>434845.8</v>
      </c>
      <c r="GI23" s="166">
        <f t="shared" si="5"/>
        <v>430314</v>
      </c>
      <c r="GJ23" s="166">
        <f t="shared" si="6"/>
        <v>452239.6</v>
      </c>
      <c r="GK23" s="166">
        <v>422076.9</v>
      </c>
      <c r="GL23" s="166">
        <f t="shared" si="13"/>
        <v>438960</v>
      </c>
      <c r="GM23" s="281">
        <f t="shared" si="0"/>
        <v>435059800</v>
      </c>
      <c r="GN23" s="281">
        <f t="shared" si="7"/>
        <v>6135.3113346277123</v>
      </c>
      <c r="GO23" s="281">
        <f t="shared" si="8"/>
        <v>423173900</v>
      </c>
      <c r="GP23" s="309">
        <f t="shared" si="9"/>
        <v>5967.6936944958234</v>
      </c>
      <c r="GQ23" s="230">
        <v>6030</v>
      </c>
      <c r="GR23" s="230">
        <v>413763500</v>
      </c>
      <c r="GS23" s="243">
        <f t="shared" si="1"/>
        <v>353</v>
      </c>
      <c r="GT23" s="243">
        <v>6138</v>
      </c>
      <c r="GU23" s="243">
        <f t="shared" si="2"/>
        <v>245</v>
      </c>
      <c r="GW23" s="162">
        <f t="shared" si="10"/>
        <v>452623600</v>
      </c>
      <c r="GX23" s="162">
        <f t="shared" ref="GX23:GY23" si="29">ROUND(GW23*1.04,-2)</f>
        <v>470728500</v>
      </c>
      <c r="GY23" s="162">
        <f t="shared" si="29"/>
        <v>489557600</v>
      </c>
      <c r="GZ23" s="162"/>
      <c r="HA23" s="162">
        <f t="shared" si="12"/>
        <v>452623.6</v>
      </c>
      <c r="HB23" s="162">
        <f t="shared" si="12"/>
        <v>470728.5</v>
      </c>
      <c r="HC23" s="162">
        <f t="shared" si="12"/>
        <v>489557.6</v>
      </c>
    </row>
    <row r="24" spans="1:211" s="256" customFormat="1" x14ac:dyDescent="0.2">
      <c r="A24" s="254"/>
      <c r="B24" s="254" t="s">
        <v>186</v>
      </c>
      <c r="C24" s="255">
        <v>0</v>
      </c>
      <c r="D24" s="255">
        <v>0</v>
      </c>
      <c r="E24" s="255">
        <v>8</v>
      </c>
      <c r="F24" s="255">
        <v>461</v>
      </c>
      <c r="G24" s="255">
        <v>45439</v>
      </c>
      <c r="H24" s="255">
        <v>42004</v>
      </c>
      <c r="I24" s="255">
        <v>188</v>
      </c>
      <c r="J24" s="255">
        <v>5572</v>
      </c>
      <c r="K24" s="255">
        <v>93672</v>
      </c>
      <c r="L24" s="255">
        <v>5791167564</v>
      </c>
      <c r="M24" s="255">
        <v>0</v>
      </c>
      <c r="N24" s="255">
        <v>0</v>
      </c>
      <c r="O24" s="255">
        <v>73</v>
      </c>
      <c r="P24" s="255">
        <v>274</v>
      </c>
      <c r="Q24" s="255">
        <v>1515</v>
      </c>
      <c r="R24" s="255">
        <v>8138</v>
      </c>
      <c r="S24" s="255">
        <v>142</v>
      </c>
      <c r="T24" s="255">
        <v>2392</v>
      </c>
      <c r="U24" s="255">
        <v>12534</v>
      </c>
      <c r="V24" s="255">
        <v>991239420</v>
      </c>
      <c r="W24" s="255">
        <v>0</v>
      </c>
      <c r="X24" s="255">
        <v>5</v>
      </c>
      <c r="Y24" s="255">
        <v>0</v>
      </c>
      <c r="Z24" s="255">
        <v>208</v>
      </c>
      <c r="AA24" s="255">
        <v>6762</v>
      </c>
      <c r="AB24" s="255">
        <v>6521</v>
      </c>
      <c r="AC24" s="255">
        <v>67</v>
      </c>
      <c r="AD24" s="255">
        <v>519</v>
      </c>
      <c r="AE24" s="255">
        <v>14082</v>
      </c>
      <c r="AF24" s="255">
        <v>866225460</v>
      </c>
      <c r="AG24" s="255">
        <v>0</v>
      </c>
      <c r="AH24" s="255">
        <v>0</v>
      </c>
      <c r="AI24" s="255">
        <v>25</v>
      </c>
      <c r="AJ24" s="255">
        <v>0</v>
      </c>
      <c r="AK24" s="255">
        <v>756</v>
      </c>
      <c r="AL24" s="255">
        <v>869</v>
      </c>
      <c r="AM24" s="255">
        <v>27</v>
      </c>
      <c r="AN24" s="255">
        <v>42</v>
      </c>
      <c r="AO24" s="255">
        <v>1719</v>
      </c>
      <c r="AP24" s="255">
        <v>115954140</v>
      </c>
      <c r="AQ24" s="255">
        <v>0</v>
      </c>
      <c r="AR24" s="255">
        <v>0</v>
      </c>
      <c r="AS24" s="255">
        <v>8</v>
      </c>
      <c r="AT24" s="255">
        <v>0</v>
      </c>
      <c r="AU24" s="255">
        <v>424</v>
      </c>
      <c r="AV24" s="255">
        <v>452</v>
      </c>
      <c r="AW24" s="255">
        <v>11</v>
      </c>
      <c r="AX24" s="255">
        <v>0</v>
      </c>
      <c r="AY24" s="255">
        <v>895</v>
      </c>
      <c r="AZ24" s="255">
        <v>89294640</v>
      </c>
      <c r="BA24" s="255">
        <v>0</v>
      </c>
      <c r="BB24" s="255">
        <v>0</v>
      </c>
      <c r="BC24" s="255">
        <v>0</v>
      </c>
      <c r="BD24" s="255">
        <v>0</v>
      </c>
      <c r="BE24" s="255">
        <v>26</v>
      </c>
      <c r="BF24" s="255">
        <v>32</v>
      </c>
      <c r="BG24" s="255">
        <v>0</v>
      </c>
      <c r="BH24" s="255">
        <v>0</v>
      </c>
      <c r="BI24" s="255">
        <v>58</v>
      </c>
      <c r="BJ24" s="255">
        <v>8663640</v>
      </c>
      <c r="BK24" s="255">
        <v>0</v>
      </c>
      <c r="BL24" s="255">
        <v>0</v>
      </c>
      <c r="BM24" s="255">
        <v>38</v>
      </c>
      <c r="BN24" s="255">
        <v>189</v>
      </c>
      <c r="BO24" s="255">
        <v>11933</v>
      </c>
      <c r="BP24" s="255">
        <v>11790</v>
      </c>
      <c r="BQ24" s="255">
        <v>421</v>
      </c>
      <c r="BR24" s="255">
        <v>1016</v>
      </c>
      <c r="BS24" s="255">
        <v>25387</v>
      </c>
      <c r="BT24" s="255">
        <v>2016456996</v>
      </c>
      <c r="BU24" s="255">
        <v>0</v>
      </c>
      <c r="BV24" s="255">
        <v>0</v>
      </c>
      <c r="BW24" s="255">
        <v>17</v>
      </c>
      <c r="BX24" s="255">
        <v>24</v>
      </c>
      <c r="BY24" s="255">
        <v>1573</v>
      </c>
      <c r="BZ24" s="255">
        <v>1537</v>
      </c>
      <c r="CA24" s="255">
        <v>56</v>
      </c>
      <c r="CB24" s="255">
        <v>141</v>
      </c>
      <c r="CC24" s="255">
        <v>3348</v>
      </c>
      <c r="CD24" s="255">
        <v>303483516</v>
      </c>
      <c r="CE24" s="255">
        <v>0</v>
      </c>
      <c r="CF24" s="255">
        <v>0</v>
      </c>
      <c r="CG24" s="255">
        <v>12</v>
      </c>
      <c r="CH24" s="255">
        <v>58</v>
      </c>
      <c r="CI24" s="255">
        <v>3216</v>
      </c>
      <c r="CJ24" s="255">
        <v>3781</v>
      </c>
      <c r="CK24" s="255">
        <v>21</v>
      </c>
      <c r="CL24" s="255">
        <v>255</v>
      </c>
      <c r="CM24" s="255">
        <v>7343</v>
      </c>
      <c r="CN24" s="255">
        <v>798868692</v>
      </c>
      <c r="CO24" s="255">
        <v>0</v>
      </c>
      <c r="CP24" s="255">
        <v>0</v>
      </c>
      <c r="CQ24" s="255">
        <v>0</v>
      </c>
      <c r="CR24" s="255">
        <v>2</v>
      </c>
      <c r="CS24" s="255">
        <v>1270</v>
      </c>
      <c r="CT24" s="255">
        <v>1219</v>
      </c>
      <c r="CU24" s="255">
        <v>0</v>
      </c>
      <c r="CV24" s="255">
        <v>13</v>
      </c>
      <c r="CW24" s="255">
        <v>2504</v>
      </c>
      <c r="CX24" s="255">
        <v>356045064</v>
      </c>
      <c r="CY24" s="255">
        <v>0</v>
      </c>
      <c r="CZ24" s="255">
        <v>0</v>
      </c>
      <c r="DA24" s="255">
        <v>4</v>
      </c>
      <c r="DB24" s="255">
        <v>0</v>
      </c>
      <c r="DC24" s="255">
        <v>587</v>
      </c>
      <c r="DD24" s="255">
        <v>364</v>
      </c>
      <c r="DE24" s="255">
        <v>9</v>
      </c>
      <c r="DF24" s="255">
        <v>0</v>
      </c>
      <c r="DG24" s="255">
        <v>964</v>
      </c>
      <c r="DH24" s="255">
        <v>206169000</v>
      </c>
      <c r="DI24" s="255">
        <v>0</v>
      </c>
      <c r="DJ24" s="255">
        <v>4</v>
      </c>
      <c r="DK24" s="255">
        <v>399</v>
      </c>
      <c r="DL24" s="255">
        <v>0</v>
      </c>
      <c r="DM24" s="255">
        <v>0</v>
      </c>
      <c r="DN24" s="255">
        <v>40</v>
      </c>
      <c r="DO24" s="255">
        <v>220</v>
      </c>
      <c r="DP24" s="255">
        <v>0</v>
      </c>
      <c r="DQ24" s="255">
        <v>663</v>
      </c>
      <c r="DR24" s="255">
        <v>25454028</v>
      </c>
      <c r="DS24" s="255">
        <v>0</v>
      </c>
      <c r="DT24" s="255">
        <v>0</v>
      </c>
      <c r="DU24" s="255">
        <v>77</v>
      </c>
      <c r="DV24" s="255">
        <v>0</v>
      </c>
      <c r="DW24" s="255">
        <v>0</v>
      </c>
      <c r="DX24" s="255">
        <v>93</v>
      </c>
      <c r="DY24" s="255">
        <v>54</v>
      </c>
      <c r="DZ24" s="255">
        <v>0</v>
      </c>
      <c r="EA24" s="255">
        <v>224</v>
      </c>
      <c r="EB24" s="255">
        <v>8959620</v>
      </c>
      <c r="EC24" s="255">
        <v>7</v>
      </c>
      <c r="ED24" s="255">
        <v>22</v>
      </c>
      <c r="EE24" s="255">
        <v>2</v>
      </c>
      <c r="EF24" s="255">
        <v>1</v>
      </c>
      <c r="EG24" s="255">
        <v>588</v>
      </c>
      <c r="EH24" s="255">
        <v>938</v>
      </c>
      <c r="EI24" s="255">
        <v>29</v>
      </c>
      <c r="EJ24" s="255">
        <v>25</v>
      </c>
      <c r="EK24" s="255">
        <v>1612</v>
      </c>
      <c r="EL24" s="255">
        <v>397677588</v>
      </c>
      <c r="EM24" s="255">
        <v>0</v>
      </c>
      <c r="EN24" s="255">
        <v>0</v>
      </c>
      <c r="EO24" s="255">
        <v>3</v>
      </c>
      <c r="EP24" s="255">
        <v>0</v>
      </c>
      <c r="EQ24" s="255">
        <v>154</v>
      </c>
      <c r="ER24" s="255">
        <v>104</v>
      </c>
      <c r="ES24" s="255"/>
      <c r="ET24" s="255"/>
      <c r="EU24" s="255"/>
      <c r="EV24" s="255">
        <v>3259848</v>
      </c>
      <c r="EW24" s="255">
        <v>7</v>
      </c>
      <c r="EX24" s="255">
        <v>31</v>
      </c>
      <c r="EY24" s="255">
        <v>666</v>
      </c>
      <c r="EZ24" s="255">
        <v>1217</v>
      </c>
      <c r="FA24" s="255">
        <v>74243</v>
      </c>
      <c r="FB24" s="255">
        <v>77882</v>
      </c>
      <c r="FC24" s="255">
        <v>1268</v>
      </c>
      <c r="FD24" s="255">
        <v>9975</v>
      </c>
      <c r="FE24" s="255">
        <v>165289</v>
      </c>
      <c r="FF24" s="255">
        <v>11978919216</v>
      </c>
      <c r="FG24" s="255">
        <v>19</v>
      </c>
      <c r="FH24" s="255">
        <v>1778</v>
      </c>
      <c r="FI24" s="255">
        <v>3</v>
      </c>
      <c r="FJ24" s="255"/>
      <c r="FK24" s="255">
        <v>3588</v>
      </c>
      <c r="FL24" s="255">
        <v>2450</v>
      </c>
      <c r="FM24" s="255">
        <v>20</v>
      </c>
      <c r="FN24" s="255"/>
      <c r="FO24" s="255">
        <v>7858</v>
      </c>
      <c r="FP24" s="255">
        <v>877448496</v>
      </c>
      <c r="FQ24" s="255">
        <v>26</v>
      </c>
      <c r="FR24" s="255">
        <v>1809</v>
      </c>
      <c r="FS24" s="255">
        <v>669</v>
      </c>
      <c r="FT24" s="255">
        <v>1217</v>
      </c>
      <c r="FU24" s="255">
        <v>77831</v>
      </c>
      <c r="FV24" s="255">
        <v>80332</v>
      </c>
      <c r="FW24" s="255">
        <v>1288</v>
      </c>
      <c r="FX24" s="255">
        <v>9975</v>
      </c>
      <c r="FY24" s="255">
        <v>173147</v>
      </c>
      <c r="FZ24" s="255">
        <v>77857</v>
      </c>
      <c r="GA24" s="255">
        <v>82141</v>
      </c>
      <c r="GB24" s="255">
        <v>1957</v>
      </c>
      <c r="GC24" s="255">
        <v>11192</v>
      </c>
      <c r="GD24" s="255">
        <v>12856367712</v>
      </c>
      <c r="GE24" s="255">
        <v>212964900</v>
      </c>
      <c r="GF24" s="233">
        <f t="shared" ref="GF24:GL24" si="30">SUM(GF6:GF23)</f>
        <v>13069332600</v>
      </c>
      <c r="GG24" s="308">
        <f t="shared" si="30"/>
        <v>11749022.6</v>
      </c>
      <c r="GH24" s="308">
        <f t="shared" si="30"/>
        <v>12295845.100000001</v>
      </c>
      <c r="GI24" s="308">
        <f t="shared" si="30"/>
        <v>12218983.599999998</v>
      </c>
      <c r="GJ24" s="308">
        <f t="shared" si="30"/>
        <v>12787678.699999999</v>
      </c>
      <c r="GK24" s="308">
        <f t="shared" si="30"/>
        <v>12079022.6</v>
      </c>
      <c r="GL24" s="308">
        <f t="shared" si="30"/>
        <v>12562183.499999998</v>
      </c>
      <c r="GM24" s="310">
        <f t="shared" ref="GM24:GN24" si="31">SUM(GM6:GM23)</f>
        <v>12562183400</v>
      </c>
      <c r="GN24" s="311">
        <f t="shared" si="31"/>
        <v>166428.11352317722</v>
      </c>
      <c r="GO24" s="308">
        <f t="shared" ref="GO24:GP24" si="32">SUM(GO6:GO23)</f>
        <v>12218983600</v>
      </c>
      <c r="GP24" s="315">
        <f t="shared" si="32"/>
        <v>161881.28483068268</v>
      </c>
      <c r="GQ24" s="231">
        <f>SUM(GQ6:GQ23)</f>
        <v>157105.5</v>
      </c>
      <c r="GR24" s="231">
        <f>SUM(GR6:GR23)</f>
        <v>11749022600</v>
      </c>
      <c r="GS24" s="231">
        <f>SUM(GS6:GS23)</f>
        <v>16041.5</v>
      </c>
      <c r="GT24" s="231">
        <f t="shared" ref="GT24:GU24" si="33">SUM(GT6:GT23)</f>
        <v>164665</v>
      </c>
      <c r="GU24" s="231">
        <f t="shared" si="33"/>
        <v>8482</v>
      </c>
      <c r="GW24" s="347">
        <f>SUM(GW6:GW23)</f>
        <v>13069332600</v>
      </c>
      <c r="GX24" s="348">
        <f t="shared" ref="GX24:GY24" si="34">SUM(GX6:GX23)</f>
        <v>13592105900</v>
      </c>
      <c r="GY24" s="349">
        <f t="shared" si="34"/>
        <v>14135790100</v>
      </c>
      <c r="GZ24" s="162"/>
      <c r="HA24" s="347">
        <f>SUM(HA6:HA23)</f>
        <v>13069332.600000003</v>
      </c>
      <c r="HB24" s="348">
        <f t="shared" ref="HB24:HC24" si="35">SUM(HB6:HB23)</f>
        <v>13592105.900000004</v>
      </c>
      <c r="HC24" s="349">
        <f t="shared" si="35"/>
        <v>14135790.100000001</v>
      </c>
    </row>
    <row r="25" spans="1:211" s="258" customFormat="1" ht="15" customHeight="1" x14ac:dyDescent="0.2">
      <c r="A25" s="257"/>
      <c r="B25" s="257"/>
      <c r="EN25" s="259"/>
      <c r="EO25" s="259"/>
      <c r="EP25" s="259"/>
      <c r="EQ25" s="259"/>
      <c r="ER25" s="259"/>
      <c r="ES25" s="259"/>
      <c r="ET25" s="259"/>
      <c r="EU25" s="259"/>
      <c r="EV25" s="259"/>
      <c r="EW25" s="234"/>
      <c r="EX25" s="234"/>
      <c r="EY25" s="234"/>
      <c r="EZ25" s="234"/>
      <c r="FA25" s="234"/>
      <c r="FB25" s="234"/>
      <c r="FC25" s="234"/>
      <c r="FD25" s="234"/>
      <c r="FE25" s="234"/>
      <c r="FF25" s="234"/>
      <c r="FG25" s="259"/>
      <c r="FH25" s="259"/>
      <c r="FI25" s="259"/>
      <c r="FJ25" s="259"/>
      <c r="FK25" s="259"/>
      <c r="FL25" s="259"/>
      <c r="FM25" s="259"/>
      <c r="FN25" s="259"/>
      <c r="FO25" s="259"/>
      <c r="FP25" s="259"/>
      <c r="FQ25" s="234"/>
      <c r="FR25" s="234"/>
      <c r="FS25" s="234"/>
      <c r="FT25" s="234"/>
      <c r="FU25" s="234"/>
      <c r="FV25" s="234"/>
      <c r="FW25" s="234"/>
      <c r="FX25" s="234"/>
      <c r="FY25" s="234"/>
      <c r="FZ25" s="234"/>
      <c r="GA25" s="234"/>
      <c r="GB25" s="234"/>
      <c r="GC25" s="234"/>
      <c r="GD25" s="234"/>
      <c r="GE25" s="234"/>
      <c r="GF25" s="160">
        <f>GF24/1000/GG24-100%</f>
        <v>0.1123761562940564</v>
      </c>
      <c r="GG25" s="161"/>
      <c r="GH25" s="161"/>
      <c r="GI25" s="160">
        <f>GI24/GG24-100%</f>
        <v>4.0000008170892221E-2</v>
      </c>
      <c r="GJ25" s="160">
        <f>GJ24/GH24-100%</f>
        <v>3.999998340902966E-2</v>
      </c>
      <c r="GK25" s="160"/>
      <c r="GL25" s="160">
        <f>GL24/GK24-100%</f>
        <v>3.9999999668847153E-2</v>
      </c>
      <c r="GM25" s="308">
        <f>GM24-GF24</f>
        <v>-507149200</v>
      </c>
      <c r="GN25" s="160"/>
      <c r="GO25" s="258">
        <f>GO24-GF24</f>
        <v>-850349000</v>
      </c>
      <c r="GW25" s="3"/>
      <c r="GX25" s="2">
        <v>13592105900</v>
      </c>
      <c r="GY25" s="2">
        <v>14135790100</v>
      </c>
      <c r="GZ25" s="3"/>
      <c r="HA25" s="3"/>
      <c r="HB25" s="3"/>
      <c r="HC25" s="3"/>
    </row>
    <row r="26" spans="1:211" s="260" customFormat="1" x14ac:dyDescent="0.2">
      <c r="GF26" s="261" t="b">
        <f>GF24=[5]ООУ!$GF$24</f>
        <v>1</v>
      </c>
      <c r="GM26" s="260">
        <v>773487500</v>
      </c>
      <c r="GW26" s="79"/>
      <c r="GX26" s="159">
        <f>GX25-GX24</f>
        <v>0</v>
      </c>
      <c r="GY26" s="159">
        <f>GY25-GY24</f>
        <v>0</v>
      </c>
      <c r="GZ26" s="79"/>
      <c r="HA26" s="79"/>
      <c r="HB26" s="79"/>
      <c r="HC26" s="79"/>
    </row>
    <row r="27" spans="1:211" s="260" customFormat="1" x14ac:dyDescent="0.2">
      <c r="GF27" s="261"/>
      <c r="GJ27" s="316">
        <f>GJ24-GH24</f>
        <v>491833.59999999776</v>
      </c>
      <c r="GM27" s="316">
        <f>GM25+GM26</f>
        <v>266338300</v>
      </c>
    </row>
    <row r="28" spans="1:211" s="260" customFormat="1" x14ac:dyDescent="0.2">
      <c r="GF28" s="160">
        <f>GF24/1000/GH24-100%</f>
        <v>6.2906412183087568E-2</v>
      </c>
    </row>
    <row r="29" spans="1:211" x14ac:dyDescent="0.2">
      <c r="GF29" s="261">
        <v>2021</v>
      </c>
      <c r="GG29" s="261"/>
      <c r="GH29" s="261"/>
      <c r="GM29" s="265">
        <f t="shared" ref="GM29:GM46" si="36">GF6/FY6</f>
        <v>77802.669957370425</v>
      </c>
      <c r="GN29" s="306">
        <f>GM6/GM29</f>
        <v>4284.0483518448291</v>
      </c>
      <c r="GO29" s="265">
        <f>GF6/FY6</f>
        <v>77802.669957370425</v>
      </c>
      <c r="GP29" s="306">
        <f>GO6/GO29</f>
        <v>4167.0073813358558</v>
      </c>
      <c r="GQ29" s="306">
        <f t="shared" ref="GQ29:GQ46" si="37">FY6-GP29</f>
        <v>289.99261866414417</v>
      </c>
    </row>
    <row r="30" spans="1:211" x14ac:dyDescent="0.2">
      <c r="GM30" s="265">
        <f t="shared" si="36"/>
        <v>88625.288184438046</v>
      </c>
      <c r="GN30" s="306">
        <f t="shared" ref="GN30:GN46" si="38">GM7/GM30</f>
        <v>4002.4174506694067</v>
      </c>
      <c r="GO30" s="265">
        <f t="shared" ref="GO30:GO46" si="39">GF7/FY7</f>
        <v>88625.288184438046</v>
      </c>
      <c r="GP30" s="306">
        <f t="shared" ref="GP30:GP46" si="40">GO7/GO30</f>
        <v>3893.0716849345467</v>
      </c>
      <c r="GQ30" s="306">
        <f t="shared" si="37"/>
        <v>270.92831506545326</v>
      </c>
    </row>
    <row r="31" spans="1:211" x14ac:dyDescent="0.2">
      <c r="GM31" s="265">
        <f t="shared" si="36"/>
        <v>77660.7380762057</v>
      </c>
      <c r="GN31" s="306">
        <f t="shared" si="38"/>
        <v>7214.7331313049872</v>
      </c>
      <c r="GO31" s="265">
        <f t="shared" si="39"/>
        <v>77660.7380762057</v>
      </c>
      <c r="GP31" s="306">
        <f t="shared" si="40"/>
        <v>7017.625810679483</v>
      </c>
      <c r="GQ31" s="306">
        <f t="shared" si="37"/>
        <v>488.37418932051696</v>
      </c>
    </row>
    <row r="32" spans="1:211" x14ac:dyDescent="0.2">
      <c r="GM32" s="265">
        <f t="shared" si="36"/>
        <v>70383.406400701453</v>
      </c>
      <c r="GN32" s="306">
        <f t="shared" si="38"/>
        <v>43849.737570661848</v>
      </c>
      <c r="GO32" s="265">
        <f t="shared" si="39"/>
        <v>70383.406400701453</v>
      </c>
      <c r="GP32" s="306">
        <f t="shared" si="40"/>
        <v>42651.759178994238</v>
      </c>
      <c r="GQ32" s="306">
        <f t="shared" si="37"/>
        <v>2968.240821005762</v>
      </c>
    </row>
    <row r="33" spans="195:199" x14ac:dyDescent="0.2">
      <c r="GM33" s="265">
        <f t="shared" si="36"/>
        <v>77577.640370413792</v>
      </c>
      <c r="GN33" s="306">
        <f t="shared" si="38"/>
        <v>16399.917475257618</v>
      </c>
      <c r="GO33" s="265">
        <f t="shared" si="39"/>
        <v>77577.640370413792</v>
      </c>
      <c r="GP33" s="306">
        <f t="shared" si="40"/>
        <v>15951.870849528383</v>
      </c>
      <c r="GQ33" s="306">
        <f t="shared" si="37"/>
        <v>1110.1291504716173</v>
      </c>
    </row>
    <row r="34" spans="195:199" x14ac:dyDescent="0.2">
      <c r="GM34" s="265">
        <f t="shared" si="36"/>
        <v>73048.747896664354</v>
      </c>
      <c r="GN34" s="306">
        <f t="shared" si="38"/>
        <v>19421.915376386412</v>
      </c>
      <c r="GO34" s="265">
        <f t="shared" si="39"/>
        <v>73048.747896664354</v>
      </c>
      <c r="GP34" s="306">
        <f t="shared" si="40"/>
        <v>18891.308061188749</v>
      </c>
      <c r="GQ34" s="306">
        <f t="shared" si="37"/>
        <v>1314.691938811251</v>
      </c>
    </row>
    <row r="35" spans="195:199" x14ac:dyDescent="0.2">
      <c r="GM35" s="265">
        <f t="shared" si="36"/>
        <v>74563.947122446261</v>
      </c>
      <c r="GN35" s="306">
        <f t="shared" si="38"/>
        <v>7198.3930668072562</v>
      </c>
      <c r="GO35" s="265">
        <f t="shared" si="39"/>
        <v>74563.947122446261</v>
      </c>
      <c r="GP35" s="306">
        <f t="shared" si="40"/>
        <v>7001.7323404656145</v>
      </c>
      <c r="GQ35" s="306">
        <f t="shared" si="37"/>
        <v>487.26765953438553</v>
      </c>
    </row>
    <row r="36" spans="195:199" x14ac:dyDescent="0.2">
      <c r="GM36" s="265">
        <f t="shared" si="36"/>
        <v>72652.968036529681</v>
      </c>
      <c r="GN36" s="306">
        <f t="shared" si="38"/>
        <v>6736.0579096222737</v>
      </c>
      <c r="GO36" s="265">
        <f t="shared" si="39"/>
        <v>72652.968036529681</v>
      </c>
      <c r="GP36" s="306">
        <f t="shared" si="40"/>
        <v>6552.0282634655268</v>
      </c>
      <c r="GQ36" s="306">
        <f t="shared" si="37"/>
        <v>455.97173653447317</v>
      </c>
    </row>
    <row r="37" spans="195:199" x14ac:dyDescent="0.2">
      <c r="GM37" s="265">
        <f t="shared" si="36"/>
        <v>71627.64082543223</v>
      </c>
      <c r="GN37" s="306">
        <f t="shared" si="38"/>
        <v>8617.1175385249808</v>
      </c>
      <c r="GO37" s="265">
        <f t="shared" si="39"/>
        <v>71627.64082543223</v>
      </c>
      <c r="GP37" s="306">
        <f t="shared" si="40"/>
        <v>8381.6972481778957</v>
      </c>
      <c r="GQ37" s="306">
        <f t="shared" si="37"/>
        <v>583.30275182210426</v>
      </c>
    </row>
    <row r="38" spans="195:199" x14ac:dyDescent="0.2">
      <c r="GM38" s="265">
        <f t="shared" si="36"/>
        <v>84195.825568393586</v>
      </c>
      <c r="GN38" s="306">
        <f t="shared" si="38"/>
        <v>2578.8879500162466</v>
      </c>
      <c r="GO38" s="265">
        <f t="shared" si="39"/>
        <v>84195.825568393586</v>
      </c>
      <c r="GP38" s="306">
        <f t="shared" si="40"/>
        <v>2508.4319629176784</v>
      </c>
      <c r="GQ38" s="306">
        <f t="shared" si="37"/>
        <v>174.56803708232155</v>
      </c>
    </row>
    <row r="39" spans="195:199" x14ac:dyDescent="0.2">
      <c r="GM39" s="265">
        <f t="shared" si="36"/>
        <v>86950.677014531044</v>
      </c>
      <c r="GN39" s="306">
        <f t="shared" si="38"/>
        <v>5821.0001046388034</v>
      </c>
      <c r="GO39" s="265">
        <f t="shared" si="39"/>
        <v>86950.677014531044</v>
      </c>
      <c r="GP39" s="306">
        <f t="shared" si="40"/>
        <v>5661.9697155172889</v>
      </c>
      <c r="GQ39" s="306">
        <f t="shared" si="37"/>
        <v>394.03028448271107</v>
      </c>
    </row>
    <row r="40" spans="195:199" x14ac:dyDescent="0.2">
      <c r="GM40" s="265">
        <f t="shared" si="36"/>
        <v>81025.439783491209</v>
      </c>
      <c r="GN40" s="306">
        <f t="shared" si="38"/>
        <v>5682.5881010992389</v>
      </c>
      <c r="GO40" s="265">
        <f t="shared" si="39"/>
        <v>81025.439783491209</v>
      </c>
      <c r="GP40" s="306">
        <f t="shared" si="40"/>
        <v>5527.3393294342804</v>
      </c>
      <c r="GQ40" s="306">
        <f t="shared" si="37"/>
        <v>384.66067056571956</v>
      </c>
    </row>
    <row r="41" spans="195:199" x14ac:dyDescent="0.2">
      <c r="GM41" s="265">
        <f t="shared" si="36"/>
        <v>75691.822094691539</v>
      </c>
      <c r="GN41" s="306">
        <f t="shared" si="38"/>
        <v>2679.8126189411114</v>
      </c>
      <c r="GO41" s="265">
        <f t="shared" si="39"/>
        <v>75691.822094691539</v>
      </c>
      <c r="GP41" s="306">
        <f t="shared" si="40"/>
        <v>2606.5999541294836</v>
      </c>
      <c r="GQ41" s="306">
        <f t="shared" si="37"/>
        <v>181.40004587051635</v>
      </c>
    </row>
    <row r="42" spans="195:199" x14ac:dyDescent="0.2">
      <c r="GM42" s="265">
        <f t="shared" si="36"/>
        <v>91658.629927286645</v>
      </c>
      <c r="GN42" s="306">
        <f t="shared" si="38"/>
        <v>5023.2073113601446</v>
      </c>
      <c r="GO42" s="265">
        <f t="shared" si="39"/>
        <v>91658.629927286645</v>
      </c>
      <c r="GP42" s="306">
        <f t="shared" si="40"/>
        <v>4885.9730977353192</v>
      </c>
      <c r="GQ42" s="306">
        <f t="shared" si="37"/>
        <v>340.02690226468076</v>
      </c>
    </row>
    <row r="43" spans="195:199" x14ac:dyDescent="0.2">
      <c r="GM43" s="265">
        <f t="shared" si="36"/>
        <v>78239.479015918958</v>
      </c>
      <c r="GN43" s="306">
        <f t="shared" si="38"/>
        <v>3320.9308557273785</v>
      </c>
      <c r="GO43" s="265">
        <f t="shared" si="39"/>
        <v>78239.479015918958</v>
      </c>
      <c r="GP43" s="306">
        <f t="shared" si="40"/>
        <v>3230.2017239733736</v>
      </c>
      <c r="GQ43" s="306">
        <f t="shared" si="37"/>
        <v>224.79827602662635</v>
      </c>
    </row>
    <row r="44" spans="195:199" x14ac:dyDescent="0.2">
      <c r="GM44" s="265">
        <f t="shared" si="36"/>
        <v>78237.12816235752</v>
      </c>
      <c r="GN44" s="306">
        <f t="shared" si="38"/>
        <v>6914.839702159361</v>
      </c>
      <c r="GO44" s="265">
        <f t="shared" si="39"/>
        <v>78237.12816235752</v>
      </c>
      <c r="GP44" s="306">
        <f t="shared" si="40"/>
        <v>6725.9268375494967</v>
      </c>
      <c r="GQ44" s="306">
        <f t="shared" si="37"/>
        <v>468.07316245050333</v>
      </c>
    </row>
    <row r="45" spans="195:199" x14ac:dyDescent="0.2">
      <c r="GM45" s="265">
        <f t="shared" si="36"/>
        <v>76829.782192654704</v>
      </c>
      <c r="GN45" s="306">
        <f t="shared" si="38"/>
        <v>10547.1976735276</v>
      </c>
      <c r="GO45" s="265">
        <f t="shared" si="39"/>
        <v>76829.782192654704</v>
      </c>
      <c r="GP45" s="306">
        <f t="shared" si="40"/>
        <v>10259.047696159625</v>
      </c>
      <c r="GQ45" s="306">
        <f t="shared" si="37"/>
        <v>713.95230384037495</v>
      </c>
    </row>
    <row r="46" spans="195:199" x14ac:dyDescent="0.2">
      <c r="GM46" s="265">
        <f t="shared" si="36"/>
        <v>70910.794297352346</v>
      </c>
      <c r="GN46" s="306">
        <f t="shared" si="38"/>
        <v>6135.3113346277123</v>
      </c>
      <c r="GO46" s="265">
        <f t="shared" si="39"/>
        <v>70910.794297352346</v>
      </c>
      <c r="GP46" s="306">
        <f t="shared" si="40"/>
        <v>5967.6936944958234</v>
      </c>
      <c r="GQ46" s="306">
        <f t="shared" si="37"/>
        <v>415.30630550417663</v>
      </c>
    </row>
    <row r="47" spans="195:199" x14ac:dyDescent="0.2">
      <c r="GN47" s="306">
        <f>SUM(GN29:GN46)</f>
        <v>166428.11352317722</v>
      </c>
      <c r="GO47" s="265"/>
      <c r="GP47" s="306">
        <f>SUM(GP29:GP46)</f>
        <v>161881.28483068268</v>
      </c>
      <c r="GQ47" s="306">
        <f>SUM(GQ29:GQ46)</f>
        <v>11265.715169317338</v>
      </c>
    </row>
    <row r="48" spans="195:199" x14ac:dyDescent="0.2">
      <c r="GN48" s="306">
        <f>SUM(GN47:GN47)</f>
        <v>166428.11352317722</v>
      </c>
      <c r="GO48" s="265"/>
      <c r="GP48" s="306">
        <f>SUM(GP47:GQ47)</f>
        <v>173147.00000000003</v>
      </c>
      <c r="GQ48" s="265"/>
    </row>
  </sheetData>
  <sheetProtection selectLockedCells="1" selectUnlockedCells="1"/>
  <mergeCells count="111"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68" customWidth="1"/>
    <col min="2" max="2" width="24.85546875" style="68" customWidth="1"/>
    <col min="3" max="3" width="19.28515625" style="68" customWidth="1"/>
    <col min="4" max="4" width="17" style="68" customWidth="1"/>
    <col min="5" max="5" width="11.140625" style="68" bestFit="1" customWidth="1"/>
    <col min="6" max="6" width="12.28515625" style="68" bestFit="1" customWidth="1"/>
    <col min="7" max="7" width="8.85546875" style="68"/>
    <col min="8" max="8" width="14.85546875" style="68" bestFit="1" customWidth="1"/>
    <col min="9" max="16384" width="8.85546875" style="68"/>
  </cols>
  <sheetData>
    <row r="2" spans="1:6" s="69" customFormat="1" ht="39" customHeight="1" x14ac:dyDescent="0.2">
      <c r="A2" s="667" t="s">
        <v>294</v>
      </c>
      <c r="B2" s="667"/>
      <c r="C2" s="667"/>
      <c r="D2" s="667"/>
    </row>
    <row r="3" spans="1:6" x14ac:dyDescent="0.2">
      <c r="A3" s="70"/>
    </row>
    <row r="4" spans="1:6" s="72" customFormat="1" ht="51" customHeight="1" x14ac:dyDescent="0.2">
      <c r="A4" s="668" t="s">
        <v>24</v>
      </c>
      <c r="B4" s="669" t="s">
        <v>70</v>
      </c>
      <c r="C4" s="669" t="s">
        <v>292</v>
      </c>
      <c r="D4" s="71" t="s">
        <v>293</v>
      </c>
    </row>
    <row r="5" spans="1:6" s="72" customFormat="1" ht="25.15" customHeight="1" x14ac:dyDescent="0.2">
      <c r="A5" s="668"/>
      <c r="B5" s="669"/>
      <c r="C5" s="669"/>
      <c r="D5" s="75" t="s">
        <v>187</v>
      </c>
    </row>
    <row r="6" spans="1:6" s="222" customFormat="1" x14ac:dyDescent="0.2">
      <c r="A6" s="218">
        <v>1</v>
      </c>
      <c r="B6" s="219" t="s">
        <v>32</v>
      </c>
      <c r="C6" s="220">
        <v>194</v>
      </c>
      <c r="D6" s="221">
        <v>5425</v>
      </c>
      <c r="F6" s="223"/>
    </row>
    <row r="7" spans="1:6" s="222" customFormat="1" x14ac:dyDescent="0.2">
      <c r="A7" s="218">
        <v>2</v>
      </c>
      <c r="B7" s="219" t="s">
        <v>64</v>
      </c>
      <c r="C7" s="220">
        <v>220</v>
      </c>
      <c r="D7" s="221">
        <v>6527.4</v>
      </c>
    </row>
    <row r="8" spans="1:6" s="222" customFormat="1" x14ac:dyDescent="0.2">
      <c r="A8" s="218">
        <v>3</v>
      </c>
      <c r="B8" s="219" t="s">
        <v>65</v>
      </c>
      <c r="C8" s="220">
        <v>334</v>
      </c>
      <c r="D8" s="221">
        <v>9705.1999999999989</v>
      </c>
    </row>
    <row r="9" spans="1:6" s="222" customFormat="1" x14ac:dyDescent="0.2">
      <c r="A9" s="218">
        <v>4</v>
      </c>
      <c r="B9" s="219" t="s">
        <v>8</v>
      </c>
      <c r="C9" s="220">
        <v>1626</v>
      </c>
      <c r="D9" s="221">
        <v>50425.9</v>
      </c>
    </row>
    <row r="10" spans="1:6" s="222" customFormat="1" x14ac:dyDescent="0.2">
      <c r="A10" s="218">
        <v>5</v>
      </c>
      <c r="B10" s="219" t="s">
        <v>9</v>
      </c>
      <c r="C10" s="220">
        <v>741</v>
      </c>
      <c r="D10" s="221">
        <v>21241.100000000006</v>
      </c>
    </row>
    <row r="11" spans="1:6" s="222" customFormat="1" x14ac:dyDescent="0.2">
      <c r="A11" s="218">
        <v>6</v>
      </c>
      <c r="B11" s="219" t="s">
        <v>66</v>
      </c>
      <c r="C11" s="220">
        <v>841</v>
      </c>
      <c r="D11" s="221">
        <v>25345.000000000004</v>
      </c>
    </row>
    <row r="12" spans="1:6" s="222" customFormat="1" x14ac:dyDescent="0.2">
      <c r="A12" s="218">
        <v>7</v>
      </c>
      <c r="B12" s="219" t="s">
        <v>11</v>
      </c>
      <c r="C12" s="220">
        <v>320.64499999999998</v>
      </c>
      <c r="D12" s="221">
        <v>9594.1999999999989</v>
      </c>
    </row>
    <row r="13" spans="1:6" s="222" customFormat="1" x14ac:dyDescent="0.2">
      <c r="A13" s="218">
        <v>8</v>
      </c>
      <c r="B13" s="219" t="s">
        <v>12</v>
      </c>
      <c r="C13" s="220">
        <v>298</v>
      </c>
      <c r="D13" s="221">
        <v>8686.7999999999993</v>
      </c>
    </row>
    <row r="14" spans="1:6" s="222" customFormat="1" x14ac:dyDescent="0.2">
      <c r="A14" s="218">
        <v>9</v>
      </c>
      <c r="B14" s="219" t="s">
        <v>13</v>
      </c>
      <c r="C14" s="220">
        <v>345</v>
      </c>
      <c r="D14" s="221">
        <v>10038.200000000003</v>
      </c>
    </row>
    <row r="15" spans="1:6" s="222" customFormat="1" x14ac:dyDescent="0.2">
      <c r="A15" s="218">
        <v>10</v>
      </c>
      <c r="B15" s="219" t="s">
        <v>33</v>
      </c>
      <c r="C15" s="220">
        <v>129</v>
      </c>
      <c r="D15" s="221">
        <v>3673.6999999999994</v>
      </c>
    </row>
    <row r="16" spans="1:6" s="222" customFormat="1" x14ac:dyDescent="0.2">
      <c r="A16" s="218">
        <v>11</v>
      </c>
      <c r="B16" s="219" t="s">
        <v>67</v>
      </c>
      <c r="C16" s="220">
        <v>260</v>
      </c>
      <c r="D16" s="221">
        <v>7724.8000000000011</v>
      </c>
    </row>
    <row r="17" spans="1:8" s="222" customFormat="1" x14ac:dyDescent="0.2">
      <c r="A17" s="218">
        <v>12</v>
      </c>
      <c r="B17" s="219" t="s">
        <v>16</v>
      </c>
      <c r="C17" s="220">
        <v>304</v>
      </c>
      <c r="D17" s="221">
        <v>8388.4</v>
      </c>
    </row>
    <row r="18" spans="1:8" s="222" customFormat="1" x14ac:dyDescent="0.2">
      <c r="A18" s="218">
        <v>13</v>
      </c>
      <c r="B18" s="219" t="s">
        <v>17</v>
      </c>
      <c r="C18" s="220">
        <v>119</v>
      </c>
      <c r="D18" s="221">
        <v>3405.099999999999</v>
      </c>
    </row>
    <row r="19" spans="1:8" s="222" customFormat="1" x14ac:dyDescent="0.2">
      <c r="A19" s="218">
        <v>14</v>
      </c>
      <c r="B19" s="219" t="s">
        <v>18</v>
      </c>
      <c r="C19" s="220">
        <v>270</v>
      </c>
      <c r="D19" s="221">
        <v>7805.1999999999989</v>
      </c>
    </row>
    <row r="20" spans="1:8" s="222" customFormat="1" x14ac:dyDescent="0.2">
      <c r="A20" s="218">
        <v>15</v>
      </c>
      <c r="B20" s="219" t="s">
        <v>19</v>
      </c>
      <c r="C20" s="220">
        <v>164</v>
      </c>
      <c r="D20" s="221">
        <v>4650.1000000000004</v>
      </c>
    </row>
    <row r="21" spans="1:8" s="222" customFormat="1" x14ac:dyDescent="0.2">
      <c r="A21" s="218">
        <v>16</v>
      </c>
      <c r="B21" s="219" t="s">
        <v>20</v>
      </c>
      <c r="C21" s="220">
        <v>317</v>
      </c>
      <c r="D21" s="221">
        <v>9022.0999999999985</v>
      </c>
    </row>
    <row r="22" spans="1:8" s="222" customFormat="1" x14ac:dyDescent="0.2">
      <c r="A22" s="218">
        <v>17</v>
      </c>
      <c r="B22" s="219" t="s">
        <v>21</v>
      </c>
      <c r="C22" s="220">
        <v>472</v>
      </c>
      <c r="D22" s="221">
        <v>13654.900000000001</v>
      </c>
    </row>
    <row r="23" spans="1:8" s="222" customFormat="1" x14ac:dyDescent="0.2">
      <c r="A23" s="218">
        <v>18</v>
      </c>
      <c r="B23" s="219" t="s">
        <v>22</v>
      </c>
      <c r="C23" s="220">
        <v>246</v>
      </c>
      <c r="D23" s="221">
        <v>7651.8</v>
      </c>
    </row>
    <row r="24" spans="1:8" s="217" customFormat="1" x14ac:dyDescent="0.2">
      <c r="A24" s="224"/>
      <c r="B24" s="225" t="s">
        <v>186</v>
      </c>
      <c r="C24" s="220">
        <f>SUM(C6:C23)</f>
        <v>7200.6450000000004</v>
      </c>
      <c r="D24" s="221">
        <f>SUM(D6:D23)</f>
        <v>212964.90000000002</v>
      </c>
      <c r="E24" s="226"/>
      <c r="F24" s="227"/>
      <c r="H24" s="227"/>
    </row>
    <row r="25" spans="1:8" x14ac:dyDescent="0.2">
      <c r="A25" s="70"/>
      <c r="C25" s="70" t="b">
        <f>C24='[5]Классное руководство'!$C$24</f>
        <v>1</v>
      </c>
      <c r="H25" s="125"/>
    </row>
    <row r="26" spans="1:8" s="93" customFormat="1" x14ac:dyDescent="0.2">
      <c r="A26" s="92">
        <v>1</v>
      </c>
      <c r="B26" s="93">
        <v>2</v>
      </c>
      <c r="C26" s="92">
        <v>3</v>
      </c>
      <c r="D26" s="93">
        <v>4</v>
      </c>
    </row>
    <row r="27" spans="1:8" x14ac:dyDescent="0.2">
      <c r="A27" s="70"/>
      <c r="B27" s="73" t="s">
        <v>188</v>
      </c>
      <c r="C27" s="70"/>
      <c r="D27" s="70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КЦ</vt:lpstr>
      <vt:lpstr>Население на 01.01.2019</vt:lpstr>
      <vt:lpstr>органы опеки_проверка</vt:lpstr>
      <vt:lpstr>Вознаграждение </vt:lpstr>
      <vt:lpstr>Единовре_ФБ (проект)</vt:lpstr>
      <vt:lpstr>Жилье</vt:lpstr>
      <vt:lpstr>Питание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Жилье!Заголовки_для_печати</vt:lpstr>
      <vt:lpstr>ООУ!Заголовки_для_печати</vt:lpstr>
      <vt:lpstr>'Вознаграждение '!Область_печати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'Единовре_ФБ (проект)'!Область_печати</vt:lpstr>
      <vt:lpstr>Жилье!Область_печати</vt:lpstr>
      <vt:lpstr>ООУ!Область_печати</vt:lpstr>
      <vt:lpstr>'органы опеки_проверка'!Область_печати</vt:lpstr>
      <vt:lpstr>Питание!Область_печати</vt:lpstr>
      <vt:lpstr>Прогнозные!Область_печати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2020-08-28T18:10:56Z</cp:lastPrinted>
  <dcterms:created xsi:type="dcterms:W3CDTF">2019-05-07T19:03:37Z</dcterms:created>
  <dcterms:modified xsi:type="dcterms:W3CDTF">2020-08-28T18:11:39Z</dcterms:modified>
</cp:coreProperties>
</file>