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 firstSheet="3" activeTab="3"/>
  </bookViews>
  <sheets>
    <sheet name="Мониторинг" sheetId="1" state="hidden" r:id="rId1"/>
    <sheet name="11 км" sheetId="2" state="hidden" r:id="rId2"/>
    <sheet name="БИ Пикалево" sheetId="5" state="hidden" r:id="rId3"/>
    <sheet name="старты 2021" sheetId="10" r:id="rId4"/>
    <sheet name="старты 2022-2023" sheetId="7" r:id="rId5"/>
  </sheets>
  <definedNames>
    <definedName name="_xlnm.Print_Area" localSheetId="0">Мониторинг!$A$1:$AE$26</definedName>
    <definedName name="_xlnm.Print_Area" localSheetId="3">'старты 2021'!$A$1:$P$27</definedName>
  </definedNames>
  <calcPr calcId="145621"/>
</workbook>
</file>

<file path=xl/calcChain.xml><?xml version="1.0" encoding="utf-8"?>
<calcChain xmlns="http://schemas.openxmlformats.org/spreadsheetml/2006/main">
  <c r="H27" i="10" l="1"/>
  <c r="I25" i="10" s="1"/>
  <c r="F27" i="10"/>
  <c r="C27" i="10"/>
  <c r="C29" i="10" s="1"/>
  <c r="K26" i="10"/>
  <c r="I26" i="10"/>
  <c r="G26" i="10"/>
  <c r="E26" i="10"/>
  <c r="L26" i="10" s="1"/>
  <c r="N26" i="10" s="1"/>
  <c r="N25" i="10"/>
  <c r="K25" i="10"/>
  <c r="G25" i="10"/>
  <c r="K24" i="10"/>
  <c r="G24" i="10"/>
  <c r="K23" i="10"/>
  <c r="G23" i="10"/>
  <c r="K22" i="10"/>
  <c r="G22" i="10"/>
  <c r="K21" i="10"/>
  <c r="G21" i="10"/>
  <c r="K20" i="10"/>
  <c r="I20" i="10"/>
  <c r="G20" i="10"/>
  <c r="K19" i="10"/>
  <c r="I19" i="10"/>
  <c r="G19" i="10"/>
  <c r="E19" i="10"/>
  <c r="K18" i="10"/>
  <c r="I18" i="10"/>
  <c r="G18" i="10"/>
  <c r="E18" i="10"/>
  <c r="K17" i="10"/>
  <c r="I17" i="10"/>
  <c r="G17" i="10"/>
  <c r="E17" i="10"/>
  <c r="K16" i="10"/>
  <c r="I16" i="10"/>
  <c r="G16" i="10"/>
  <c r="E16" i="10"/>
  <c r="K15" i="10"/>
  <c r="I15" i="10"/>
  <c r="G15" i="10"/>
  <c r="E15" i="10"/>
  <c r="K14" i="10"/>
  <c r="I14" i="10"/>
  <c r="G14" i="10"/>
  <c r="E14" i="10"/>
  <c r="K13" i="10"/>
  <c r="I13" i="10"/>
  <c r="G13" i="10"/>
  <c r="E13" i="10"/>
  <c r="K12" i="10"/>
  <c r="I12" i="10"/>
  <c r="G12" i="10"/>
  <c r="E12" i="10"/>
  <c r="K11" i="10"/>
  <c r="I11" i="10"/>
  <c r="G11" i="10"/>
  <c r="E11" i="10"/>
  <c r="K10" i="10"/>
  <c r="I10" i="10"/>
  <c r="G10" i="10"/>
  <c r="E10" i="10"/>
  <c r="K9" i="10"/>
  <c r="I9" i="10"/>
  <c r="G9" i="10"/>
  <c r="E9" i="10"/>
  <c r="L9" i="10" l="1"/>
  <c r="L10" i="10"/>
  <c r="N10" i="10" s="1"/>
  <c r="L11" i="10"/>
  <c r="N11" i="10" s="1"/>
  <c r="L12" i="10"/>
  <c r="N12" i="10" s="1"/>
  <c r="L13" i="10"/>
  <c r="N13" i="10" s="1"/>
  <c r="L14" i="10"/>
  <c r="N14" i="10" s="1"/>
  <c r="L15" i="10"/>
  <c r="N15" i="10" s="1"/>
  <c r="L16" i="10"/>
  <c r="N16" i="10" s="1"/>
  <c r="L17" i="10"/>
  <c r="N17" i="10" s="1"/>
  <c r="L18" i="10"/>
  <c r="N18" i="10" s="1"/>
  <c r="L19" i="10"/>
  <c r="N19" i="10" s="1"/>
  <c r="E20" i="10"/>
  <c r="L20" i="10" s="1"/>
  <c r="N20" i="10" s="1"/>
  <c r="E21" i="10"/>
  <c r="I21" i="10"/>
  <c r="E22" i="10"/>
  <c r="L22" i="10" s="1"/>
  <c r="N22" i="10" s="1"/>
  <c r="I22" i="10"/>
  <c r="E23" i="10"/>
  <c r="L23" i="10" s="1"/>
  <c r="N23" i="10" s="1"/>
  <c r="I23" i="10"/>
  <c r="E24" i="10"/>
  <c r="L24" i="10" s="1"/>
  <c r="N24" i="10" s="1"/>
  <c r="I24" i="10"/>
  <c r="E25" i="10"/>
  <c r="N9" i="10"/>
  <c r="L21" i="10" l="1"/>
  <c r="N21" i="10" l="1"/>
  <c r="N27" i="10" s="1"/>
  <c r="L27" i="10"/>
  <c r="M9" i="10" s="1"/>
  <c r="O26" i="10" l="1"/>
  <c r="P26" i="10" s="1"/>
  <c r="R26" i="10" s="1"/>
  <c r="O21" i="10"/>
  <c r="P21" i="10" s="1"/>
  <c r="R21" i="10" s="1"/>
  <c r="O17" i="10"/>
  <c r="P17" i="10" s="1"/>
  <c r="R17" i="10" s="1"/>
  <c r="O13" i="10"/>
  <c r="P13" i="10" s="1"/>
  <c r="R13" i="10" s="1"/>
  <c r="O22" i="10"/>
  <c r="P22" i="10" s="1"/>
  <c r="R22" i="10" s="1"/>
  <c r="O14" i="10"/>
  <c r="P14" i="10" s="1"/>
  <c r="R14" i="10" s="1"/>
  <c r="O23" i="10"/>
  <c r="P23" i="10" s="1"/>
  <c r="R23" i="10" s="1"/>
  <c r="O19" i="10"/>
  <c r="P19" i="10" s="1"/>
  <c r="R19" i="10" s="1"/>
  <c r="O15" i="10"/>
  <c r="P15" i="10" s="1"/>
  <c r="R15" i="10" s="1"/>
  <c r="O11" i="10"/>
  <c r="P11" i="10" s="1"/>
  <c r="R11" i="10" s="1"/>
  <c r="O24" i="10"/>
  <c r="P24" i="10" s="1"/>
  <c r="R24" i="10" s="1"/>
  <c r="O20" i="10"/>
  <c r="P20" i="10" s="1"/>
  <c r="R20" i="10" s="1"/>
  <c r="O16" i="10"/>
  <c r="P16" i="10" s="1"/>
  <c r="R16" i="10" s="1"/>
  <c r="O12" i="10"/>
  <c r="P12" i="10" s="1"/>
  <c r="R12" i="10" s="1"/>
  <c r="O9" i="10"/>
  <c r="O25" i="10"/>
  <c r="P25" i="10" s="1"/>
  <c r="R25" i="10" s="1"/>
  <c r="O18" i="10"/>
  <c r="P18" i="10" s="1"/>
  <c r="R18" i="10" s="1"/>
  <c r="O10" i="10"/>
  <c r="P10" i="10" s="1"/>
  <c r="R10" i="10" s="1"/>
  <c r="O27" i="10" l="1"/>
  <c r="P27" i="10" s="1"/>
  <c r="P9" i="10"/>
  <c r="R9" i="10" s="1"/>
  <c r="W9" i="7" l="1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W25" i="7"/>
  <c r="W8" i="7"/>
  <c r="V9" i="7"/>
  <c r="V10" i="7"/>
  <c r="V11" i="7"/>
  <c r="V12" i="7"/>
  <c r="V13" i="7"/>
  <c r="V14" i="7"/>
  <c r="V15" i="7"/>
  <c r="V16" i="7"/>
  <c r="V17" i="7"/>
  <c r="V18" i="7"/>
  <c r="V19" i="7"/>
  <c r="V20" i="7"/>
  <c r="V21" i="7"/>
  <c r="V22" i="7"/>
  <c r="V23" i="7"/>
  <c r="V24" i="7"/>
  <c r="V25" i="7"/>
  <c r="V8" i="7"/>
  <c r="P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U25" i="7"/>
  <c r="U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T25" i="7"/>
  <c r="T8" i="7"/>
  <c r="S26" i="7" l="1"/>
  <c r="R26" i="7"/>
  <c r="K25" i="7"/>
  <c r="M25" i="7" s="1"/>
  <c r="J25" i="7"/>
  <c r="L25" i="7" s="1"/>
  <c r="L9" i="2" l="1"/>
  <c r="N15" i="2"/>
  <c r="M15" i="2"/>
  <c r="L15" i="2"/>
  <c r="N14" i="2"/>
  <c r="M14" i="2"/>
  <c r="L14" i="2"/>
  <c r="N13" i="2"/>
  <c r="M13" i="2"/>
  <c r="L13" i="2"/>
  <c r="N12" i="2"/>
  <c r="M12" i="2"/>
  <c r="L12" i="2"/>
  <c r="N11" i="2"/>
  <c r="M11" i="2"/>
  <c r="L11" i="2"/>
  <c r="N10" i="2"/>
  <c r="M10" i="2"/>
  <c r="L10" i="2"/>
  <c r="N9" i="2"/>
  <c r="N16" i="2" s="1"/>
  <c r="M9" i="2"/>
  <c r="M16" i="2" s="1"/>
  <c r="L16" i="2"/>
  <c r="F5" i="5" l="1"/>
  <c r="AE8" i="1"/>
  <c r="AC8" i="1"/>
  <c r="AB8" i="1"/>
  <c r="T8" i="1"/>
  <c r="R9" i="1"/>
  <c r="Q8" i="1"/>
  <c r="O8" i="1"/>
  <c r="D8" i="7" l="1"/>
  <c r="E8" i="7"/>
  <c r="J8" i="7"/>
  <c r="L8" i="7" s="1"/>
  <c r="K8" i="7"/>
  <c r="M8" i="7" s="1"/>
  <c r="D9" i="7"/>
  <c r="E9" i="7"/>
  <c r="J9" i="7"/>
  <c r="L9" i="7" s="1"/>
  <c r="K9" i="7"/>
  <c r="M9" i="7" s="1"/>
  <c r="D10" i="7"/>
  <c r="E10" i="7"/>
  <c r="J10" i="7"/>
  <c r="L10" i="7" s="1"/>
  <c r="K10" i="7"/>
  <c r="M10" i="7" s="1"/>
  <c r="D11" i="7"/>
  <c r="E11" i="7"/>
  <c r="J11" i="7"/>
  <c r="L11" i="7" s="1"/>
  <c r="K11" i="7"/>
  <c r="M11" i="7" s="1"/>
  <c r="D12" i="7"/>
  <c r="E12" i="7"/>
  <c r="J12" i="7"/>
  <c r="L12" i="7" s="1"/>
  <c r="K12" i="7"/>
  <c r="M12" i="7" s="1"/>
  <c r="D13" i="7"/>
  <c r="E13" i="7"/>
  <c r="J13" i="7"/>
  <c r="L13" i="7" s="1"/>
  <c r="K13" i="7"/>
  <c r="M13" i="7" s="1"/>
  <c r="D14" i="7"/>
  <c r="E14" i="7"/>
  <c r="I26" i="7"/>
  <c r="J14" i="7"/>
  <c r="L14" i="7" s="1"/>
  <c r="D15" i="7"/>
  <c r="E15" i="7"/>
  <c r="J15" i="7"/>
  <c r="L15" i="7" s="1"/>
  <c r="K15" i="7"/>
  <c r="M15" i="7" s="1"/>
  <c r="D16" i="7"/>
  <c r="E16" i="7"/>
  <c r="J16" i="7"/>
  <c r="L16" i="7" s="1"/>
  <c r="K16" i="7"/>
  <c r="M16" i="7" s="1"/>
  <c r="D17" i="7"/>
  <c r="E17" i="7"/>
  <c r="J17" i="7"/>
  <c r="L17" i="7" s="1"/>
  <c r="K17" i="7"/>
  <c r="M17" i="7" s="1"/>
  <c r="D18" i="7"/>
  <c r="E18" i="7"/>
  <c r="J18" i="7"/>
  <c r="L18" i="7" s="1"/>
  <c r="K18" i="7"/>
  <c r="M18" i="7" s="1"/>
  <c r="D19" i="7"/>
  <c r="E19" i="7"/>
  <c r="J19" i="7"/>
  <c r="L19" i="7" s="1"/>
  <c r="K19" i="7"/>
  <c r="M19" i="7" s="1"/>
  <c r="D20" i="7"/>
  <c r="E20" i="7"/>
  <c r="J20" i="7"/>
  <c r="L20" i="7" s="1"/>
  <c r="K20" i="7"/>
  <c r="M20" i="7" s="1"/>
  <c r="D21" i="7"/>
  <c r="E21" i="7"/>
  <c r="J21" i="7"/>
  <c r="L21" i="7" s="1"/>
  <c r="K21" i="7"/>
  <c r="M21" i="7" s="1"/>
  <c r="D22" i="7"/>
  <c r="E22" i="7"/>
  <c r="J22" i="7"/>
  <c r="L22" i="7" s="1"/>
  <c r="K22" i="7"/>
  <c r="M22" i="7" s="1"/>
  <c r="D23" i="7"/>
  <c r="E23" i="7"/>
  <c r="J23" i="7"/>
  <c r="K23" i="7"/>
  <c r="M23" i="7" s="1"/>
  <c r="D24" i="7"/>
  <c r="E24" i="7"/>
  <c r="J24" i="7"/>
  <c r="L24" i="7" s="1"/>
  <c r="K24" i="7"/>
  <c r="M24" i="7" s="1"/>
  <c r="D25" i="7"/>
  <c r="E25" i="7"/>
  <c r="F26" i="7"/>
  <c r="G26" i="7"/>
  <c r="H26" i="7"/>
  <c r="J26" i="7" l="1"/>
  <c r="L23" i="7"/>
  <c r="K14" i="7"/>
  <c r="M14" i="7" s="1"/>
  <c r="G5" i="5"/>
  <c r="M26" i="7" l="1"/>
  <c r="L26" i="7"/>
  <c r="K26" i="7"/>
  <c r="I9" i="2"/>
  <c r="O12" i="7" l="1"/>
  <c r="Q12" i="7" s="1"/>
  <c r="O9" i="7"/>
  <c r="Q9" i="7" s="1"/>
  <c r="O11" i="7"/>
  <c r="Q11" i="7" s="1"/>
  <c r="O14" i="7"/>
  <c r="Q14" i="7" s="1"/>
  <c r="O16" i="7"/>
  <c r="Q16" i="7" s="1"/>
  <c r="O18" i="7"/>
  <c r="Q18" i="7" s="1"/>
  <c r="O20" i="7"/>
  <c r="Q20" i="7" s="1"/>
  <c r="O22" i="7"/>
  <c r="Q22" i="7" s="1"/>
  <c r="O24" i="7"/>
  <c r="Q24" i="7" s="1"/>
  <c r="O8" i="7"/>
  <c r="Q8" i="7" s="1"/>
  <c r="O10" i="7"/>
  <c r="Q10" i="7" s="1"/>
  <c r="O13" i="7"/>
  <c r="Q13" i="7" s="1"/>
  <c r="O15" i="7"/>
  <c r="Q15" i="7" s="1"/>
  <c r="O17" i="7"/>
  <c r="Q17" i="7" s="1"/>
  <c r="O19" i="7"/>
  <c r="Q19" i="7" s="1"/>
  <c r="O21" i="7"/>
  <c r="Q21" i="7" s="1"/>
  <c r="O23" i="7"/>
  <c r="Q23" i="7" s="1"/>
  <c r="O25" i="7"/>
  <c r="Q25" i="7" s="1"/>
  <c r="N10" i="7"/>
  <c r="P10" i="7" s="1"/>
  <c r="N12" i="7"/>
  <c r="P12" i="7" s="1"/>
  <c r="N14" i="7"/>
  <c r="P14" i="7" s="1"/>
  <c r="N16" i="7"/>
  <c r="P16" i="7" s="1"/>
  <c r="N18" i="7"/>
  <c r="P18" i="7" s="1"/>
  <c r="N20" i="7"/>
  <c r="P20" i="7" s="1"/>
  <c r="N22" i="7"/>
  <c r="P22" i="7" s="1"/>
  <c r="N24" i="7"/>
  <c r="P24" i="7" s="1"/>
  <c r="N8" i="7"/>
  <c r="N21" i="7"/>
  <c r="P21" i="7" s="1"/>
  <c r="N25" i="7"/>
  <c r="P25" i="7" s="1"/>
  <c r="N9" i="7"/>
  <c r="P9" i="7" s="1"/>
  <c r="N11" i="7"/>
  <c r="P11" i="7" s="1"/>
  <c r="N13" i="7"/>
  <c r="P13" i="7" s="1"/>
  <c r="N15" i="7"/>
  <c r="P15" i="7" s="1"/>
  <c r="N17" i="7"/>
  <c r="P17" i="7" s="1"/>
  <c r="N19" i="7"/>
  <c r="P19" i="7" s="1"/>
  <c r="N23" i="7"/>
  <c r="P23" i="7" s="1"/>
  <c r="AC11" i="1"/>
  <c r="AC26" i="1"/>
  <c r="AC17" i="1"/>
  <c r="AC18" i="1"/>
  <c r="AC19" i="1"/>
  <c r="AC20" i="1"/>
  <c r="AC21" i="1"/>
  <c r="AC22" i="1"/>
  <c r="AC23" i="1"/>
  <c r="AC24" i="1"/>
  <c r="AC16" i="1"/>
  <c r="AC9" i="1"/>
  <c r="AC10" i="1"/>
  <c r="AC12" i="1"/>
  <c r="AC13" i="1"/>
  <c r="AC14" i="1"/>
  <c r="P26" i="7" l="1"/>
  <c r="Q26" i="7"/>
  <c r="I9" i="1"/>
  <c r="I10" i="1"/>
  <c r="I11" i="1"/>
  <c r="I12" i="1"/>
  <c r="I13" i="1"/>
  <c r="I14" i="1"/>
  <c r="I16" i="1"/>
  <c r="I17" i="1"/>
  <c r="I18" i="1"/>
  <c r="I19" i="1"/>
  <c r="I20" i="1"/>
  <c r="I21" i="1"/>
  <c r="I22" i="1"/>
  <c r="I23" i="1"/>
  <c r="I24" i="1"/>
  <c r="I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8" i="1"/>
  <c r="G9" i="1"/>
  <c r="G10" i="1"/>
  <c r="G11" i="1"/>
  <c r="G12" i="1"/>
  <c r="G13" i="1"/>
  <c r="G14" i="1"/>
  <c r="G16" i="1"/>
  <c r="G17" i="1"/>
  <c r="G18" i="1"/>
  <c r="G19" i="1"/>
  <c r="G20" i="1"/>
  <c r="G21" i="1"/>
  <c r="G22" i="1"/>
  <c r="G23" i="1"/>
  <c r="G24" i="1"/>
  <c r="G8" i="1"/>
  <c r="F9" i="1"/>
  <c r="F10" i="1"/>
  <c r="F11" i="1"/>
  <c r="F12" i="1"/>
  <c r="F13" i="1"/>
  <c r="F14" i="1"/>
  <c r="F16" i="1"/>
  <c r="F17" i="1"/>
  <c r="F18" i="1"/>
  <c r="F19" i="1"/>
  <c r="F20" i="1"/>
  <c r="F21" i="1"/>
  <c r="F22" i="1"/>
  <c r="F23" i="1"/>
  <c r="F24" i="1"/>
  <c r="F8" i="1"/>
  <c r="N8" i="1"/>
  <c r="R8" i="1" l="1"/>
  <c r="K15" i="2" l="1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16" i="2" l="1"/>
  <c r="K16" i="2"/>
  <c r="J16" i="2"/>
  <c r="G26" i="1" l="1"/>
  <c r="H26" i="1"/>
  <c r="K26" i="1"/>
  <c r="L26" i="1"/>
  <c r="M26" i="1"/>
  <c r="S26" i="1"/>
  <c r="U26" i="1"/>
  <c r="V26" i="1"/>
  <c r="W26" i="1"/>
  <c r="X26" i="1"/>
  <c r="J26" i="1"/>
  <c r="Y8" i="1" l="1"/>
  <c r="Z8" i="1" s="1"/>
  <c r="AD8" i="1" s="1"/>
  <c r="N9" i="1"/>
  <c r="O9" i="1" s="1"/>
  <c r="Y9" i="1"/>
  <c r="Z9" i="1" s="1"/>
  <c r="N10" i="1"/>
  <c r="O10" i="1" s="1"/>
  <c r="Y10" i="1"/>
  <c r="Z10" i="1" s="1"/>
  <c r="AD10" i="1" s="1"/>
  <c r="N11" i="1"/>
  <c r="O11" i="1" s="1"/>
  <c r="Y11" i="1"/>
  <c r="Z11" i="1" s="1"/>
  <c r="N12" i="1"/>
  <c r="O12" i="1" s="1"/>
  <c r="R12" i="1" s="1"/>
  <c r="Y12" i="1"/>
  <c r="Z12" i="1" s="1"/>
  <c r="AD12" i="1" s="1"/>
  <c r="AB12" i="1" s="1"/>
  <c r="N13" i="1"/>
  <c r="Y13" i="1"/>
  <c r="Z13" i="1" s="1"/>
  <c r="N14" i="1"/>
  <c r="O14" i="1" s="1"/>
  <c r="Y14" i="1"/>
  <c r="Z14" i="1" s="1"/>
  <c r="AD14" i="1" s="1"/>
  <c r="N16" i="1"/>
  <c r="O16" i="1" s="1"/>
  <c r="R16" i="1" s="1"/>
  <c r="Y16" i="1"/>
  <c r="Z16" i="1" s="1"/>
  <c r="AD16" i="1" s="1"/>
  <c r="AB16" i="1" s="1"/>
  <c r="N17" i="1"/>
  <c r="O17" i="1" s="1"/>
  <c r="Y17" i="1"/>
  <c r="Z17" i="1" s="1"/>
  <c r="N18" i="1"/>
  <c r="O18" i="1" s="1"/>
  <c r="R18" i="1" s="1"/>
  <c r="Y18" i="1"/>
  <c r="Z18" i="1" s="1"/>
  <c r="AD18" i="1" s="1"/>
  <c r="N19" i="1"/>
  <c r="O19" i="1" s="1"/>
  <c r="Y19" i="1"/>
  <c r="Z19" i="1" s="1"/>
  <c r="N20" i="1"/>
  <c r="O20" i="1" s="1"/>
  <c r="R20" i="1" s="1"/>
  <c r="Y20" i="1"/>
  <c r="Z20" i="1" s="1"/>
  <c r="AD20" i="1" s="1"/>
  <c r="AB20" i="1" s="1"/>
  <c r="N21" i="1"/>
  <c r="O21" i="1" s="1"/>
  <c r="Y21" i="1"/>
  <c r="Z21" i="1" s="1"/>
  <c r="N22" i="1"/>
  <c r="O22" i="1" s="1"/>
  <c r="Y22" i="1"/>
  <c r="Z22" i="1" s="1"/>
  <c r="AD22" i="1" s="1"/>
  <c r="N23" i="1"/>
  <c r="O23" i="1" s="1"/>
  <c r="R23" i="1" s="1"/>
  <c r="Y23" i="1"/>
  <c r="Z23" i="1" s="1"/>
  <c r="AD23" i="1" s="1"/>
  <c r="AB23" i="1" s="1"/>
  <c r="N24" i="1"/>
  <c r="O24" i="1" s="1"/>
  <c r="Y24" i="1"/>
  <c r="Z24" i="1" s="1"/>
  <c r="B26" i="1"/>
  <c r="C26" i="1"/>
  <c r="D26" i="1"/>
  <c r="E26" i="1"/>
  <c r="Q24" i="1" l="1"/>
  <c r="R24" i="1"/>
  <c r="Q22" i="1"/>
  <c r="R22" i="1"/>
  <c r="Q14" i="1"/>
  <c r="R14" i="1"/>
  <c r="Q10" i="1"/>
  <c r="R10" i="1"/>
  <c r="Q21" i="1"/>
  <c r="R21" i="1"/>
  <c r="Q19" i="1"/>
  <c r="R19" i="1"/>
  <c r="Q17" i="1"/>
  <c r="R17" i="1"/>
  <c r="Q11" i="1"/>
  <c r="R11" i="1"/>
  <c r="Q9" i="1"/>
  <c r="Z26" i="1"/>
  <c r="AE22" i="1"/>
  <c r="AB22" i="1"/>
  <c r="AE18" i="1"/>
  <c r="AB18" i="1"/>
  <c r="AE14" i="1"/>
  <c r="AB14" i="1"/>
  <c r="AE10" i="1"/>
  <c r="AB10" i="1"/>
  <c r="O13" i="1"/>
  <c r="Q20" i="1"/>
  <c r="Q16" i="1"/>
  <c r="T23" i="1"/>
  <c r="Q23" i="1"/>
  <c r="Q18" i="1"/>
  <c r="Q12" i="1"/>
  <c r="T18" i="1"/>
  <c r="T22" i="1"/>
  <c r="F26" i="1"/>
  <c r="T14" i="1"/>
  <c r="T10" i="1"/>
  <c r="I26" i="1"/>
  <c r="N26" i="1"/>
  <c r="Y26" i="1"/>
  <c r="O26" i="1"/>
  <c r="T24" i="1"/>
  <c r="AE23" i="1"/>
  <c r="AD19" i="1"/>
  <c r="AD11" i="1"/>
  <c r="AD24" i="1"/>
  <c r="AD21" i="1"/>
  <c r="T19" i="1"/>
  <c r="AD17" i="1"/>
  <c r="AD13" i="1"/>
  <c r="T11" i="1"/>
  <c r="AD9" i="1"/>
  <c r="T21" i="1"/>
  <c r="T17" i="1"/>
  <c r="T13" i="1"/>
  <c r="T9" i="1"/>
  <c r="AE20" i="1"/>
  <c r="T20" i="1"/>
  <c r="AE16" i="1"/>
  <c r="T16" i="1"/>
  <c r="AE12" i="1"/>
  <c r="T12" i="1"/>
  <c r="Q13" i="1" l="1"/>
  <c r="R13" i="1"/>
  <c r="R26" i="1" s="1"/>
  <c r="AE17" i="1"/>
  <c r="AB17" i="1"/>
  <c r="AE24" i="1"/>
  <c r="AB24" i="1"/>
  <c r="AE19" i="1"/>
  <c r="AB19" i="1"/>
  <c r="AE21" i="1"/>
  <c r="AB21" i="1"/>
  <c r="AE13" i="1"/>
  <c r="AB13" i="1"/>
  <c r="AE11" i="1"/>
  <c r="AB11" i="1"/>
  <c r="AE9" i="1"/>
  <c r="AB9" i="1"/>
  <c r="AE26" i="1"/>
  <c r="T26" i="1"/>
  <c r="AD26" i="1"/>
</calcChain>
</file>

<file path=xl/sharedStrings.xml><?xml version="1.0" encoding="utf-8"?>
<sst xmlns="http://schemas.openxmlformats.org/spreadsheetml/2006/main" count="212" uniqueCount="159">
  <si>
    <t>ИТОГО</t>
  </si>
  <si>
    <t>Сосновый бор</t>
  </si>
  <si>
    <t>Тосненский</t>
  </si>
  <si>
    <t>Тихвинский</t>
  </si>
  <si>
    <t>Сланцевский</t>
  </si>
  <si>
    <t>Приозерский</t>
  </si>
  <si>
    <t>Подпорожский</t>
  </si>
  <si>
    <t>Лужский</t>
  </si>
  <si>
    <t>Ломоносовский</t>
  </si>
  <si>
    <t>Лодейнопольский</t>
  </si>
  <si>
    <t>Кировский</t>
  </si>
  <si>
    <t>Киришский</t>
  </si>
  <si>
    <t>Кингисеппский</t>
  </si>
  <si>
    <t>Гатчинский</t>
  </si>
  <si>
    <t>Выборгский</t>
  </si>
  <si>
    <t>Всеволожский</t>
  </si>
  <si>
    <t>Волховский</t>
  </si>
  <si>
    <t>Волосовский</t>
  </si>
  <si>
    <t>Бокситогорский</t>
  </si>
  <si>
    <t>ПП (40%)</t>
  </si>
  <si>
    <t>БЫТ. ОБСЛ. (90 %)</t>
  </si>
  <si>
    <t>ОБЩ, ПИТ (90 %)</t>
  </si>
  <si>
    <t>Средства МО в целях софинансирования</t>
  </si>
  <si>
    <t>Сумма субсидии областной бюджет</t>
  </si>
  <si>
    <t>Предельный уровень софинансирования, % 2023 год</t>
  </si>
  <si>
    <t>Сумма затрат ОБЩАЯ на мониторинг, руб. (300 руб/отчет)</t>
  </si>
  <si>
    <t>Предельный уровень софинансирования, % 2022 год</t>
  </si>
  <si>
    <t>Сумма затрат ОБЩАЯ на мониторинг, руб. (319 руб/отчет)</t>
  </si>
  <si>
    <t>Торговля (70 %)</t>
  </si>
  <si>
    <t>Получатели поддержки (ВСЕЙ)</t>
  </si>
  <si>
    <t>Бытовое обслуживание</t>
  </si>
  <si>
    <t>Общ. Пит.</t>
  </si>
  <si>
    <t>торговля</t>
  </si>
  <si>
    <t>2023 год</t>
  </si>
  <si>
    <t>2022 год</t>
  </si>
  <si>
    <t>исходные данные</t>
  </si>
  <si>
    <t>Наименование муниципального образования</t>
  </si>
  <si>
    <t>отказ от участия в отборе</t>
  </si>
  <si>
    <t>контроль % софинан-сирования Ленинградской областью (не должен превышать предельный)</t>
  </si>
  <si>
    <t>Расчет размера субсидии</t>
  </si>
  <si>
    <t>п/п</t>
  </si>
  <si>
    <t xml:space="preserve">МО наименование </t>
  </si>
  <si>
    <t xml:space="preserve">Подпорожский </t>
  </si>
  <si>
    <t xml:space="preserve">Кингисеппский </t>
  </si>
  <si>
    <t xml:space="preserve">Приозерский </t>
  </si>
  <si>
    <t xml:space="preserve">Волховский </t>
  </si>
  <si>
    <r>
      <t>Предельный уровень софинансирования (%) - УС</t>
    </r>
    <r>
      <rPr>
        <b/>
        <i/>
        <sz val="10"/>
        <color theme="1"/>
        <rFont val="Times New Roman"/>
        <family val="1"/>
        <charset val="204"/>
      </rPr>
      <t>i</t>
    </r>
  </si>
  <si>
    <r>
      <t>Объем субсидии (тыс.руб.) - C</t>
    </r>
    <r>
      <rPr>
        <b/>
        <i/>
        <sz val="10"/>
        <color theme="1"/>
        <rFont val="Times New Roman"/>
        <family val="1"/>
        <charset val="204"/>
      </rPr>
      <t>i</t>
    </r>
  </si>
  <si>
    <t>Объем расходов в соответствии со сметой расходов и доходов - РОСi (тыс.руб.)</t>
  </si>
  <si>
    <t>Расчетный объем субсидии - Сi (тыс.руб.)</t>
  </si>
  <si>
    <t>Объем субсидии (тыс.руб.)</t>
  </si>
  <si>
    <t>Муниципальное образование «Город Пикалево» Бокситогорского муниципального района Ленинградской области</t>
  </si>
  <si>
    <t>Предельный уровень софинансирования- Усi, %</t>
  </si>
  <si>
    <t xml:space="preserve">2022 год </t>
  </si>
  <si>
    <t>Объем расходов в соответствии с заявкой (МБ), тыс. руб</t>
  </si>
  <si>
    <t>2022</t>
  </si>
  <si>
    <t>Предельный уровень софинансирования (%)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</si>
  <si>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</si>
  <si>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</si>
  <si>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</si>
  <si>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</si>
  <si>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</si>
  <si>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</si>
  <si>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</si>
  <si>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</si>
  <si>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</si>
  <si>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</si>
  <si>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</si>
  <si>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</si>
  <si>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</si>
  <si>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</si>
  <si>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</si>
  <si>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</si>
  <si>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район</t>
  </si>
  <si>
    <t>Тосненский район</t>
  </si>
  <si>
    <t xml:space="preserve">Проверка </t>
  </si>
  <si>
    <t>6=5*40%</t>
  </si>
  <si>
    <t>7=4*90%</t>
  </si>
  <si>
    <t>8=3*90%</t>
  </si>
  <si>
    <t>9=2*70%</t>
  </si>
  <si>
    <t>Сумма софинансирования из ОБ</t>
  </si>
  <si>
    <t>Расчет субсидии на 2021-2023 годы муниципальным образованиям Ленинградской области 
для софинансирования 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</si>
  <si>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Расчет субсидии на 2022-2023 муниципальным образованиям Ленинградской области для софинансирования мероприятий по организации мониторинга деятельности субъектов малого и среднего предпринимательства и потребительского рынка.
(на 2021 год субсидия распределена областным законом Ленинградской области от 04.12.2019 №94-оз «Об областном бюджете Ленинградской области на 2020 год и на плановый период 2021 и 2022 годов»)</t>
  </si>
  <si>
    <r>
      <t>Расчетный общий объем расходов (тыс.руб.) - РОС</t>
    </r>
    <r>
      <rPr>
        <b/>
        <i/>
        <sz val="10"/>
        <color theme="1"/>
        <rFont val="Times New Roman"/>
        <family val="1"/>
        <charset val="204"/>
      </rPr>
      <t>i</t>
    </r>
  </si>
  <si>
    <t>Формула расчета субсидии Ci=РОСi*Усi</t>
  </si>
  <si>
    <t>Расчет субсидии на 2022-2023 годы муниципальным образованиям Ленинградской области 
для софинансирования текущей деятельности бизнес-инкубаторов, на создание которых были предоставлены средства за счет субсидий федерального бюджета
(на 2021 год субсидия распределена областным законом Ленинградской области от 04.12.2019 №94-оз «Об областном бюджете Ленинградской области на 2020 год и на плановый период 2021 и 2022 годов»)</t>
  </si>
  <si>
    <t>Объем бюджетных ассигнований (тыс.руб.) *</t>
  </si>
  <si>
    <t>Предельный уровень софинансирования (%) МБ</t>
  </si>
  <si>
    <t>Eдиный понижающий коэффициент - k</t>
  </si>
  <si>
    <t>2023</t>
  </si>
  <si>
    <t>1</t>
  </si>
  <si>
    <t>2</t>
  </si>
  <si>
    <t>3</t>
  </si>
  <si>
    <t>4</t>
  </si>
  <si>
    <t>5</t>
  </si>
  <si>
    <t>6</t>
  </si>
  <si>
    <t>7</t>
  </si>
  <si>
    <t>8</t>
  </si>
  <si>
    <t>9=7*700</t>
  </si>
  <si>
    <t>10=8*700</t>
  </si>
  <si>
    <t xml:space="preserve">РОСi = NSi x 700,
где NSi - предполагаемое количество соискателей по заявкам муниципальных образований, претендующих на получение субсидии для организации предпринимательской деятельности в i-м муниципальном районе (городском округе), ед.
</t>
  </si>
  <si>
    <t>Сi = РОСi x УСi</t>
  </si>
  <si>
    <t xml:space="preserve"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
</t>
  </si>
  <si>
    <t>РОСi, тыс. руб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</si>
  <si>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</si>
  <si>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13</t>
  </si>
  <si>
    <t>Ci с учетом понижающего коэффициента, тыс. руб</t>
  </si>
  <si>
    <t>Количество собранных и внесенных в информационную систему отчетов</t>
  </si>
  <si>
    <t>3=2*319</t>
  </si>
  <si>
    <t>5=7/3*100</t>
  </si>
  <si>
    <t>6=3*4/100</t>
  </si>
  <si>
    <t>8=3-7</t>
  </si>
  <si>
    <t>10=9*300</t>
  </si>
  <si>
    <t>12=14/10*100</t>
  </si>
  <si>
    <t>13=10*11/100</t>
  </si>
  <si>
    <t>15=10-14</t>
  </si>
  <si>
    <t xml:space="preserve">*РОСi - расчетный объем расходов, необходимый для достижения значений результатов использования субсидии i-м муниципальным образованием, определяемый в соответствии с методикой расчета размера субсидии, утвержденной правовым актом Комитета
</t>
  </si>
  <si>
    <t xml:space="preserve">* Распределение субсидии утверждается в пределах бюджетных ассигнований, предусмотренных в установленном порядке Комитету на очередной финансовый год и на плановый период
</t>
  </si>
  <si>
    <t>Nsi</t>
  </si>
  <si>
    <t xml:space="preserve"> </t>
  </si>
  <si>
    <t>Округление до целых тыс. руб</t>
  </si>
  <si>
    <t>Формула расчета субсидии Ci=РОСi*УСi</t>
  </si>
  <si>
    <t>14</t>
  </si>
  <si>
    <t>17</t>
  </si>
  <si>
    <t>18</t>
  </si>
  <si>
    <t>11=9*1/100</t>
  </si>
  <si>
    <t>12=10*2/100</t>
  </si>
  <si>
    <t>15=11*13</t>
  </si>
  <si>
    <t>16=12*14</t>
  </si>
  <si>
    <t>контроль % софинансирования МО (не должен быть меньше предельного)</t>
  </si>
  <si>
    <t>Сi (округление), тыс. руб.</t>
  </si>
  <si>
    <t>Объем субсидии бюджету i-го МО - Сi, тыс. руб</t>
  </si>
  <si>
    <t>№</t>
  </si>
  <si>
    <t>Запрашиваемый размер субсидии</t>
  </si>
  <si>
    <t>Объем средств</t>
  </si>
  <si>
    <r>
      <t>К</t>
    </r>
    <r>
      <rPr>
        <b/>
        <sz val="8"/>
        <color theme="1"/>
        <rFont val="Times New Roman"/>
        <family val="1"/>
        <charset val="204"/>
      </rPr>
      <t>1jmo</t>
    </r>
  </si>
  <si>
    <r>
      <t>К</t>
    </r>
    <r>
      <rPr>
        <b/>
        <sz val="8"/>
        <color theme="1"/>
        <rFont val="Times New Roman"/>
        <family val="1"/>
        <charset val="204"/>
      </rPr>
      <t>2jmo</t>
    </r>
  </si>
  <si>
    <t>Предпологаемое кол. соискателей</t>
  </si>
  <si>
    <r>
      <t>К</t>
    </r>
    <r>
      <rPr>
        <b/>
        <sz val="8"/>
        <color theme="1"/>
        <rFont val="Times New Roman"/>
        <family val="1"/>
        <charset val="204"/>
      </rPr>
      <t>3jmo</t>
    </r>
  </si>
  <si>
    <r>
      <t>1-DS</t>
    </r>
    <r>
      <rPr>
        <b/>
        <sz val="8"/>
        <color theme="1"/>
        <rFont val="Times New Roman"/>
        <family val="1"/>
        <charset val="204"/>
      </rPr>
      <t>jmo</t>
    </r>
  </si>
  <si>
    <t>Расчетный размер субсидии</t>
  </si>
  <si>
    <t>тыс.руб.</t>
  </si>
  <si>
    <t>Район</t>
  </si>
  <si>
    <t>Численность экономически активного населения</t>
  </si>
  <si>
    <t xml:space="preserve">Минимальная доля софинансирования </t>
  </si>
  <si>
    <t>Остаток к распределению</t>
  </si>
  <si>
    <t>Остаток заявленной потрербности</t>
  </si>
  <si>
    <t>Доп. Объем</t>
  </si>
  <si>
    <t>Софинансирование</t>
  </si>
  <si>
    <t>Кировский муниципальный район</t>
  </si>
  <si>
    <t>Сланцевский муниципальны район</t>
  </si>
  <si>
    <t>Тихвинский муниципальный район</t>
  </si>
  <si>
    <t>ОСТАТОК</t>
  </si>
  <si>
    <t>На 2021 год субсидия распределена областным законом Ленинградской области от 04.12.2019 №94-оз 
«Об областном бюджете Ленинградской области на 2020 год и на плановый период 2021 и 2022 годов». 
В соответсвии с распределением с муниципальными образованиями заключены соглашения на предоставление субсидии до 2021 года включительно.
Расчет размера субсидии на 2021 год осуществлен в соответвстии с порядком предоставления субсидии в рамках подготовки проекта областного закона об областном бюджете на Ленинградской области на 2020 год и на плановый период 2021 и 2022 годов</t>
  </si>
  <si>
    <t>таблица 2</t>
  </si>
  <si>
    <t>таблица 1</t>
  </si>
  <si>
    <t>Приложение 30 к пояснительной записке 2021 года</t>
  </si>
  <si>
    <t>Расчет объема субсидий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
на 2021 год и на плановый период 2022 и 2023 годов</t>
  </si>
  <si>
    <t>Расчет объема субсидий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
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</si>
</sst>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-* #,##0\ _₽_-;\-* #,##0\ _₽_-;_-* &quot;-&quot;??\ _₽_-;_-@_-"/>
    <numFmt numFmtId="165" formatCode="0.0000000000"/>
    <numFmt numFmtId="166" formatCode="0.0000000000;[Red]0.0000000000"/>
    <numFmt numFmtId="167" formatCode="_-* #,##0.0\ _₽_-;\-* #,##0.0\ _₽_-;_-* &quot;-&quot;??\ _₽_-;_-@_-"/>
    <numFmt numFmtId="169" formatCode="#,##0.0"/>
    <numFmt numFmtId="170" formatCode="#,##0.0_ ;\-#,##0.0\ "/>
    <numFmt numFmtId="171" formatCode="#,##0.0000"/>
    <numFmt numFmtId="172" formatCode="#,##0.000_ ;\-#,##0.000\ "/>
    <numFmt numFmtId="173" formatCode="_-* #,##0.0\ _₽_-;\-* #,##0.0\ _₽_-;_-* &quot;-&quot;?\ _₽_-;_-@_-"/>
    <numFmt numFmtId="174" formatCode="#,##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195">
    <xf numFmtId="0" fontId="0" fillId="0" borderId="0" xfId="0"/>
    <xf numFmtId="0" fontId="5" fillId="7" borderId="1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/>
    <xf numFmtId="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0" fontId="10" fillId="0" borderId="0" xfId="0" applyFont="1"/>
    <xf numFmtId="3" fontId="5" fillId="0" borderId="1" xfId="0" applyNumberFormat="1" applyFont="1" applyFill="1" applyBorder="1" applyAlignment="1" applyProtection="1">
      <alignment horizontal="right" vertical="center" wrapText="1"/>
    </xf>
    <xf numFmtId="164" fontId="8" fillId="0" borderId="1" xfId="1" applyNumberFormat="1" applyFont="1" applyFill="1" applyBorder="1"/>
    <xf numFmtId="0" fontId="8" fillId="0" borderId="0" xfId="0" applyFont="1" applyAlignment="1"/>
    <xf numFmtId="0" fontId="8" fillId="0" borderId="8" xfId="0" applyFont="1" applyBorder="1" applyAlignment="1"/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/>
    <xf numFmtId="164" fontId="2" fillId="0" borderId="1" xfId="1" applyNumberFormat="1" applyFont="1" applyFill="1" applyBorder="1"/>
    <xf numFmtId="3" fontId="2" fillId="0" borderId="1" xfId="1" applyNumberFormat="1" applyFont="1" applyFill="1" applyBorder="1"/>
    <xf numFmtId="0" fontId="2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14" fillId="0" borderId="0" xfId="0" applyFont="1"/>
    <xf numFmtId="0" fontId="14" fillId="0" borderId="1" xfId="0" applyFont="1" applyBorder="1"/>
    <xf numFmtId="0" fontId="11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49" fontId="18" fillId="5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/>
    <xf numFmtId="1" fontId="5" fillId="0" borderId="1" xfId="0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64" fontId="20" fillId="2" borderId="1" xfId="1" applyNumberFormat="1" applyFont="1" applyFill="1" applyBorder="1" applyAlignment="1">
      <alignment horizontal="center" vertical="center"/>
    </xf>
    <xf numFmtId="164" fontId="21" fillId="2" borderId="1" xfId="1" applyNumberFormat="1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165" fontId="18" fillId="2" borderId="1" xfId="1" applyNumberFormat="1" applyFont="1" applyFill="1" applyBorder="1" applyAlignment="1">
      <alignment horizontal="center" vertical="center"/>
    </xf>
    <xf numFmtId="43" fontId="18" fillId="2" borderId="1" xfId="1" applyFont="1" applyFill="1" applyBorder="1" applyAlignment="1">
      <alignment horizontal="center" vertical="center"/>
    </xf>
    <xf numFmtId="164" fontId="21" fillId="7" borderId="1" xfId="1" applyNumberFormat="1" applyFont="1" applyFill="1" applyBorder="1" applyAlignment="1">
      <alignment horizontal="center" vertical="center"/>
    </xf>
    <xf numFmtId="166" fontId="23" fillId="2" borderId="1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1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167" fontId="17" fillId="0" borderId="1" xfId="1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wrapText="1"/>
    </xf>
    <xf numFmtId="0" fontId="25" fillId="0" borderId="0" xfId="0" applyFont="1"/>
    <xf numFmtId="164" fontId="25" fillId="0" borderId="0" xfId="0" applyNumberFormat="1" applyFont="1"/>
    <xf numFmtId="0" fontId="14" fillId="0" borderId="0" xfId="0" applyFont="1" applyBorder="1" applyAlignment="1">
      <alignment wrapText="1"/>
    </xf>
    <xf numFmtId="0" fontId="14" fillId="0" borderId="0" xfId="0" applyFont="1" applyBorder="1"/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3" fontId="14" fillId="0" borderId="0" xfId="1" applyFont="1" applyBorder="1" applyAlignment="1">
      <alignment wrapText="1"/>
    </xf>
    <xf numFmtId="43" fontId="14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9" fontId="2" fillId="0" borderId="1" xfId="1" applyNumberFormat="1" applyFont="1" applyFill="1" applyBorder="1"/>
    <xf numFmtId="170" fontId="2" fillId="0" borderId="1" xfId="0" applyNumberFormat="1" applyFont="1" applyFill="1" applyBorder="1"/>
    <xf numFmtId="169" fontId="8" fillId="0" borderId="1" xfId="0" applyNumberFormat="1" applyFont="1" applyBorder="1"/>
    <xf numFmtId="169" fontId="6" fillId="0" borderId="1" xfId="0" applyNumberFormat="1" applyFont="1" applyBorder="1"/>
    <xf numFmtId="167" fontId="8" fillId="0" borderId="1" xfId="1" applyNumberFormat="1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/>
    </xf>
    <xf numFmtId="167" fontId="6" fillId="0" borderId="1" xfId="1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28" fillId="2" borderId="1" xfId="0" applyNumberFormat="1" applyFont="1" applyFill="1" applyBorder="1" applyAlignment="1">
      <alignment horizontal="center" vertical="center"/>
    </xf>
    <xf numFmtId="169" fontId="28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7" fillId="2" borderId="0" xfId="0" applyFont="1" applyFill="1"/>
    <xf numFmtId="4" fontId="2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0" fillId="2" borderId="0" xfId="0" applyFill="1"/>
    <xf numFmtId="0" fontId="30" fillId="2" borderId="0" xfId="0" applyFont="1" applyFill="1"/>
    <xf numFmtId="0" fontId="28" fillId="2" borderId="1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169" fontId="7" fillId="2" borderId="1" xfId="0" applyNumberFormat="1" applyFont="1" applyFill="1" applyBorder="1" applyAlignment="1">
      <alignment horizontal="center" vertical="center"/>
    </xf>
    <xf numFmtId="169" fontId="28" fillId="2" borderId="0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4" fontId="28" fillId="2" borderId="0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74" fontId="28" fillId="2" borderId="1" xfId="0" applyNumberFormat="1" applyFont="1" applyFill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24" fillId="0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174" fontId="28" fillId="2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4" fontId="2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2" fillId="0" borderId="1" xfId="0" applyFont="1" applyBorder="1" applyAlignment="1">
      <alignment horizontal="right" vertical="center" wrapText="1"/>
    </xf>
    <xf numFmtId="1" fontId="32" fillId="0" borderId="0" xfId="0" applyNumberFormat="1" applyFont="1" applyAlignment="1">
      <alignment horizontal="right" vertical="top"/>
    </xf>
    <xf numFmtId="4" fontId="13" fillId="0" borderId="0" xfId="3" applyNumberFormat="1" applyFont="1" applyAlignment="1">
      <alignment horizontal="right" vertic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1" fontId="32" fillId="0" borderId="0" xfId="0" applyNumberFormat="1" applyFont="1" applyFill="1" applyAlignment="1">
      <alignment horizontal="right" vertical="top"/>
    </xf>
    <xf numFmtId="4" fontId="13" fillId="0" borderId="0" xfId="3" applyNumberFormat="1" applyFont="1" applyFill="1" applyAlignment="1">
      <alignment horizontal="right" vertical="center"/>
    </xf>
    <xf numFmtId="0" fontId="28" fillId="0" borderId="0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wrapText="1"/>
    </xf>
    <xf numFmtId="49" fontId="11" fillId="0" borderId="6" xfId="0" applyNumberFormat="1" applyFont="1" applyFill="1" applyBorder="1" applyAlignment="1" applyProtection="1">
      <alignment horizontal="center" vertical="center" wrapText="1"/>
    </xf>
    <xf numFmtId="0" fontId="27" fillId="0" borderId="1" xfId="0" applyFont="1" applyFill="1" applyBorder="1" applyAlignment="1">
      <alignment horizontal="center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171" fontId="2" fillId="0" borderId="1" xfId="0" applyNumberFormat="1" applyFont="1" applyFill="1" applyBorder="1"/>
    <xf numFmtId="171" fontId="2" fillId="0" borderId="6" xfId="0" applyNumberFormat="1" applyFont="1" applyFill="1" applyBorder="1"/>
    <xf numFmtId="172" fontId="2" fillId="0" borderId="1" xfId="0" applyNumberFormat="1" applyFont="1" applyFill="1" applyBorder="1"/>
    <xf numFmtId="173" fontId="26" fillId="0" borderId="1" xfId="0" applyNumberFormat="1" applyFont="1" applyFill="1" applyBorder="1"/>
    <xf numFmtId="0" fontId="5" fillId="0" borderId="1" xfId="0" applyFont="1" applyFill="1" applyBorder="1"/>
    <xf numFmtId="169" fontId="3" fillId="0" borderId="1" xfId="0" applyNumberFormat="1" applyFont="1" applyFill="1" applyBorder="1"/>
    <xf numFmtId="170" fontId="3" fillId="0" borderId="1" xfId="1" applyNumberFormat="1" applyFont="1" applyFill="1" applyBorder="1"/>
    <xf numFmtId="172" fontId="3" fillId="0" borderId="1" xfId="1" applyNumberFormat="1" applyFont="1" applyFill="1" applyBorder="1"/>
    <xf numFmtId="170" fontId="2" fillId="0" borderId="0" xfId="0" applyNumberFormat="1" applyFont="1" applyFill="1"/>
    <xf numFmtId="172" fontId="2" fillId="0" borderId="0" xfId="0" applyNumberFormat="1" applyFont="1" applyFill="1"/>
    <xf numFmtId="0" fontId="12" fillId="0" borderId="0" xfId="0" applyFont="1" applyFill="1" applyAlignment="1">
      <alignment horizontal="left" vertical="top" wrapText="1"/>
    </xf>
    <xf numFmtId="3" fontId="3" fillId="0" borderId="1" xfId="0" applyNumberFormat="1" applyFont="1" applyFill="1" applyBorder="1"/>
    <xf numFmtId="173" fontId="2" fillId="0" borderId="1" xfId="0" applyNumberFormat="1" applyFont="1" applyFill="1" applyBorder="1"/>
  </cellXfs>
  <cellStyles count="4">
    <cellStyle name="Обычный" xfId="0" builtinId="0"/>
    <cellStyle name="Обычный 2" xfId="3"/>
    <cellStyle name="Обычный_Лист1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AE42"/>
  <sheetViews>
    <sheetView zoomScale="90" zoomScaleNormal="90" workbookViewId="0">
      <selection activeCell="T8" sqref="T8"/>
    </sheetView>
  </sheetViews>
  <sheetFormatPr defaultRowHeight="15" x14ac:dyDescent="0.25"/>
  <cols>
    <col min="1" max="1" width="18.85546875" style="60" customWidth="1"/>
    <col min="2" max="2" width="5.85546875" style="24" hidden="1" customWidth="1"/>
    <col min="3" max="3" width="5.7109375" style="24" hidden="1" customWidth="1"/>
    <col min="4" max="4" width="11" style="24" hidden="1" customWidth="1"/>
    <col min="5" max="5" width="12.42578125" style="24" hidden="1" customWidth="1"/>
    <col min="6" max="8" width="9.140625" style="24" hidden="1" customWidth="1"/>
    <col min="9" max="9" width="10.140625" style="24" hidden="1" customWidth="1"/>
    <col min="10" max="10" width="8" style="24" hidden="1" customWidth="1"/>
    <col min="11" max="11" width="8.140625" style="24" hidden="1" customWidth="1"/>
    <col min="12" max="12" width="7.85546875" style="24" hidden="1" customWidth="1"/>
    <col min="13" max="13" width="9.28515625" style="24" hidden="1" customWidth="1"/>
    <col min="14" max="14" width="12.85546875" style="24" customWidth="1"/>
    <col min="15" max="15" width="13.7109375" style="24" customWidth="1"/>
    <col min="16" max="16" width="13" style="24" customWidth="1"/>
    <col min="17" max="17" width="14.5703125" style="61" customWidth="1"/>
    <col min="18" max="18" width="12.85546875" style="61" customWidth="1"/>
    <col min="19" max="19" width="11.42578125" style="24" bestFit="1" customWidth="1"/>
    <col min="20" max="20" width="11.140625" style="24" customWidth="1"/>
    <col min="21" max="21" width="7.85546875" style="24" hidden="1" customWidth="1"/>
    <col min="22" max="22" width="7.140625" style="24" hidden="1" customWidth="1"/>
    <col min="23" max="23" width="7.28515625" style="24" hidden="1" customWidth="1"/>
    <col min="24" max="24" width="8.140625" style="24" hidden="1" customWidth="1"/>
    <col min="25" max="25" width="13.85546875" style="24" customWidth="1"/>
    <col min="26" max="26" width="11.140625" style="24" customWidth="1"/>
    <col min="27" max="27" width="9.28515625" style="24" customWidth="1"/>
    <col min="28" max="29" width="12.140625" style="61" customWidth="1"/>
    <col min="30" max="30" width="11.42578125" style="24" bestFit="1" customWidth="1"/>
    <col min="31" max="31" width="10.140625" style="24" customWidth="1"/>
    <col min="32" max="16384" width="9.140625" style="24"/>
  </cols>
  <sheetData>
    <row r="2" spans="1:31" ht="62.25" customHeight="1" x14ac:dyDescent="0.25">
      <c r="A2" s="114" t="s">
        <v>82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42" customHeight="1" x14ac:dyDescent="0.25">
      <c r="A4" s="117" t="s">
        <v>36</v>
      </c>
      <c r="B4" s="119" t="s">
        <v>35</v>
      </c>
      <c r="C4" s="120"/>
      <c r="D4" s="120"/>
      <c r="E4" s="121"/>
      <c r="F4" s="128" t="s">
        <v>75</v>
      </c>
      <c r="G4" s="129"/>
      <c r="H4" s="129"/>
      <c r="I4" s="130"/>
      <c r="J4" s="118" t="s">
        <v>34</v>
      </c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 t="s">
        <v>33</v>
      </c>
      <c r="V4" s="118"/>
      <c r="W4" s="118"/>
      <c r="X4" s="118"/>
      <c r="Y4" s="118"/>
      <c r="Z4" s="118"/>
      <c r="AA4" s="118"/>
      <c r="AB4" s="118"/>
      <c r="AC4" s="118"/>
      <c r="AD4" s="118"/>
      <c r="AE4" s="118"/>
    </row>
    <row r="5" spans="1:31" ht="42" customHeight="1" x14ac:dyDescent="0.25">
      <c r="A5" s="117"/>
      <c r="B5" s="122"/>
      <c r="C5" s="123"/>
      <c r="D5" s="123"/>
      <c r="E5" s="124"/>
      <c r="F5" s="25"/>
      <c r="G5" s="26"/>
      <c r="H5" s="26"/>
      <c r="I5" s="26"/>
      <c r="J5" s="131" t="s">
        <v>107</v>
      </c>
      <c r="K5" s="132"/>
      <c r="L5" s="132"/>
      <c r="M5" s="132"/>
      <c r="N5" s="133"/>
      <c r="O5" s="125" t="s">
        <v>39</v>
      </c>
      <c r="P5" s="126"/>
      <c r="Q5" s="126"/>
      <c r="R5" s="126"/>
      <c r="S5" s="126"/>
      <c r="T5" s="127"/>
      <c r="U5" s="131" t="s">
        <v>107</v>
      </c>
      <c r="V5" s="132"/>
      <c r="W5" s="132"/>
      <c r="X5" s="132"/>
      <c r="Y5" s="133"/>
      <c r="Z5" s="125" t="s">
        <v>39</v>
      </c>
      <c r="AA5" s="126"/>
      <c r="AB5" s="126"/>
      <c r="AC5" s="126"/>
      <c r="AD5" s="126"/>
      <c r="AE5" s="127"/>
    </row>
    <row r="6" spans="1:31" ht="107.25" customHeight="1" x14ac:dyDescent="0.25">
      <c r="A6" s="117"/>
      <c r="B6" s="27" t="s">
        <v>32</v>
      </c>
      <c r="C6" s="27" t="s">
        <v>31</v>
      </c>
      <c r="D6" s="27" t="s">
        <v>30</v>
      </c>
      <c r="E6" s="27" t="s">
        <v>29</v>
      </c>
      <c r="F6" s="28" t="s">
        <v>19</v>
      </c>
      <c r="G6" s="28" t="s">
        <v>20</v>
      </c>
      <c r="H6" s="28" t="s">
        <v>21</v>
      </c>
      <c r="I6" s="28" t="s">
        <v>28</v>
      </c>
      <c r="J6" s="134"/>
      <c r="K6" s="135"/>
      <c r="L6" s="135"/>
      <c r="M6" s="135"/>
      <c r="N6" s="136"/>
      <c r="O6" s="29" t="s">
        <v>27</v>
      </c>
      <c r="P6" s="30" t="s">
        <v>26</v>
      </c>
      <c r="Q6" s="31" t="s">
        <v>38</v>
      </c>
      <c r="R6" s="31" t="s">
        <v>80</v>
      </c>
      <c r="S6" s="29" t="s">
        <v>23</v>
      </c>
      <c r="T6" s="29" t="s">
        <v>22</v>
      </c>
      <c r="U6" s="134"/>
      <c r="V6" s="135"/>
      <c r="W6" s="135"/>
      <c r="X6" s="135"/>
      <c r="Y6" s="136"/>
      <c r="Z6" s="29" t="s">
        <v>25</v>
      </c>
      <c r="AA6" s="27" t="s">
        <v>24</v>
      </c>
      <c r="AB6" s="31" t="s">
        <v>38</v>
      </c>
      <c r="AC6" s="31" t="s">
        <v>80</v>
      </c>
      <c r="AD6" s="29" t="s">
        <v>23</v>
      </c>
      <c r="AE6" s="29" t="s">
        <v>22</v>
      </c>
    </row>
    <row r="7" spans="1:31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3"/>
      <c r="G7" s="33"/>
      <c r="H7" s="33"/>
      <c r="I7" s="33"/>
      <c r="J7" s="33" t="s">
        <v>76</v>
      </c>
      <c r="K7" s="34" t="s">
        <v>77</v>
      </c>
      <c r="L7" s="34" t="s">
        <v>78</v>
      </c>
      <c r="M7" s="34" t="s">
        <v>79</v>
      </c>
      <c r="N7" s="35">
        <v>2</v>
      </c>
      <c r="O7" s="36" t="s">
        <v>108</v>
      </c>
      <c r="P7" s="35">
        <v>4</v>
      </c>
      <c r="Q7" s="36" t="s">
        <v>109</v>
      </c>
      <c r="R7" s="36" t="s">
        <v>110</v>
      </c>
      <c r="S7" s="36">
        <v>7</v>
      </c>
      <c r="T7" s="36" t="s">
        <v>111</v>
      </c>
      <c r="U7" s="37"/>
      <c r="V7" s="37"/>
      <c r="W7" s="37"/>
      <c r="X7" s="37"/>
      <c r="Y7" s="35">
        <v>9</v>
      </c>
      <c r="Z7" s="36" t="s">
        <v>112</v>
      </c>
      <c r="AA7" s="32">
        <v>11</v>
      </c>
      <c r="AB7" s="36" t="s">
        <v>113</v>
      </c>
      <c r="AC7" s="36" t="s">
        <v>114</v>
      </c>
      <c r="AD7" s="36">
        <v>14</v>
      </c>
      <c r="AE7" s="36" t="s">
        <v>115</v>
      </c>
    </row>
    <row r="8" spans="1:31" s="52" customFormat="1" x14ac:dyDescent="0.25">
      <c r="A8" s="1" t="s">
        <v>18</v>
      </c>
      <c r="B8" s="38">
        <v>497</v>
      </c>
      <c r="C8" s="38">
        <v>31</v>
      </c>
      <c r="D8" s="38">
        <v>85</v>
      </c>
      <c r="E8" s="39">
        <v>287</v>
      </c>
      <c r="F8" s="40">
        <f>E8*40%</f>
        <v>114.80000000000001</v>
      </c>
      <c r="G8" s="41">
        <f>D8*90%</f>
        <v>76.5</v>
      </c>
      <c r="H8" s="42">
        <f>C8*90%</f>
        <v>27.900000000000002</v>
      </c>
      <c r="I8" s="43">
        <f>B8*70%</f>
        <v>347.9</v>
      </c>
      <c r="J8" s="44">
        <v>115</v>
      </c>
      <c r="K8" s="44">
        <v>77</v>
      </c>
      <c r="L8" s="44">
        <v>28</v>
      </c>
      <c r="M8" s="45">
        <v>348</v>
      </c>
      <c r="N8" s="45">
        <f>M8+L8+K8+J8</f>
        <v>568</v>
      </c>
      <c r="O8" s="46">
        <f>N8*319</f>
        <v>181192</v>
      </c>
      <c r="P8" s="47">
        <v>89</v>
      </c>
      <c r="Q8" s="48">
        <f>S8/O8*100</f>
        <v>88.999514327343363</v>
      </c>
      <c r="R8" s="49">
        <f>O8*P8/100</f>
        <v>161260.88</v>
      </c>
      <c r="S8" s="50">
        <v>161260</v>
      </c>
      <c r="T8" s="45">
        <f>O8-S8</f>
        <v>19932</v>
      </c>
      <c r="U8" s="44">
        <v>115</v>
      </c>
      <c r="V8" s="44">
        <v>77</v>
      </c>
      <c r="W8" s="44">
        <v>28</v>
      </c>
      <c r="X8" s="44">
        <v>448</v>
      </c>
      <c r="Y8" s="45">
        <f t="shared" ref="Y8:Y24" si="0">X8+W8+V8+U8</f>
        <v>668</v>
      </c>
      <c r="Z8" s="46">
        <f>Y8*300</f>
        <v>200400</v>
      </c>
      <c r="AA8" s="47">
        <v>89</v>
      </c>
      <c r="AB8" s="51">
        <f>AD8/Z8*100</f>
        <v>89</v>
      </c>
      <c r="AC8" s="49">
        <f>Z8*AA8/100</f>
        <v>178356</v>
      </c>
      <c r="AD8" s="50">
        <f>AA8*Z8/100</f>
        <v>178356</v>
      </c>
      <c r="AE8" s="45">
        <f>Z8-AD8</f>
        <v>22044</v>
      </c>
    </row>
    <row r="9" spans="1:31" s="52" customFormat="1" x14ac:dyDescent="0.25">
      <c r="A9" s="1" t="s">
        <v>17</v>
      </c>
      <c r="B9" s="38">
        <v>331</v>
      </c>
      <c r="C9" s="38">
        <v>40</v>
      </c>
      <c r="D9" s="38">
        <v>75</v>
      </c>
      <c r="E9" s="39">
        <v>60</v>
      </c>
      <c r="F9" s="40">
        <f t="shared" ref="F9:F24" si="1">E9*40%</f>
        <v>24</v>
      </c>
      <c r="G9" s="41">
        <f t="shared" ref="G9:G24" si="2">D9*90%</f>
        <v>67.5</v>
      </c>
      <c r="H9" s="42">
        <f t="shared" ref="H9:H24" si="3">C9*90%</f>
        <v>36</v>
      </c>
      <c r="I9" s="43">
        <f t="shared" ref="I9:I24" si="4">B9*70%</f>
        <v>231.7</v>
      </c>
      <c r="J9" s="44">
        <v>24</v>
      </c>
      <c r="K9" s="44">
        <v>68</v>
      </c>
      <c r="L9" s="44">
        <v>36</v>
      </c>
      <c r="M9" s="45">
        <v>232</v>
      </c>
      <c r="N9" s="45">
        <f t="shared" ref="N9:N24" si="5">M9+L9+K9+J9</f>
        <v>360</v>
      </c>
      <c r="O9" s="46">
        <f t="shared" ref="O9:O24" si="6">N9*319</f>
        <v>114840</v>
      </c>
      <c r="P9" s="47">
        <v>90</v>
      </c>
      <c r="Q9" s="48">
        <f t="shared" ref="Q9:Q14" si="7">S9/O9*100</f>
        <v>90</v>
      </c>
      <c r="R9" s="49">
        <f>O9*P9/100</f>
        <v>103356</v>
      </c>
      <c r="S9" s="50">
        <v>103356</v>
      </c>
      <c r="T9" s="45">
        <f t="shared" ref="T9:T14" si="8">O9-S9</f>
        <v>11484</v>
      </c>
      <c r="U9" s="44">
        <v>24</v>
      </c>
      <c r="V9" s="44">
        <v>68</v>
      </c>
      <c r="W9" s="44">
        <v>36</v>
      </c>
      <c r="X9" s="44">
        <v>298</v>
      </c>
      <c r="Y9" s="45">
        <f t="shared" si="0"/>
        <v>426</v>
      </c>
      <c r="Z9" s="46">
        <f t="shared" ref="Z9:Z24" si="9">Y9*300</f>
        <v>127800</v>
      </c>
      <c r="AA9" s="47">
        <v>90</v>
      </c>
      <c r="AB9" s="51">
        <f t="shared" ref="AB9:AB14" si="10">AD9/Z9*100</f>
        <v>90</v>
      </c>
      <c r="AC9" s="49">
        <f t="shared" ref="AC9:AC14" si="11">Z9*AA9/100</f>
        <v>115020</v>
      </c>
      <c r="AD9" s="50">
        <f t="shared" ref="AD9:AD14" si="12">AA9*Z9/100</f>
        <v>115020</v>
      </c>
      <c r="AE9" s="45">
        <f t="shared" ref="AE9:AE14" si="13">Z9-AD9</f>
        <v>12780</v>
      </c>
    </row>
    <row r="10" spans="1:31" s="52" customFormat="1" x14ac:dyDescent="0.25">
      <c r="A10" s="1" t="s">
        <v>16</v>
      </c>
      <c r="B10" s="38">
        <v>913</v>
      </c>
      <c r="C10" s="38">
        <v>64</v>
      </c>
      <c r="D10" s="38">
        <v>121</v>
      </c>
      <c r="E10" s="39">
        <v>234</v>
      </c>
      <c r="F10" s="40">
        <f t="shared" si="1"/>
        <v>93.600000000000009</v>
      </c>
      <c r="G10" s="41">
        <f t="shared" si="2"/>
        <v>108.9</v>
      </c>
      <c r="H10" s="42">
        <f t="shared" si="3"/>
        <v>57.6</v>
      </c>
      <c r="I10" s="43">
        <f t="shared" si="4"/>
        <v>639.09999999999991</v>
      </c>
      <c r="J10" s="44">
        <v>94</v>
      </c>
      <c r="K10" s="44">
        <v>109</v>
      </c>
      <c r="L10" s="44">
        <v>58</v>
      </c>
      <c r="M10" s="45">
        <v>640</v>
      </c>
      <c r="N10" s="45">
        <f t="shared" si="5"/>
        <v>901</v>
      </c>
      <c r="O10" s="46">
        <f t="shared" si="6"/>
        <v>287419</v>
      </c>
      <c r="P10" s="47">
        <v>90</v>
      </c>
      <c r="Q10" s="48">
        <f t="shared" si="7"/>
        <v>89.999965207588914</v>
      </c>
      <c r="R10" s="49">
        <f t="shared" ref="R10:R14" si="14">O10*P10/100</f>
        <v>258677.1</v>
      </c>
      <c r="S10" s="50">
        <v>258677</v>
      </c>
      <c r="T10" s="45">
        <f t="shared" si="8"/>
        <v>28742</v>
      </c>
      <c r="U10" s="44">
        <v>94</v>
      </c>
      <c r="V10" s="44">
        <v>109</v>
      </c>
      <c r="W10" s="44">
        <v>58</v>
      </c>
      <c r="X10" s="44">
        <v>822</v>
      </c>
      <c r="Y10" s="45">
        <f t="shared" si="0"/>
        <v>1083</v>
      </c>
      <c r="Z10" s="46">
        <f t="shared" si="9"/>
        <v>324900</v>
      </c>
      <c r="AA10" s="47">
        <v>90</v>
      </c>
      <c r="AB10" s="51">
        <f t="shared" si="10"/>
        <v>90</v>
      </c>
      <c r="AC10" s="49">
        <f t="shared" si="11"/>
        <v>292410</v>
      </c>
      <c r="AD10" s="50">
        <f t="shared" si="12"/>
        <v>292410</v>
      </c>
      <c r="AE10" s="45">
        <f t="shared" si="13"/>
        <v>32490</v>
      </c>
    </row>
    <row r="11" spans="1:31" s="52" customFormat="1" ht="14.25" customHeight="1" x14ac:dyDescent="0.25">
      <c r="A11" s="1" t="s">
        <v>15</v>
      </c>
      <c r="B11" s="38">
        <v>2620</v>
      </c>
      <c r="C11" s="38">
        <v>126</v>
      </c>
      <c r="D11" s="38">
        <v>247</v>
      </c>
      <c r="E11" s="39">
        <v>1637</v>
      </c>
      <c r="F11" s="40">
        <f t="shared" si="1"/>
        <v>654.80000000000007</v>
      </c>
      <c r="G11" s="41">
        <f t="shared" si="2"/>
        <v>222.3</v>
      </c>
      <c r="H11" s="42">
        <f t="shared" si="3"/>
        <v>113.4</v>
      </c>
      <c r="I11" s="43">
        <f t="shared" si="4"/>
        <v>1833.9999999999998</v>
      </c>
      <c r="J11" s="44">
        <v>655</v>
      </c>
      <c r="K11" s="44">
        <v>223</v>
      </c>
      <c r="L11" s="44">
        <v>114</v>
      </c>
      <c r="M11" s="45">
        <v>1834</v>
      </c>
      <c r="N11" s="45">
        <f t="shared" si="5"/>
        <v>2826</v>
      </c>
      <c r="O11" s="46">
        <f t="shared" si="6"/>
        <v>901494</v>
      </c>
      <c r="P11" s="47">
        <v>90</v>
      </c>
      <c r="Q11" s="48">
        <f t="shared" si="7"/>
        <v>89.999933443816587</v>
      </c>
      <c r="R11" s="49">
        <f t="shared" si="14"/>
        <v>811344.6</v>
      </c>
      <c r="S11" s="50">
        <v>811344</v>
      </c>
      <c r="T11" s="45">
        <f t="shared" si="8"/>
        <v>90150</v>
      </c>
      <c r="U11" s="44">
        <v>655</v>
      </c>
      <c r="V11" s="44">
        <v>223</v>
      </c>
      <c r="W11" s="44">
        <v>114</v>
      </c>
      <c r="X11" s="44">
        <v>2358</v>
      </c>
      <c r="Y11" s="45">
        <f t="shared" si="0"/>
        <v>3350</v>
      </c>
      <c r="Z11" s="46">
        <f t="shared" si="9"/>
        <v>1005000</v>
      </c>
      <c r="AA11" s="47">
        <v>90</v>
      </c>
      <c r="AB11" s="51">
        <f t="shared" si="10"/>
        <v>90</v>
      </c>
      <c r="AC11" s="49">
        <f>Z11*AA11/100</f>
        <v>904500</v>
      </c>
      <c r="AD11" s="50">
        <f t="shared" si="12"/>
        <v>904500</v>
      </c>
      <c r="AE11" s="45">
        <f t="shared" si="13"/>
        <v>100500</v>
      </c>
    </row>
    <row r="12" spans="1:31" s="52" customFormat="1" x14ac:dyDescent="0.25">
      <c r="A12" s="1" t="s">
        <v>14</v>
      </c>
      <c r="B12" s="38">
        <v>1654</v>
      </c>
      <c r="C12" s="38">
        <v>134</v>
      </c>
      <c r="D12" s="38">
        <v>643</v>
      </c>
      <c r="E12" s="39">
        <v>731</v>
      </c>
      <c r="F12" s="40">
        <f t="shared" si="1"/>
        <v>292.40000000000003</v>
      </c>
      <c r="G12" s="41">
        <f t="shared" si="2"/>
        <v>578.70000000000005</v>
      </c>
      <c r="H12" s="42">
        <f t="shared" si="3"/>
        <v>120.60000000000001</v>
      </c>
      <c r="I12" s="43">
        <f t="shared" si="4"/>
        <v>1157.8</v>
      </c>
      <c r="J12" s="44">
        <v>293</v>
      </c>
      <c r="K12" s="44">
        <v>579</v>
      </c>
      <c r="L12" s="44">
        <v>121</v>
      </c>
      <c r="M12" s="45">
        <v>1158</v>
      </c>
      <c r="N12" s="45">
        <f t="shared" si="5"/>
        <v>2151</v>
      </c>
      <c r="O12" s="46">
        <f t="shared" si="6"/>
        <v>686169</v>
      </c>
      <c r="P12" s="47">
        <v>88</v>
      </c>
      <c r="Q12" s="48">
        <f t="shared" si="7"/>
        <v>87.999895069581981</v>
      </c>
      <c r="R12" s="49">
        <f t="shared" si="14"/>
        <v>603828.72</v>
      </c>
      <c r="S12" s="50">
        <v>603828</v>
      </c>
      <c r="T12" s="45">
        <f t="shared" si="8"/>
        <v>82341</v>
      </c>
      <c r="U12" s="44">
        <v>293</v>
      </c>
      <c r="V12" s="44">
        <v>579</v>
      </c>
      <c r="W12" s="44">
        <v>121</v>
      </c>
      <c r="X12" s="44">
        <v>1489</v>
      </c>
      <c r="Y12" s="45">
        <f t="shared" si="0"/>
        <v>2482</v>
      </c>
      <c r="Z12" s="46">
        <f t="shared" si="9"/>
        <v>744600</v>
      </c>
      <c r="AA12" s="47">
        <v>89</v>
      </c>
      <c r="AB12" s="51">
        <f t="shared" si="10"/>
        <v>89</v>
      </c>
      <c r="AC12" s="49">
        <f t="shared" si="11"/>
        <v>662694</v>
      </c>
      <c r="AD12" s="50">
        <f t="shared" si="12"/>
        <v>662694</v>
      </c>
      <c r="AE12" s="45">
        <f t="shared" si="13"/>
        <v>81906</v>
      </c>
    </row>
    <row r="13" spans="1:31" s="52" customFormat="1" x14ac:dyDescent="0.25">
      <c r="A13" s="1" t="s">
        <v>13</v>
      </c>
      <c r="B13" s="38">
        <v>2955</v>
      </c>
      <c r="C13" s="38">
        <v>61</v>
      </c>
      <c r="D13" s="38">
        <v>560</v>
      </c>
      <c r="E13" s="39">
        <v>728</v>
      </c>
      <c r="F13" s="40">
        <f t="shared" si="1"/>
        <v>291.2</v>
      </c>
      <c r="G13" s="41">
        <f t="shared" si="2"/>
        <v>504</v>
      </c>
      <c r="H13" s="42">
        <f t="shared" si="3"/>
        <v>54.9</v>
      </c>
      <c r="I13" s="43">
        <f t="shared" si="4"/>
        <v>2068.5</v>
      </c>
      <c r="J13" s="44">
        <v>292</v>
      </c>
      <c r="K13" s="44">
        <v>504</v>
      </c>
      <c r="L13" s="44">
        <v>55</v>
      </c>
      <c r="M13" s="45">
        <v>2067</v>
      </c>
      <c r="N13" s="45">
        <f t="shared" si="5"/>
        <v>2918</v>
      </c>
      <c r="O13" s="46">
        <f>N13*319</f>
        <v>930842</v>
      </c>
      <c r="P13" s="47">
        <v>90</v>
      </c>
      <c r="Q13" s="48">
        <f t="shared" si="7"/>
        <v>89.999914056306011</v>
      </c>
      <c r="R13" s="49">
        <f t="shared" si="14"/>
        <v>837757.8</v>
      </c>
      <c r="S13" s="50">
        <v>837757</v>
      </c>
      <c r="T13" s="45">
        <f t="shared" si="8"/>
        <v>93085</v>
      </c>
      <c r="U13" s="44">
        <v>292</v>
      </c>
      <c r="V13" s="44">
        <v>504</v>
      </c>
      <c r="W13" s="44">
        <v>55</v>
      </c>
      <c r="X13" s="44">
        <v>2660</v>
      </c>
      <c r="Y13" s="45">
        <f t="shared" si="0"/>
        <v>3511</v>
      </c>
      <c r="Z13" s="46">
        <f t="shared" si="9"/>
        <v>1053300</v>
      </c>
      <c r="AA13" s="47">
        <v>87</v>
      </c>
      <c r="AB13" s="51">
        <f t="shared" si="10"/>
        <v>87</v>
      </c>
      <c r="AC13" s="49">
        <f t="shared" si="11"/>
        <v>916371</v>
      </c>
      <c r="AD13" s="50">
        <f t="shared" si="12"/>
        <v>916371</v>
      </c>
      <c r="AE13" s="45">
        <f t="shared" si="13"/>
        <v>136929</v>
      </c>
    </row>
    <row r="14" spans="1:31" s="52" customFormat="1" x14ac:dyDescent="0.25">
      <c r="A14" s="1" t="s">
        <v>12</v>
      </c>
      <c r="B14" s="38">
        <v>765</v>
      </c>
      <c r="C14" s="38">
        <v>17</v>
      </c>
      <c r="D14" s="38">
        <v>165</v>
      </c>
      <c r="E14" s="39">
        <v>530</v>
      </c>
      <c r="F14" s="40">
        <f t="shared" si="1"/>
        <v>212</v>
      </c>
      <c r="G14" s="41">
        <f t="shared" si="2"/>
        <v>148.5</v>
      </c>
      <c r="H14" s="42">
        <f t="shared" si="3"/>
        <v>15.3</v>
      </c>
      <c r="I14" s="43">
        <f t="shared" si="4"/>
        <v>535.5</v>
      </c>
      <c r="J14" s="44">
        <v>212</v>
      </c>
      <c r="K14" s="44">
        <v>149</v>
      </c>
      <c r="L14" s="44">
        <v>16</v>
      </c>
      <c r="M14" s="45">
        <v>536</v>
      </c>
      <c r="N14" s="45">
        <f t="shared" si="5"/>
        <v>913</v>
      </c>
      <c r="O14" s="46">
        <f t="shared" si="6"/>
        <v>291247</v>
      </c>
      <c r="P14" s="47">
        <v>88</v>
      </c>
      <c r="Q14" s="48">
        <f t="shared" si="7"/>
        <v>87.999876393576585</v>
      </c>
      <c r="R14" s="49">
        <f t="shared" si="14"/>
        <v>256297.36</v>
      </c>
      <c r="S14" s="50">
        <v>256297</v>
      </c>
      <c r="T14" s="45">
        <f t="shared" si="8"/>
        <v>34950</v>
      </c>
      <c r="U14" s="44">
        <v>212</v>
      </c>
      <c r="V14" s="44">
        <v>149</v>
      </c>
      <c r="W14" s="44">
        <v>16</v>
      </c>
      <c r="X14" s="44">
        <v>689</v>
      </c>
      <c r="Y14" s="45">
        <f t="shared" si="0"/>
        <v>1066</v>
      </c>
      <c r="Z14" s="46">
        <f t="shared" si="9"/>
        <v>319800</v>
      </c>
      <c r="AA14" s="47">
        <v>89</v>
      </c>
      <c r="AB14" s="51">
        <f t="shared" si="10"/>
        <v>89</v>
      </c>
      <c r="AC14" s="49">
        <f t="shared" si="11"/>
        <v>284622</v>
      </c>
      <c r="AD14" s="50">
        <f t="shared" si="12"/>
        <v>284622</v>
      </c>
      <c r="AE14" s="45">
        <f t="shared" si="13"/>
        <v>35178</v>
      </c>
    </row>
    <row r="15" spans="1:31" s="52" customFormat="1" x14ac:dyDescent="0.25">
      <c r="A15" s="2" t="s">
        <v>11</v>
      </c>
      <c r="B15" s="38">
        <v>830</v>
      </c>
      <c r="C15" s="38">
        <v>16</v>
      </c>
      <c r="D15" s="38">
        <v>241</v>
      </c>
      <c r="E15" s="39">
        <v>351</v>
      </c>
      <c r="F15" s="40"/>
      <c r="G15" s="41"/>
      <c r="H15" s="42"/>
      <c r="I15" s="43"/>
      <c r="J15" s="116" t="s">
        <v>37</v>
      </c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</row>
    <row r="16" spans="1:31" s="52" customFormat="1" x14ac:dyDescent="0.25">
      <c r="A16" s="1" t="s">
        <v>10</v>
      </c>
      <c r="B16" s="38">
        <v>781</v>
      </c>
      <c r="C16" s="38">
        <v>27</v>
      </c>
      <c r="D16" s="38">
        <v>223</v>
      </c>
      <c r="E16" s="39">
        <v>302</v>
      </c>
      <c r="F16" s="40">
        <f t="shared" si="1"/>
        <v>120.80000000000001</v>
      </c>
      <c r="G16" s="41">
        <f t="shared" si="2"/>
        <v>200.70000000000002</v>
      </c>
      <c r="H16" s="42">
        <f t="shared" si="3"/>
        <v>24.3</v>
      </c>
      <c r="I16" s="43">
        <f t="shared" si="4"/>
        <v>546.69999999999993</v>
      </c>
      <c r="J16" s="44">
        <v>121</v>
      </c>
      <c r="K16" s="44">
        <v>201</v>
      </c>
      <c r="L16" s="44">
        <v>25</v>
      </c>
      <c r="M16" s="45">
        <v>567</v>
      </c>
      <c r="N16" s="45">
        <f t="shared" si="5"/>
        <v>914</v>
      </c>
      <c r="O16" s="46">
        <f t="shared" si="6"/>
        <v>291566</v>
      </c>
      <c r="P16" s="47">
        <v>90</v>
      </c>
      <c r="Q16" s="48">
        <f t="shared" ref="Q16:Q24" si="15">S16/O16*100</f>
        <v>89.999862809792646</v>
      </c>
      <c r="R16" s="49">
        <f>O16*P16/100</f>
        <v>262409.40000000002</v>
      </c>
      <c r="S16" s="50">
        <v>262409</v>
      </c>
      <c r="T16" s="45">
        <f t="shared" ref="T16:T24" si="16">O16-S16</f>
        <v>29157</v>
      </c>
      <c r="U16" s="44">
        <v>121</v>
      </c>
      <c r="V16" s="44">
        <v>201</v>
      </c>
      <c r="W16" s="44">
        <v>25</v>
      </c>
      <c r="X16" s="44">
        <v>703</v>
      </c>
      <c r="Y16" s="45">
        <f t="shared" si="0"/>
        <v>1050</v>
      </c>
      <c r="Z16" s="46">
        <f t="shared" si="9"/>
        <v>315000</v>
      </c>
      <c r="AA16" s="47">
        <v>90</v>
      </c>
      <c r="AB16" s="51">
        <f>AD16/Z16*100</f>
        <v>90</v>
      </c>
      <c r="AC16" s="49">
        <f>Z16*AA16/100</f>
        <v>283500</v>
      </c>
      <c r="AD16" s="50">
        <f t="shared" ref="AD16:AD24" si="17">AA16*Z16/100</f>
        <v>283500</v>
      </c>
      <c r="AE16" s="45">
        <f t="shared" ref="AE16:AE24" si="18">Z16-AD16</f>
        <v>31500</v>
      </c>
    </row>
    <row r="17" spans="1:31" s="52" customFormat="1" ht="19.5" customHeight="1" x14ac:dyDescent="0.25">
      <c r="A17" s="1" t="s">
        <v>9</v>
      </c>
      <c r="B17" s="38">
        <v>467</v>
      </c>
      <c r="C17" s="38">
        <v>17</v>
      </c>
      <c r="D17" s="38">
        <v>102</v>
      </c>
      <c r="E17" s="39">
        <v>372</v>
      </c>
      <c r="F17" s="40">
        <f t="shared" si="1"/>
        <v>148.80000000000001</v>
      </c>
      <c r="G17" s="41">
        <f t="shared" si="2"/>
        <v>91.8</v>
      </c>
      <c r="H17" s="42">
        <f t="shared" si="3"/>
        <v>15.3</v>
      </c>
      <c r="I17" s="43">
        <f t="shared" si="4"/>
        <v>326.89999999999998</v>
      </c>
      <c r="J17" s="44">
        <v>149</v>
      </c>
      <c r="K17" s="44">
        <v>92</v>
      </c>
      <c r="L17" s="44">
        <v>16</v>
      </c>
      <c r="M17" s="45">
        <v>327</v>
      </c>
      <c r="N17" s="45">
        <f t="shared" si="5"/>
        <v>584</v>
      </c>
      <c r="O17" s="46">
        <f t="shared" si="6"/>
        <v>186296</v>
      </c>
      <c r="P17" s="47">
        <v>90</v>
      </c>
      <c r="Q17" s="48">
        <f t="shared" si="15"/>
        <v>89.999785287928887</v>
      </c>
      <c r="R17" s="49">
        <f t="shared" ref="R17:R24" si="19">O17*P17/100</f>
        <v>167666.4</v>
      </c>
      <c r="S17" s="50">
        <v>167666</v>
      </c>
      <c r="T17" s="45">
        <f t="shared" si="16"/>
        <v>18630</v>
      </c>
      <c r="U17" s="44">
        <v>149</v>
      </c>
      <c r="V17" s="44">
        <v>92</v>
      </c>
      <c r="W17" s="44">
        <v>16</v>
      </c>
      <c r="X17" s="44">
        <v>421</v>
      </c>
      <c r="Y17" s="45">
        <f t="shared" si="0"/>
        <v>678</v>
      </c>
      <c r="Z17" s="46">
        <f t="shared" si="9"/>
        <v>203400</v>
      </c>
      <c r="AA17" s="47">
        <v>90</v>
      </c>
      <c r="AB17" s="51">
        <f t="shared" ref="AB17:AB24" si="20">AD17/Z17*100</f>
        <v>90</v>
      </c>
      <c r="AC17" s="49">
        <f t="shared" ref="AC17:AC24" si="21">Z17*AA17/100</f>
        <v>183060</v>
      </c>
      <c r="AD17" s="50">
        <f t="shared" si="17"/>
        <v>183060</v>
      </c>
      <c r="AE17" s="45">
        <f t="shared" si="18"/>
        <v>20340</v>
      </c>
    </row>
    <row r="18" spans="1:31" s="52" customFormat="1" x14ac:dyDescent="0.25">
      <c r="A18" s="1" t="s">
        <v>8</v>
      </c>
      <c r="B18" s="38">
        <v>415</v>
      </c>
      <c r="C18" s="38">
        <v>19</v>
      </c>
      <c r="D18" s="38">
        <v>114</v>
      </c>
      <c r="E18" s="39">
        <v>299</v>
      </c>
      <c r="F18" s="40">
        <f t="shared" si="1"/>
        <v>119.60000000000001</v>
      </c>
      <c r="G18" s="41">
        <f t="shared" si="2"/>
        <v>102.60000000000001</v>
      </c>
      <c r="H18" s="42">
        <f t="shared" si="3"/>
        <v>17.100000000000001</v>
      </c>
      <c r="I18" s="43">
        <f t="shared" si="4"/>
        <v>290.5</v>
      </c>
      <c r="J18" s="44">
        <v>120</v>
      </c>
      <c r="K18" s="44">
        <v>103</v>
      </c>
      <c r="L18" s="44">
        <v>18</v>
      </c>
      <c r="M18" s="45">
        <v>291</v>
      </c>
      <c r="N18" s="45">
        <f t="shared" si="5"/>
        <v>532</v>
      </c>
      <c r="O18" s="46">
        <f t="shared" si="6"/>
        <v>169708</v>
      </c>
      <c r="P18" s="47">
        <v>89</v>
      </c>
      <c r="Q18" s="48">
        <f t="shared" si="15"/>
        <v>88.999929290310419</v>
      </c>
      <c r="R18" s="49">
        <f t="shared" si="19"/>
        <v>151040.12</v>
      </c>
      <c r="S18" s="50">
        <v>151040</v>
      </c>
      <c r="T18" s="45">
        <f t="shared" si="16"/>
        <v>18668</v>
      </c>
      <c r="U18" s="44">
        <v>120</v>
      </c>
      <c r="V18" s="44">
        <v>103</v>
      </c>
      <c r="W18" s="44">
        <v>18</v>
      </c>
      <c r="X18" s="44">
        <v>374</v>
      </c>
      <c r="Y18" s="45">
        <f t="shared" si="0"/>
        <v>615</v>
      </c>
      <c r="Z18" s="46">
        <f t="shared" si="9"/>
        <v>184500</v>
      </c>
      <c r="AA18" s="47">
        <v>89</v>
      </c>
      <c r="AB18" s="51">
        <f t="shared" si="20"/>
        <v>89</v>
      </c>
      <c r="AC18" s="49">
        <f t="shared" si="21"/>
        <v>164205</v>
      </c>
      <c r="AD18" s="50">
        <f t="shared" si="17"/>
        <v>164205</v>
      </c>
      <c r="AE18" s="45">
        <f t="shared" si="18"/>
        <v>20295</v>
      </c>
    </row>
    <row r="19" spans="1:31" s="52" customFormat="1" x14ac:dyDescent="0.25">
      <c r="A19" s="1" t="s">
        <v>7</v>
      </c>
      <c r="B19" s="38">
        <v>569</v>
      </c>
      <c r="C19" s="38">
        <v>53</v>
      </c>
      <c r="D19" s="38">
        <v>129</v>
      </c>
      <c r="E19" s="39">
        <v>387</v>
      </c>
      <c r="F19" s="40">
        <f t="shared" si="1"/>
        <v>154.80000000000001</v>
      </c>
      <c r="G19" s="41">
        <f t="shared" si="2"/>
        <v>116.10000000000001</v>
      </c>
      <c r="H19" s="42">
        <f t="shared" si="3"/>
        <v>47.7</v>
      </c>
      <c r="I19" s="43">
        <f t="shared" si="4"/>
        <v>398.29999999999995</v>
      </c>
      <c r="J19" s="44">
        <v>155</v>
      </c>
      <c r="K19" s="44">
        <v>117</v>
      </c>
      <c r="L19" s="44">
        <v>48</v>
      </c>
      <c r="M19" s="45">
        <v>399</v>
      </c>
      <c r="N19" s="45">
        <f t="shared" si="5"/>
        <v>719</v>
      </c>
      <c r="O19" s="46">
        <f t="shared" si="6"/>
        <v>229361</v>
      </c>
      <c r="P19" s="47">
        <v>91</v>
      </c>
      <c r="Q19" s="48">
        <f t="shared" si="15"/>
        <v>90.99977764310411</v>
      </c>
      <c r="R19" s="49">
        <f t="shared" si="19"/>
        <v>208718.51</v>
      </c>
      <c r="S19" s="50">
        <v>208718</v>
      </c>
      <c r="T19" s="45">
        <f t="shared" si="16"/>
        <v>20643</v>
      </c>
      <c r="U19" s="44">
        <v>155</v>
      </c>
      <c r="V19" s="44">
        <v>117</v>
      </c>
      <c r="W19" s="44">
        <v>48</v>
      </c>
      <c r="X19" s="44">
        <v>513</v>
      </c>
      <c r="Y19" s="45">
        <f t="shared" si="0"/>
        <v>833</v>
      </c>
      <c r="Z19" s="46">
        <f t="shared" si="9"/>
        <v>249900</v>
      </c>
      <c r="AA19" s="47">
        <v>90</v>
      </c>
      <c r="AB19" s="51">
        <f t="shared" si="20"/>
        <v>90</v>
      </c>
      <c r="AC19" s="49">
        <f t="shared" si="21"/>
        <v>224910</v>
      </c>
      <c r="AD19" s="50">
        <f t="shared" si="17"/>
        <v>224910</v>
      </c>
      <c r="AE19" s="45">
        <f t="shared" si="18"/>
        <v>24990</v>
      </c>
    </row>
    <row r="20" spans="1:31" s="52" customFormat="1" x14ac:dyDescent="0.25">
      <c r="A20" s="1" t="s">
        <v>6</v>
      </c>
      <c r="B20" s="38">
        <v>241</v>
      </c>
      <c r="C20" s="38">
        <v>20</v>
      </c>
      <c r="D20" s="38">
        <v>52</v>
      </c>
      <c r="E20" s="39">
        <v>163</v>
      </c>
      <c r="F20" s="40">
        <f t="shared" si="1"/>
        <v>65.2</v>
      </c>
      <c r="G20" s="41">
        <f t="shared" si="2"/>
        <v>46.800000000000004</v>
      </c>
      <c r="H20" s="42">
        <f t="shared" si="3"/>
        <v>18</v>
      </c>
      <c r="I20" s="43">
        <f t="shared" si="4"/>
        <v>168.7</v>
      </c>
      <c r="J20" s="44">
        <v>66</v>
      </c>
      <c r="K20" s="44">
        <v>47</v>
      </c>
      <c r="L20" s="44">
        <v>18</v>
      </c>
      <c r="M20" s="45">
        <v>169</v>
      </c>
      <c r="N20" s="45">
        <f t="shared" si="5"/>
        <v>300</v>
      </c>
      <c r="O20" s="46">
        <f t="shared" si="6"/>
        <v>95700</v>
      </c>
      <c r="P20" s="47">
        <v>90</v>
      </c>
      <c r="Q20" s="48">
        <f t="shared" si="15"/>
        <v>90</v>
      </c>
      <c r="R20" s="49">
        <f t="shared" si="19"/>
        <v>86130</v>
      </c>
      <c r="S20" s="50">
        <v>86130</v>
      </c>
      <c r="T20" s="45">
        <f t="shared" si="16"/>
        <v>9570</v>
      </c>
      <c r="U20" s="44">
        <v>66</v>
      </c>
      <c r="V20" s="44">
        <v>47</v>
      </c>
      <c r="W20" s="44">
        <v>18</v>
      </c>
      <c r="X20" s="44">
        <v>217</v>
      </c>
      <c r="Y20" s="45">
        <f t="shared" si="0"/>
        <v>348</v>
      </c>
      <c r="Z20" s="46">
        <f t="shared" si="9"/>
        <v>104400</v>
      </c>
      <c r="AA20" s="47">
        <v>90</v>
      </c>
      <c r="AB20" s="51">
        <f t="shared" si="20"/>
        <v>90</v>
      </c>
      <c r="AC20" s="49">
        <f t="shared" si="21"/>
        <v>93960</v>
      </c>
      <c r="AD20" s="50">
        <f t="shared" si="17"/>
        <v>93960</v>
      </c>
      <c r="AE20" s="45">
        <f t="shared" si="18"/>
        <v>10440</v>
      </c>
    </row>
    <row r="21" spans="1:31" s="52" customFormat="1" ht="15.75" customHeight="1" x14ac:dyDescent="0.25">
      <c r="A21" s="1" t="s">
        <v>5</v>
      </c>
      <c r="B21" s="38">
        <v>1326</v>
      </c>
      <c r="C21" s="38">
        <v>36</v>
      </c>
      <c r="D21" s="38">
        <v>116</v>
      </c>
      <c r="E21" s="39">
        <v>236</v>
      </c>
      <c r="F21" s="40">
        <f t="shared" si="1"/>
        <v>94.4</v>
      </c>
      <c r="G21" s="41">
        <f t="shared" si="2"/>
        <v>104.4</v>
      </c>
      <c r="H21" s="42">
        <f t="shared" si="3"/>
        <v>32.4</v>
      </c>
      <c r="I21" s="43">
        <f t="shared" si="4"/>
        <v>928.19999999999993</v>
      </c>
      <c r="J21" s="44">
        <v>95</v>
      </c>
      <c r="K21" s="44">
        <v>105</v>
      </c>
      <c r="L21" s="44">
        <v>33</v>
      </c>
      <c r="M21" s="45">
        <v>929</v>
      </c>
      <c r="N21" s="45">
        <f t="shared" si="5"/>
        <v>1162</v>
      </c>
      <c r="O21" s="46">
        <f t="shared" si="6"/>
        <v>370678</v>
      </c>
      <c r="P21" s="47">
        <v>90</v>
      </c>
      <c r="Q21" s="48">
        <f t="shared" si="15"/>
        <v>89.999946044815175</v>
      </c>
      <c r="R21" s="49">
        <f t="shared" si="19"/>
        <v>333610.2</v>
      </c>
      <c r="S21" s="50">
        <v>333610</v>
      </c>
      <c r="T21" s="45">
        <f t="shared" si="16"/>
        <v>37068</v>
      </c>
      <c r="U21" s="44">
        <v>95</v>
      </c>
      <c r="V21" s="44">
        <v>105</v>
      </c>
      <c r="W21" s="44">
        <v>33</v>
      </c>
      <c r="X21" s="44">
        <v>1194</v>
      </c>
      <c r="Y21" s="45">
        <f t="shared" si="0"/>
        <v>1427</v>
      </c>
      <c r="Z21" s="46">
        <f t="shared" si="9"/>
        <v>428100</v>
      </c>
      <c r="AA21" s="47">
        <v>89</v>
      </c>
      <c r="AB21" s="51">
        <f t="shared" si="20"/>
        <v>89</v>
      </c>
      <c r="AC21" s="49">
        <f t="shared" si="21"/>
        <v>381009</v>
      </c>
      <c r="AD21" s="50">
        <f t="shared" si="17"/>
        <v>381009</v>
      </c>
      <c r="AE21" s="45">
        <f t="shared" si="18"/>
        <v>47091</v>
      </c>
    </row>
    <row r="22" spans="1:31" s="52" customFormat="1" x14ac:dyDescent="0.25">
      <c r="A22" s="1" t="s">
        <v>4</v>
      </c>
      <c r="B22" s="38">
        <v>214</v>
      </c>
      <c r="C22" s="38">
        <v>12</v>
      </c>
      <c r="D22" s="38">
        <v>79</v>
      </c>
      <c r="E22" s="39">
        <v>289</v>
      </c>
      <c r="F22" s="40">
        <f t="shared" si="1"/>
        <v>115.60000000000001</v>
      </c>
      <c r="G22" s="41">
        <f t="shared" si="2"/>
        <v>71.100000000000009</v>
      </c>
      <c r="H22" s="42">
        <f t="shared" si="3"/>
        <v>10.8</v>
      </c>
      <c r="I22" s="43">
        <f t="shared" si="4"/>
        <v>149.79999999999998</v>
      </c>
      <c r="J22" s="44">
        <v>116</v>
      </c>
      <c r="K22" s="44">
        <v>72</v>
      </c>
      <c r="L22" s="44">
        <v>11</v>
      </c>
      <c r="M22" s="45">
        <v>150</v>
      </c>
      <c r="N22" s="45">
        <f t="shared" si="5"/>
        <v>349</v>
      </c>
      <c r="O22" s="46">
        <f t="shared" si="6"/>
        <v>111331</v>
      </c>
      <c r="P22" s="47">
        <v>88</v>
      </c>
      <c r="Q22" s="48">
        <f t="shared" si="15"/>
        <v>87.999748497723004</v>
      </c>
      <c r="R22" s="49">
        <f t="shared" si="19"/>
        <v>97971.28</v>
      </c>
      <c r="S22" s="50">
        <v>97971</v>
      </c>
      <c r="T22" s="45">
        <f t="shared" si="16"/>
        <v>13360</v>
      </c>
      <c r="U22" s="44">
        <v>116</v>
      </c>
      <c r="V22" s="44">
        <v>72</v>
      </c>
      <c r="W22" s="44">
        <v>11</v>
      </c>
      <c r="X22" s="44">
        <v>193</v>
      </c>
      <c r="Y22" s="45">
        <f t="shared" si="0"/>
        <v>392</v>
      </c>
      <c r="Z22" s="46">
        <f t="shared" si="9"/>
        <v>117600</v>
      </c>
      <c r="AA22" s="47">
        <v>90</v>
      </c>
      <c r="AB22" s="51">
        <f t="shared" si="20"/>
        <v>90</v>
      </c>
      <c r="AC22" s="49">
        <f t="shared" si="21"/>
        <v>105840</v>
      </c>
      <c r="AD22" s="50">
        <f t="shared" si="17"/>
        <v>105840</v>
      </c>
      <c r="AE22" s="45">
        <f t="shared" si="18"/>
        <v>11760</v>
      </c>
    </row>
    <row r="23" spans="1:31" s="52" customFormat="1" x14ac:dyDescent="0.25">
      <c r="A23" s="1" t="s">
        <v>3</v>
      </c>
      <c r="B23" s="38">
        <v>951</v>
      </c>
      <c r="C23" s="38">
        <v>47</v>
      </c>
      <c r="D23" s="38">
        <v>137</v>
      </c>
      <c r="E23" s="39">
        <v>202</v>
      </c>
      <c r="F23" s="40">
        <f t="shared" si="1"/>
        <v>80.800000000000011</v>
      </c>
      <c r="G23" s="41">
        <f t="shared" si="2"/>
        <v>123.3</v>
      </c>
      <c r="H23" s="42">
        <f t="shared" si="3"/>
        <v>42.300000000000004</v>
      </c>
      <c r="I23" s="43">
        <f t="shared" si="4"/>
        <v>665.69999999999993</v>
      </c>
      <c r="J23" s="44">
        <v>81</v>
      </c>
      <c r="K23" s="44">
        <v>124</v>
      </c>
      <c r="L23" s="44">
        <v>43</v>
      </c>
      <c r="M23" s="45">
        <v>666</v>
      </c>
      <c r="N23" s="45">
        <f t="shared" si="5"/>
        <v>914</v>
      </c>
      <c r="O23" s="46">
        <f t="shared" si="6"/>
        <v>291566</v>
      </c>
      <c r="P23" s="47">
        <v>91</v>
      </c>
      <c r="Q23" s="48">
        <f t="shared" si="15"/>
        <v>90.999979421468893</v>
      </c>
      <c r="R23" s="49">
        <f t="shared" si="19"/>
        <v>265325.06</v>
      </c>
      <c r="S23" s="50">
        <v>265325</v>
      </c>
      <c r="T23" s="45">
        <f t="shared" si="16"/>
        <v>26241</v>
      </c>
      <c r="U23" s="44">
        <v>81</v>
      </c>
      <c r="V23" s="44">
        <v>124</v>
      </c>
      <c r="W23" s="44">
        <v>43</v>
      </c>
      <c r="X23" s="44">
        <v>856</v>
      </c>
      <c r="Y23" s="45">
        <f t="shared" si="0"/>
        <v>1104</v>
      </c>
      <c r="Z23" s="46">
        <f t="shared" si="9"/>
        <v>331200</v>
      </c>
      <c r="AA23" s="47">
        <v>90</v>
      </c>
      <c r="AB23" s="51">
        <f t="shared" si="20"/>
        <v>90</v>
      </c>
      <c r="AC23" s="49">
        <f t="shared" si="21"/>
        <v>298080</v>
      </c>
      <c r="AD23" s="50">
        <f t="shared" si="17"/>
        <v>298080</v>
      </c>
      <c r="AE23" s="45">
        <f t="shared" si="18"/>
        <v>33120</v>
      </c>
    </row>
    <row r="24" spans="1:31" s="52" customFormat="1" x14ac:dyDescent="0.25">
      <c r="A24" s="1" t="s">
        <v>2</v>
      </c>
      <c r="B24" s="38">
        <v>932</v>
      </c>
      <c r="C24" s="38">
        <v>109</v>
      </c>
      <c r="D24" s="38">
        <v>152</v>
      </c>
      <c r="E24" s="39">
        <v>329</v>
      </c>
      <c r="F24" s="40">
        <f t="shared" si="1"/>
        <v>131.6</v>
      </c>
      <c r="G24" s="41">
        <f t="shared" si="2"/>
        <v>136.80000000000001</v>
      </c>
      <c r="H24" s="42">
        <f t="shared" si="3"/>
        <v>98.100000000000009</v>
      </c>
      <c r="I24" s="43">
        <f t="shared" si="4"/>
        <v>652.4</v>
      </c>
      <c r="J24" s="44">
        <v>132</v>
      </c>
      <c r="K24" s="44">
        <v>137</v>
      </c>
      <c r="L24" s="44">
        <v>99</v>
      </c>
      <c r="M24" s="45">
        <v>653</v>
      </c>
      <c r="N24" s="45">
        <f t="shared" si="5"/>
        <v>1021</v>
      </c>
      <c r="O24" s="46">
        <f t="shared" si="6"/>
        <v>325699</v>
      </c>
      <c r="P24" s="47">
        <v>90</v>
      </c>
      <c r="Q24" s="48">
        <f t="shared" si="15"/>
        <v>89.999969296804721</v>
      </c>
      <c r="R24" s="49">
        <f t="shared" si="19"/>
        <v>293129.09999999998</v>
      </c>
      <c r="S24" s="50">
        <v>293129</v>
      </c>
      <c r="T24" s="45">
        <f t="shared" si="16"/>
        <v>32570</v>
      </c>
      <c r="U24" s="44">
        <v>132</v>
      </c>
      <c r="V24" s="44">
        <v>137</v>
      </c>
      <c r="W24" s="44">
        <v>99</v>
      </c>
      <c r="X24" s="44">
        <v>839</v>
      </c>
      <c r="Y24" s="45">
        <f t="shared" si="0"/>
        <v>1207</v>
      </c>
      <c r="Z24" s="46">
        <f t="shared" si="9"/>
        <v>362100</v>
      </c>
      <c r="AA24" s="47">
        <v>90</v>
      </c>
      <c r="AB24" s="51">
        <f t="shared" si="20"/>
        <v>90</v>
      </c>
      <c r="AC24" s="49">
        <f t="shared" si="21"/>
        <v>325890</v>
      </c>
      <c r="AD24" s="50">
        <f t="shared" si="17"/>
        <v>325890</v>
      </c>
      <c r="AE24" s="45">
        <f t="shared" si="18"/>
        <v>36210</v>
      </c>
    </row>
    <row r="25" spans="1:31" s="52" customFormat="1" x14ac:dyDescent="0.25">
      <c r="A25" s="2" t="s">
        <v>1</v>
      </c>
      <c r="B25" s="38">
        <v>379</v>
      </c>
      <c r="C25" s="38">
        <v>37</v>
      </c>
      <c r="D25" s="38">
        <v>129</v>
      </c>
      <c r="E25" s="39">
        <v>383</v>
      </c>
      <c r="F25" s="40"/>
      <c r="G25" s="40"/>
      <c r="H25" s="40"/>
      <c r="I25" s="40"/>
      <c r="J25" s="115" t="s">
        <v>37</v>
      </c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6" spans="1:31" s="52" customFormat="1" x14ac:dyDescent="0.25">
      <c r="A26" s="53" t="s">
        <v>0</v>
      </c>
      <c r="B26" s="54">
        <f t="shared" ref="B26:I26" si="22">SUM(B8:B25)</f>
        <v>16840</v>
      </c>
      <c r="C26" s="54">
        <f t="shared" si="22"/>
        <v>866</v>
      </c>
      <c r="D26" s="54">
        <f t="shared" si="22"/>
        <v>3370</v>
      </c>
      <c r="E26" s="54">
        <f t="shared" si="22"/>
        <v>7520</v>
      </c>
      <c r="F26" s="54">
        <f t="shared" si="22"/>
        <v>2714.4</v>
      </c>
      <c r="G26" s="54">
        <f t="shared" si="22"/>
        <v>2700.0000000000005</v>
      </c>
      <c r="H26" s="54">
        <f t="shared" si="22"/>
        <v>731.69999999999993</v>
      </c>
      <c r="I26" s="54">
        <f t="shared" si="22"/>
        <v>10941.7</v>
      </c>
      <c r="J26" s="55">
        <f>SUM(J8:J14,J16:J24)</f>
        <v>2720</v>
      </c>
      <c r="K26" s="55">
        <f t="shared" ref="K26:AE26" si="23">SUM(K8:K14,K16:K24)</f>
        <v>2707</v>
      </c>
      <c r="L26" s="55">
        <f t="shared" si="23"/>
        <v>739</v>
      </c>
      <c r="M26" s="55">
        <f t="shared" si="23"/>
        <v>10966</v>
      </c>
      <c r="N26" s="55">
        <f t="shared" si="23"/>
        <v>17132</v>
      </c>
      <c r="O26" s="54">
        <f t="shared" si="23"/>
        <v>5465108</v>
      </c>
      <c r="P26" s="54"/>
      <c r="Q26" s="54"/>
      <c r="R26" s="56">
        <f>R8+R9+R10+R11+R12+R13+R14+R16+R17+R18+R19+R20+R21+R22+R23+R24</f>
        <v>4898522.5299999993</v>
      </c>
      <c r="S26" s="50">
        <f t="shared" si="23"/>
        <v>4898517</v>
      </c>
      <c r="T26" s="57">
        <f t="shared" si="23"/>
        <v>566591</v>
      </c>
      <c r="U26" s="55">
        <f t="shared" si="23"/>
        <v>2720</v>
      </c>
      <c r="V26" s="55">
        <f t="shared" si="23"/>
        <v>2707</v>
      </c>
      <c r="W26" s="55">
        <f t="shared" si="23"/>
        <v>739</v>
      </c>
      <c r="X26" s="55">
        <f t="shared" si="23"/>
        <v>14074</v>
      </c>
      <c r="Y26" s="55">
        <f t="shared" si="23"/>
        <v>20240</v>
      </c>
      <c r="Z26" s="58">
        <f>SUM(Z8:Z14,Z16:Z24)</f>
        <v>6072000</v>
      </c>
      <c r="AA26" s="59"/>
      <c r="AB26" s="54"/>
      <c r="AC26" s="56">
        <f>AC8+AC9+AC10+AC11+AC12+AC13+AC14+AC16+AC17+AC18+AC19+AC20+AC21+AC22+AC23+AC24</f>
        <v>5414427</v>
      </c>
      <c r="AD26" s="50">
        <f t="shared" si="23"/>
        <v>5414427</v>
      </c>
      <c r="AE26" s="57">
        <f t="shared" si="23"/>
        <v>657573</v>
      </c>
    </row>
    <row r="28" spans="1:31" hidden="1" x14ac:dyDescent="0.25"/>
    <row r="29" spans="1:31" hidden="1" x14ac:dyDescent="0.25"/>
    <row r="30" spans="1:31" x14ac:dyDescent="0.25"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</row>
    <row r="31" spans="1:31" x14ac:dyDescent="0.25">
      <c r="A31" s="63"/>
      <c r="B31" s="64"/>
      <c r="C31" s="64"/>
      <c r="D31" s="64"/>
      <c r="E31" s="64"/>
      <c r="F31" s="64"/>
      <c r="G31" s="64"/>
      <c r="H31" s="64"/>
      <c r="I31" s="64"/>
      <c r="J31" s="64"/>
      <c r="K31" s="64"/>
    </row>
    <row r="32" spans="1:31" x14ac:dyDescent="0.25">
      <c r="A32" s="63"/>
      <c r="B32" s="64"/>
      <c r="C32" s="64"/>
      <c r="D32" s="64"/>
      <c r="E32" s="64"/>
      <c r="F32" s="64"/>
      <c r="G32" s="64"/>
      <c r="H32" s="64"/>
      <c r="I32" s="64"/>
      <c r="J32" s="64"/>
      <c r="K32" s="64"/>
    </row>
    <row r="33" spans="1:15" x14ac:dyDescent="0.25">
      <c r="A33" s="65"/>
      <c r="B33" s="66"/>
      <c r="C33" s="66"/>
      <c r="D33" s="66"/>
      <c r="E33" s="67"/>
      <c r="F33" s="64"/>
      <c r="G33" s="64"/>
      <c r="H33" s="64"/>
      <c r="I33" s="64"/>
      <c r="J33" s="64"/>
      <c r="K33" s="64"/>
    </row>
    <row r="34" spans="1:15" x14ac:dyDescent="0.25">
      <c r="A34" s="65"/>
      <c r="B34" s="66"/>
      <c r="C34" s="66"/>
      <c r="D34" s="66"/>
      <c r="E34" s="67"/>
      <c r="F34" s="64"/>
      <c r="G34" s="64"/>
      <c r="H34" s="64"/>
      <c r="I34" s="64"/>
      <c r="J34" s="64"/>
      <c r="K34" s="64"/>
    </row>
    <row r="35" spans="1:15" x14ac:dyDescent="0.25">
      <c r="A35" s="65"/>
      <c r="B35" s="66"/>
      <c r="C35" s="66"/>
      <c r="D35" s="66"/>
      <c r="E35" s="67"/>
      <c r="F35" s="64"/>
      <c r="G35" s="64"/>
      <c r="H35" s="64"/>
      <c r="I35" s="64"/>
      <c r="J35" s="64"/>
      <c r="K35" s="64"/>
      <c r="O35" s="24" t="s">
        <v>119</v>
      </c>
    </row>
    <row r="36" spans="1:15" x14ac:dyDescent="0.25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5" x14ac:dyDescent="0.25">
      <c r="A37" s="68"/>
      <c r="B37" s="64"/>
      <c r="C37" s="64"/>
      <c r="D37" s="64"/>
      <c r="E37" s="64"/>
      <c r="F37" s="64"/>
      <c r="G37" s="64"/>
      <c r="H37" s="64"/>
      <c r="I37" s="64"/>
      <c r="J37" s="64"/>
      <c r="K37" s="64"/>
    </row>
    <row r="38" spans="1:15" x14ac:dyDescent="0.25">
      <c r="A38" s="69"/>
      <c r="B38" s="64"/>
      <c r="C38" s="64"/>
      <c r="D38" s="64"/>
      <c r="E38" s="64"/>
      <c r="F38" s="64"/>
      <c r="G38" s="64"/>
      <c r="H38" s="64"/>
      <c r="I38" s="64"/>
      <c r="J38" s="64"/>
      <c r="K38" s="64"/>
    </row>
    <row r="39" spans="1:15" x14ac:dyDescent="0.25">
      <c r="A39" s="69"/>
      <c r="B39" s="64"/>
      <c r="C39" s="64"/>
      <c r="D39" s="64"/>
      <c r="E39" s="64"/>
      <c r="F39" s="64"/>
      <c r="G39" s="64"/>
      <c r="H39" s="64"/>
      <c r="I39" s="64"/>
      <c r="J39" s="64"/>
      <c r="K39" s="64"/>
    </row>
    <row r="40" spans="1:15" x14ac:dyDescent="0.25">
      <c r="A40" s="69"/>
      <c r="B40" s="64"/>
      <c r="C40" s="64"/>
      <c r="D40" s="64"/>
      <c r="E40" s="64"/>
      <c r="F40" s="64"/>
      <c r="G40" s="64"/>
      <c r="H40" s="64"/>
      <c r="I40" s="64"/>
      <c r="J40" s="64"/>
      <c r="K40" s="64"/>
    </row>
    <row r="41" spans="1:15" x14ac:dyDescent="0.25">
      <c r="A41" s="69"/>
      <c r="B41" s="64"/>
      <c r="C41" s="64"/>
      <c r="D41" s="64"/>
      <c r="E41" s="64"/>
      <c r="F41" s="64"/>
      <c r="G41" s="64"/>
      <c r="H41" s="64"/>
      <c r="I41" s="64"/>
      <c r="J41" s="64"/>
      <c r="K41" s="64"/>
    </row>
    <row r="42" spans="1:15" x14ac:dyDescent="0.25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</row>
  </sheetData>
  <mergeCells count="12">
    <mergeCell ref="A2:AE2"/>
    <mergeCell ref="J25:AE25"/>
    <mergeCell ref="J15:AE15"/>
    <mergeCell ref="A4:A6"/>
    <mergeCell ref="J4:T4"/>
    <mergeCell ref="U4:AE4"/>
    <mergeCell ref="B4:E5"/>
    <mergeCell ref="O5:T5"/>
    <mergeCell ref="Z5:AE5"/>
    <mergeCell ref="F4:I4"/>
    <mergeCell ref="J5:N6"/>
    <mergeCell ref="U5:Y6"/>
  </mergeCells>
  <pageMargins left="0.31496062992125984" right="0.31496062992125984" top="0.35433070866141736" bottom="0.35433070866141736" header="0.11811023622047245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N16"/>
  <sheetViews>
    <sheetView zoomScaleNormal="100" workbookViewId="0">
      <selection activeCell="E2" sqref="E2"/>
    </sheetView>
  </sheetViews>
  <sheetFormatPr defaultRowHeight="12.75" x14ac:dyDescent="0.2"/>
  <cols>
    <col min="1" max="1" width="9.140625" style="5"/>
    <col min="2" max="2" width="20.85546875" style="5" customWidth="1"/>
    <col min="3" max="3" width="9.7109375" style="5" customWidth="1"/>
    <col min="4" max="4" width="10.42578125" style="5" customWidth="1"/>
    <col min="5" max="5" width="9.140625" style="5"/>
    <col min="6" max="6" width="15" style="5" customWidth="1"/>
    <col min="7" max="7" width="12.28515625" style="5" customWidth="1"/>
    <col min="8" max="8" width="9.5703125" style="5" bestFit="1" customWidth="1"/>
    <col min="9" max="9" width="13.28515625" style="5" customWidth="1"/>
    <col min="10" max="10" width="15.42578125" style="5" customWidth="1"/>
    <col min="11" max="11" width="13" style="5" customWidth="1"/>
    <col min="12" max="16384" width="9.140625" style="5"/>
  </cols>
  <sheetData>
    <row r="1" spans="1:14" ht="62.25" customHeight="1" x14ac:dyDescent="0.2">
      <c r="A1" s="142" t="s">
        <v>81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</row>
    <row r="2" spans="1:14" ht="30" customHeight="1" x14ac:dyDescent="0.2"/>
    <row r="3" spans="1:14" ht="23.25" customHeight="1" x14ac:dyDescent="0.2">
      <c r="B3" s="141" t="s">
        <v>121</v>
      </c>
      <c r="C3" s="141"/>
      <c r="D3" s="141"/>
      <c r="E3" s="141"/>
      <c r="F3" s="141"/>
    </row>
    <row r="4" spans="1:14" ht="34.5" customHeight="1" x14ac:dyDescent="0.2">
      <c r="B4" s="148" t="s">
        <v>116</v>
      </c>
      <c r="C4" s="148"/>
      <c r="D4" s="148"/>
      <c r="E4" s="148"/>
      <c r="F4" s="148"/>
      <c r="G4" s="148"/>
      <c r="H4" s="148"/>
      <c r="I4" s="148"/>
      <c r="J4" s="148"/>
      <c r="K4" s="148"/>
    </row>
    <row r="5" spans="1:14" x14ac:dyDescent="0.2">
      <c r="E5" s="15"/>
    </row>
    <row r="6" spans="1:14" x14ac:dyDescent="0.2">
      <c r="E6" s="16"/>
      <c r="G6" s="6"/>
      <c r="H6" s="6"/>
      <c r="I6" s="6"/>
      <c r="J6" s="6"/>
    </row>
    <row r="7" spans="1:14" ht="36.75" customHeight="1" x14ac:dyDescent="0.2">
      <c r="A7" s="143" t="s">
        <v>40</v>
      </c>
      <c r="B7" s="143" t="s">
        <v>41</v>
      </c>
      <c r="C7" s="145" t="s">
        <v>46</v>
      </c>
      <c r="D7" s="146"/>
      <c r="E7" s="147"/>
      <c r="F7" s="145" t="s">
        <v>83</v>
      </c>
      <c r="G7" s="146"/>
      <c r="H7" s="147"/>
      <c r="I7" s="138" t="s">
        <v>47</v>
      </c>
      <c r="J7" s="139"/>
      <c r="K7" s="140"/>
      <c r="L7" s="137" t="s">
        <v>120</v>
      </c>
      <c r="M7" s="137"/>
      <c r="N7" s="137"/>
    </row>
    <row r="8" spans="1:14" x14ac:dyDescent="0.2">
      <c r="A8" s="144"/>
      <c r="B8" s="144"/>
      <c r="C8" s="7">
        <v>2021</v>
      </c>
      <c r="D8" s="7">
        <v>2022</v>
      </c>
      <c r="E8" s="7">
        <v>2023</v>
      </c>
      <c r="F8" s="7">
        <v>2021</v>
      </c>
      <c r="G8" s="7">
        <v>2022</v>
      </c>
      <c r="H8" s="7">
        <v>2023</v>
      </c>
      <c r="I8" s="8">
        <v>2021</v>
      </c>
      <c r="J8" s="8">
        <v>2022</v>
      </c>
      <c r="K8" s="8">
        <v>2023</v>
      </c>
      <c r="L8" s="8">
        <v>2021</v>
      </c>
      <c r="M8" s="8">
        <v>2022</v>
      </c>
      <c r="N8" s="8">
        <v>2023</v>
      </c>
    </row>
    <row r="9" spans="1:14" x14ac:dyDescent="0.2">
      <c r="A9" s="11">
        <v>1</v>
      </c>
      <c r="B9" s="11" t="s">
        <v>18</v>
      </c>
      <c r="C9" s="10">
        <v>0.89</v>
      </c>
      <c r="D9" s="10">
        <v>0.89</v>
      </c>
      <c r="E9" s="10">
        <v>0.89</v>
      </c>
      <c r="F9" s="81">
        <v>6021.5730337078649</v>
      </c>
      <c r="G9" s="81">
        <v>6021.5730337078649</v>
      </c>
      <c r="H9" s="81">
        <v>6021.5730337078649</v>
      </c>
      <c r="I9" s="81">
        <f>F9*C9</f>
        <v>5359.2</v>
      </c>
      <c r="J9" s="82">
        <f t="shared" ref="I9:K15" si="0">G9*D9</f>
        <v>5359.2</v>
      </c>
      <c r="K9" s="82">
        <f t="shared" si="0"/>
        <v>5359.2</v>
      </c>
      <c r="L9" s="79">
        <f>MROUND(I9,1)</f>
        <v>5359</v>
      </c>
      <c r="M9" s="79">
        <f t="shared" ref="M9:N15" si="1">MROUND(J9,1)</f>
        <v>5359</v>
      </c>
      <c r="N9" s="79">
        <f t="shared" si="1"/>
        <v>5359</v>
      </c>
    </row>
    <row r="10" spans="1:14" x14ac:dyDescent="0.2">
      <c r="A10" s="11">
        <v>2</v>
      </c>
      <c r="B10" s="11" t="s">
        <v>9</v>
      </c>
      <c r="C10" s="10">
        <v>0.9</v>
      </c>
      <c r="D10" s="10">
        <v>0.9</v>
      </c>
      <c r="E10" s="10">
        <v>0.9</v>
      </c>
      <c r="F10" s="81">
        <v>2431.1111111111109</v>
      </c>
      <c r="G10" s="81">
        <v>2431.1111111111109</v>
      </c>
      <c r="H10" s="81">
        <v>2431.1111111111109</v>
      </c>
      <c r="I10" s="82">
        <f t="shared" si="0"/>
        <v>2188</v>
      </c>
      <c r="J10" s="82">
        <f t="shared" si="0"/>
        <v>2188</v>
      </c>
      <c r="K10" s="82">
        <f t="shared" si="0"/>
        <v>2188</v>
      </c>
      <c r="L10" s="79">
        <f t="shared" ref="L10:L15" si="2">MROUND(I10,1)</f>
        <v>2188</v>
      </c>
      <c r="M10" s="79">
        <f t="shared" si="1"/>
        <v>2188</v>
      </c>
      <c r="N10" s="79">
        <f t="shared" si="1"/>
        <v>2188</v>
      </c>
    </row>
    <row r="11" spans="1:14" x14ac:dyDescent="0.2">
      <c r="A11" s="11">
        <v>3</v>
      </c>
      <c r="B11" s="11" t="s">
        <v>42</v>
      </c>
      <c r="C11" s="10">
        <v>0.9</v>
      </c>
      <c r="D11" s="10">
        <v>0.9</v>
      </c>
      <c r="E11" s="10">
        <v>0.9</v>
      </c>
      <c r="F11" s="81">
        <v>1964.2222222222222</v>
      </c>
      <c r="G11" s="81">
        <v>1964.2222222222222</v>
      </c>
      <c r="H11" s="81">
        <v>1964.2222222222222</v>
      </c>
      <c r="I11" s="82">
        <f t="shared" si="0"/>
        <v>1767.8</v>
      </c>
      <c r="J11" s="82">
        <f t="shared" si="0"/>
        <v>1767.8</v>
      </c>
      <c r="K11" s="82">
        <f t="shared" si="0"/>
        <v>1767.8</v>
      </c>
      <c r="L11" s="79">
        <f t="shared" si="2"/>
        <v>1768</v>
      </c>
      <c r="M11" s="79">
        <f t="shared" si="1"/>
        <v>1768</v>
      </c>
      <c r="N11" s="79">
        <f t="shared" si="1"/>
        <v>1768</v>
      </c>
    </row>
    <row r="12" spans="1:14" x14ac:dyDescent="0.2">
      <c r="A12" s="11">
        <v>4</v>
      </c>
      <c r="B12" s="11" t="s">
        <v>43</v>
      </c>
      <c r="C12" s="10">
        <v>0.88</v>
      </c>
      <c r="D12" s="10">
        <v>0.88</v>
      </c>
      <c r="E12" s="10">
        <v>0.89</v>
      </c>
      <c r="F12" s="81">
        <v>2482.9545454545455</v>
      </c>
      <c r="G12" s="81">
        <v>2482.9545454545455</v>
      </c>
      <c r="H12" s="81">
        <v>2455.0561797752807</v>
      </c>
      <c r="I12" s="82">
        <f t="shared" si="0"/>
        <v>2185</v>
      </c>
      <c r="J12" s="82">
        <f t="shared" si="0"/>
        <v>2185</v>
      </c>
      <c r="K12" s="82">
        <f t="shared" si="0"/>
        <v>2185</v>
      </c>
      <c r="L12" s="79">
        <f t="shared" si="2"/>
        <v>2185</v>
      </c>
      <c r="M12" s="79">
        <f t="shared" si="1"/>
        <v>2185</v>
      </c>
      <c r="N12" s="79">
        <f t="shared" si="1"/>
        <v>2185</v>
      </c>
    </row>
    <row r="13" spans="1:14" x14ac:dyDescent="0.2">
      <c r="A13" s="11">
        <v>5</v>
      </c>
      <c r="B13" s="11" t="s">
        <v>7</v>
      </c>
      <c r="C13" s="10">
        <v>0.91</v>
      </c>
      <c r="D13" s="10">
        <v>0.91</v>
      </c>
      <c r="E13" s="10">
        <v>0.9</v>
      </c>
      <c r="F13" s="81">
        <v>2307.6923076923076</v>
      </c>
      <c r="G13" s="81">
        <v>2307.6923076923076</v>
      </c>
      <c r="H13" s="81">
        <v>2333.3333333333335</v>
      </c>
      <c r="I13" s="82">
        <f t="shared" si="0"/>
        <v>2100</v>
      </c>
      <c r="J13" s="82">
        <f t="shared" si="0"/>
        <v>2100</v>
      </c>
      <c r="K13" s="82">
        <f t="shared" si="0"/>
        <v>2100</v>
      </c>
      <c r="L13" s="79">
        <f t="shared" si="2"/>
        <v>2100</v>
      </c>
      <c r="M13" s="79">
        <f t="shared" si="1"/>
        <v>2100</v>
      </c>
      <c r="N13" s="79">
        <f t="shared" si="1"/>
        <v>2100</v>
      </c>
    </row>
    <row r="14" spans="1:14" x14ac:dyDescent="0.2">
      <c r="A14" s="11">
        <v>6</v>
      </c>
      <c r="B14" s="11" t="s">
        <v>44</v>
      </c>
      <c r="C14" s="10">
        <v>0.9</v>
      </c>
      <c r="D14" s="10">
        <v>0.9</v>
      </c>
      <c r="E14" s="10">
        <v>0.89</v>
      </c>
      <c r="F14" s="81">
        <v>1666.6666666666665</v>
      </c>
      <c r="G14" s="81">
        <v>1666.6666666666665</v>
      </c>
      <c r="H14" s="81">
        <v>1685.3932584269662</v>
      </c>
      <c r="I14" s="82">
        <f>F14*C14</f>
        <v>1500</v>
      </c>
      <c r="J14" s="82">
        <f t="shared" si="0"/>
        <v>1500</v>
      </c>
      <c r="K14" s="82">
        <f t="shared" si="0"/>
        <v>1500</v>
      </c>
      <c r="L14" s="79">
        <f t="shared" si="2"/>
        <v>1500</v>
      </c>
      <c r="M14" s="79">
        <f t="shared" si="1"/>
        <v>1500</v>
      </c>
      <c r="N14" s="79">
        <f t="shared" si="1"/>
        <v>1500</v>
      </c>
    </row>
    <row r="15" spans="1:14" x14ac:dyDescent="0.2">
      <c r="A15" s="11">
        <v>7</v>
      </c>
      <c r="B15" s="11" t="s">
        <v>45</v>
      </c>
      <c r="C15" s="10">
        <v>0.9</v>
      </c>
      <c r="D15" s="10">
        <v>0.9</v>
      </c>
      <c r="E15" s="10">
        <v>0.9</v>
      </c>
      <c r="F15" s="81">
        <v>1000</v>
      </c>
      <c r="G15" s="81">
        <v>1000</v>
      </c>
      <c r="H15" s="81">
        <v>1000</v>
      </c>
      <c r="I15" s="82">
        <f>F15*C15</f>
        <v>900</v>
      </c>
      <c r="J15" s="82">
        <f t="shared" si="0"/>
        <v>900</v>
      </c>
      <c r="K15" s="82">
        <f t="shared" si="0"/>
        <v>900</v>
      </c>
      <c r="L15" s="79">
        <f t="shared" si="2"/>
        <v>900</v>
      </c>
      <c r="M15" s="79">
        <f t="shared" si="1"/>
        <v>900</v>
      </c>
      <c r="N15" s="79">
        <f t="shared" si="1"/>
        <v>900</v>
      </c>
    </row>
    <row r="16" spans="1:14" x14ac:dyDescent="0.2">
      <c r="A16" s="11"/>
      <c r="B16" s="9" t="s">
        <v>0</v>
      </c>
      <c r="C16" s="11"/>
      <c r="D16" s="11"/>
      <c r="E16" s="11"/>
      <c r="F16" s="14"/>
      <c r="G16" s="14"/>
      <c r="H16" s="14"/>
      <c r="I16" s="83">
        <f>SUM(I9:I15)</f>
        <v>16000</v>
      </c>
      <c r="J16" s="83">
        <f>SUM(J9:J15)</f>
        <v>16000</v>
      </c>
      <c r="K16" s="83">
        <f>SUM(K9:K15)</f>
        <v>16000</v>
      </c>
      <c r="L16" s="80">
        <f>SUM(L9:L15)</f>
        <v>16000</v>
      </c>
      <c r="M16" s="80">
        <f t="shared" ref="M16:N16" si="3">SUM(M9:M15)</f>
        <v>16000</v>
      </c>
      <c r="N16" s="80">
        <f t="shared" si="3"/>
        <v>16000</v>
      </c>
    </row>
  </sheetData>
  <mergeCells count="9">
    <mergeCell ref="L7:N7"/>
    <mergeCell ref="I7:K7"/>
    <mergeCell ref="B3:F3"/>
    <mergeCell ref="A1:K1"/>
    <mergeCell ref="A7:A8"/>
    <mergeCell ref="B7:B8"/>
    <mergeCell ref="C7:E7"/>
    <mergeCell ref="F7:H7"/>
    <mergeCell ref="B4:K4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L7"/>
  <sheetViews>
    <sheetView workbookViewId="0">
      <selection activeCell="A7" sqref="A7:K7"/>
    </sheetView>
  </sheetViews>
  <sheetFormatPr defaultRowHeight="12.75" x14ac:dyDescent="0.2"/>
  <cols>
    <col min="1" max="1" width="41.5703125" style="12" customWidth="1"/>
    <col min="2" max="3" width="9.140625" style="12" bestFit="1" customWidth="1"/>
    <col min="4" max="5" width="8.7109375" style="12" bestFit="1" customWidth="1"/>
    <col min="6" max="7" width="11.42578125" style="12" bestFit="1" customWidth="1"/>
    <col min="8" max="9" width="8.7109375" style="12" bestFit="1" customWidth="1"/>
    <col min="10" max="11" width="9" style="12" bestFit="1" customWidth="1"/>
    <col min="12" max="16384" width="9.140625" style="12"/>
  </cols>
  <sheetData>
    <row r="1" spans="1:12" ht="69" customHeight="1" x14ac:dyDescent="0.2">
      <c r="A1" s="150" t="s">
        <v>85</v>
      </c>
      <c r="B1" s="151"/>
      <c r="C1" s="151"/>
      <c r="D1" s="151"/>
      <c r="E1" s="151"/>
      <c r="F1" s="151"/>
      <c r="G1" s="151"/>
      <c r="H1" s="151"/>
      <c r="I1" s="151"/>
      <c r="J1" s="151"/>
      <c r="K1" s="3"/>
    </row>
    <row r="2" spans="1:12" ht="53.25" customHeight="1" x14ac:dyDescent="0.2">
      <c r="A2" s="152" t="s">
        <v>84</v>
      </c>
      <c r="B2" s="152"/>
      <c r="C2" s="70"/>
      <c r="D2" s="3"/>
      <c r="E2" s="3"/>
      <c r="F2" s="3"/>
      <c r="G2" s="3"/>
      <c r="H2" s="3"/>
      <c r="I2" s="3"/>
      <c r="J2" s="3"/>
      <c r="K2" s="3"/>
    </row>
    <row r="3" spans="1:12" ht="83.25" customHeight="1" x14ac:dyDescent="0.2">
      <c r="A3" s="23" t="s">
        <v>36</v>
      </c>
      <c r="B3" s="153" t="s">
        <v>48</v>
      </c>
      <c r="C3" s="154"/>
      <c r="D3" s="153" t="s">
        <v>52</v>
      </c>
      <c r="E3" s="154"/>
      <c r="F3" s="153" t="s">
        <v>49</v>
      </c>
      <c r="G3" s="154"/>
      <c r="H3" s="153" t="s">
        <v>86</v>
      </c>
      <c r="I3" s="154"/>
      <c r="J3" s="155" t="s">
        <v>50</v>
      </c>
      <c r="K3" s="155"/>
    </row>
    <row r="4" spans="1:12" ht="15" x14ac:dyDescent="0.2">
      <c r="A4" s="71"/>
      <c r="B4" s="23" t="s">
        <v>53</v>
      </c>
      <c r="C4" s="23" t="s">
        <v>33</v>
      </c>
      <c r="D4" s="23" t="s">
        <v>53</v>
      </c>
      <c r="E4" s="23" t="s">
        <v>33</v>
      </c>
      <c r="F4" s="23" t="s">
        <v>53</v>
      </c>
      <c r="G4" s="23" t="s">
        <v>33</v>
      </c>
      <c r="H4" s="23" t="s">
        <v>53</v>
      </c>
      <c r="I4" s="23" t="s">
        <v>33</v>
      </c>
      <c r="J4" s="23" t="s">
        <v>53</v>
      </c>
      <c r="K4" s="23" t="s">
        <v>33</v>
      </c>
      <c r="L4" s="73"/>
    </row>
    <row r="5" spans="1:12" ht="60" x14ac:dyDescent="0.2">
      <c r="A5" s="72" t="s">
        <v>51</v>
      </c>
      <c r="B5" s="74">
        <v>4794.4880000000003</v>
      </c>
      <c r="C5" s="74">
        <v>4933.3339999999998</v>
      </c>
      <c r="D5" s="74">
        <v>91</v>
      </c>
      <c r="E5" s="74">
        <v>90</v>
      </c>
      <c r="F5" s="75">
        <f>B5*D5/100</f>
        <v>4362.9840800000002</v>
      </c>
      <c r="G5" s="75">
        <f>C5*E5/100</f>
        <v>4440.0006000000003</v>
      </c>
      <c r="H5" s="74">
        <v>3000</v>
      </c>
      <c r="I5" s="74">
        <v>3000</v>
      </c>
      <c r="J5" s="76">
        <v>3000</v>
      </c>
      <c r="K5" s="76">
        <v>3000</v>
      </c>
    </row>
    <row r="6" spans="1:12" ht="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ht="28.5" customHeight="1" x14ac:dyDescent="0.2">
      <c r="A7" s="149" t="s">
        <v>117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</row>
  </sheetData>
  <mergeCells count="8">
    <mergeCell ref="A7:K7"/>
    <mergeCell ref="A1:J1"/>
    <mergeCell ref="A2:B2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I29"/>
  <sheetViews>
    <sheetView tabSelected="1" view="pageBreakPreview" zoomScale="60" zoomScaleNormal="70" workbookViewId="0">
      <selection activeCell="E14" sqref="E14"/>
    </sheetView>
  </sheetViews>
  <sheetFormatPr defaultRowHeight="15" x14ac:dyDescent="0.25"/>
  <cols>
    <col min="1" max="1" width="7" customWidth="1"/>
    <col min="2" max="2" width="24.28515625" customWidth="1"/>
    <col min="3" max="3" width="22.42578125" bestFit="1" customWidth="1"/>
    <col min="4" max="4" width="14.7109375" customWidth="1"/>
    <col min="5" max="5" width="10.42578125" customWidth="1"/>
    <col min="6" max="6" width="27.7109375" bestFit="1" customWidth="1"/>
    <col min="7" max="7" width="9.140625" customWidth="1"/>
    <col min="8" max="8" width="35.85546875" customWidth="1"/>
    <col min="9" max="9" width="11.85546875" customWidth="1"/>
    <col min="10" max="10" width="26.42578125" customWidth="1"/>
    <col min="11" max="11" width="10" customWidth="1"/>
    <col min="12" max="12" width="20.7109375" customWidth="1"/>
    <col min="13" max="13" width="14" customWidth="1"/>
    <col min="14" max="14" width="18.28515625" style="99" customWidth="1"/>
    <col min="15" max="15" width="12.7109375" style="99" customWidth="1"/>
    <col min="16" max="16" width="14.28515625" style="99" bestFit="1" customWidth="1"/>
    <col min="17" max="17" width="14.28515625" style="99" customWidth="1"/>
    <col min="18" max="18" width="14.28515625" style="99" hidden="1" customWidth="1"/>
    <col min="19" max="19" width="13.42578125" style="99" hidden="1" customWidth="1"/>
    <col min="20" max="61" width="9.140625" style="99"/>
  </cols>
  <sheetData>
    <row r="1" spans="1:61" ht="18.75" x14ac:dyDescent="0.25">
      <c r="P1" s="165" t="s">
        <v>156</v>
      </c>
    </row>
    <row r="2" spans="1:61" ht="18.75" x14ac:dyDescent="0.25">
      <c r="P2" s="166" t="s">
        <v>155</v>
      </c>
    </row>
    <row r="3" spans="1:61" ht="67.5" customHeight="1" x14ac:dyDescent="0.3">
      <c r="A3" s="167" t="s">
        <v>157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</row>
    <row r="5" spans="1:61" ht="109.5" customHeight="1" x14ac:dyDescent="0.25">
      <c r="A5" s="156" t="s">
        <v>153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98"/>
    </row>
    <row r="7" spans="1:61" ht="15.75" x14ac:dyDescent="0.25">
      <c r="P7" s="100" t="s">
        <v>141</v>
      </c>
    </row>
    <row r="8" spans="1:61" s="95" customFormat="1" ht="56.25" customHeight="1" x14ac:dyDescent="0.3">
      <c r="A8" s="84" t="s">
        <v>132</v>
      </c>
      <c r="B8" s="84" t="s">
        <v>142</v>
      </c>
      <c r="C8" s="113" t="s">
        <v>133</v>
      </c>
      <c r="D8" s="113" t="s">
        <v>134</v>
      </c>
      <c r="E8" s="84" t="s">
        <v>135</v>
      </c>
      <c r="F8" s="85" t="s">
        <v>137</v>
      </c>
      <c r="G8" s="84" t="s">
        <v>136</v>
      </c>
      <c r="H8" s="85" t="s">
        <v>143</v>
      </c>
      <c r="I8" s="84" t="s">
        <v>138</v>
      </c>
      <c r="J8" s="85" t="s">
        <v>144</v>
      </c>
      <c r="K8" s="84" t="s">
        <v>139</v>
      </c>
      <c r="L8" s="85" t="s">
        <v>140</v>
      </c>
      <c r="M8" s="85" t="s">
        <v>145</v>
      </c>
      <c r="N8" s="86" t="s">
        <v>146</v>
      </c>
      <c r="O8" s="86" t="s">
        <v>147</v>
      </c>
      <c r="P8" s="101" t="s">
        <v>0</v>
      </c>
      <c r="Q8" s="102"/>
      <c r="R8" s="101"/>
      <c r="S8" s="103" t="s">
        <v>148</v>
      </c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</row>
    <row r="9" spans="1:61" s="96" customFormat="1" ht="56.25" x14ac:dyDescent="0.3">
      <c r="A9" s="87">
        <v>1</v>
      </c>
      <c r="B9" s="111" t="s">
        <v>57</v>
      </c>
      <c r="C9" s="88">
        <v>630</v>
      </c>
      <c r="D9" s="162">
        <v>30000</v>
      </c>
      <c r="E9" s="89">
        <f>C9/C27</f>
        <v>1.9884480636303381E-2</v>
      </c>
      <c r="F9" s="87">
        <v>2</v>
      </c>
      <c r="G9" s="90">
        <f>F9/F27</f>
        <v>2.6666666666666668E-2</v>
      </c>
      <c r="H9" s="88">
        <v>28442</v>
      </c>
      <c r="I9" s="90">
        <f>H9/H27</f>
        <v>2.759122458977431E-2</v>
      </c>
      <c r="J9" s="90">
        <v>0.1</v>
      </c>
      <c r="K9" s="90">
        <f>1-J9</f>
        <v>0.9</v>
      </c>
      <c r="L9" s="92">
        <f>((80%*D9)*E9+(10%*D9)*G9+(10%*D9)*I9)*K9</f>
        <v>576.00108813654367</v>
      </c>
      <c r="M9" s="157">
        <f>D9-L27</f>
        <v>3091.4237581936686</v>
      </c>
      <c r="N9" s="91">
        <f>C9-L9</f>
        <v>53.998911863456328</v>
      </c>
      <c r="O9" s="104">
        <f>M9*(N9/N27)</f>
        <v>34.964118709574151</v>
      </c>
      <c r="P9" s="93">
        <f>SUM(O9,L9)</f>
        <v>610.96520684611778</v>
      </c>
      <c r="Q9" s="105"/>
      <c r="R9" s="93">
        <f>P9*J9</f>
        <v>61.096520684611782</v>
      </c>
      <c r="S9" s="106">
        <v>70000</v>
      </c>
    </row>
    <row r="10" spans="1:61" s="96" customFormat="1" ht="56.25" x14ac:dyDescent="0.3">
      <c r="A10" s="87">
        <v>2</v>
      </c>
      <c r="B10" s="111" t="s">
        <v>58</v>
      </c>
      <c r="C10" s="88">
        <v>900</v>
      </c>
      <c r="D10" s="162"/>
      <c r="E10" s="89">
        <f>C10/C27</f>
        <v>2.8406400909004828E-2</v>
      </c>
      <c r="F10" s="87">
        <v>2</v>
      </c>
      <c r="G10" s="90">
        <f>F10/F27</f>
        <v>2.6666666666666668E-2</v>
      </c>
      <c r="H10" s="88">
        <v>25006</v>
      </c>
      <c r="I10" s="90">
        <f>H10/H27</f>
        <v>2.4258004433299219E-2</v>
      </c>
      <c r="J10" s="90">
        <v>0.1</v>
      </c>
      <c r="K10" s="90">
        <f t="shared" ref="K10:K26" si="0">1-J10</f>
        <v>0.9</v>
      </c>
      <c r="L10" s="92">
        <f>((80%*D9)*E10+(10%*D9)*G10+(10%*D9)*I10)*K10</f>
        <v>751.07487160441224</v>
      </c>
      <c r="M10" s="157"/>
      <c r="N10" s="91">
        <f t="shared" ref="N10:N26" si="1">C10-L10</f>
        <v>148.92512839558776</v>
      </c>
      <c r="O10" s="104">
        <f>M9*(N10/N27)</f>
        <v>96.428533249495999</v>
      </c>
      <c r="P10" s="93">
        <f t="shared" ref="P10:P27" si="2">SUM(O10,L10)</f>
        <v>847.50340485390825</v>
      </c>
      <c r="Q10" s="105"/>
      <c r="R10" s="93">
        <f t="shared" ref="R10:R26" si="3">P10*J10</f>
        <v>84.750340485390836</v>
      </c>
      <c r="S10" s="106">
        <v>100000</v>
      </c>
    </row>
    <row r="11" spans="1:61" s="96" customFormat="1" ht="56.25" x14ac:dyDescent="0.3">
      <c r="A11" s="87">
        <v>3</v>
      </c>
      <c r="B11" s="111" t="s">
        <v>59</v>
      </c>
      <c r="C11" s="88">
        <v>1926</v>
      </c>
      <c r="D11" s="162"/>
      <c r="E11" s="89">
        <f>C11/C27</f>
        <v>6.0789697945270331E-2</v>
      </c>
      <c r="F11" s="87">
        <v>4</v>
      </c>
      <c r="G11" s="90">
        <f>F11/F27</f>
        <v>5.3333333333333337E-2</v>
      </c>
      <c r="H11" s="88">
        <v>59000</v>
      </c>
      <c r="I11" s="90">
        <f>H11/H27</f>
        <v>5.7235154025620009E-2</v>
      </c>
      <c r="J11" s="90">
        <v>0.1</v>
      </c>
      <c r="K11" s="90">
        <f t="shared" si="0"/>
        <v>0.9</v>
      </c>
      <c r="L11" s="92">
        <f>((80%*D9)*E11+(10%*D9)*G11+(10%*D9)*I11)*K11</f>
        <v>1611.5923914870132</v>
      </c>
      <c r="M11" s="157"/>
      <c r="N11" s="91">
        <f t="shared" si="1"/>
        <v>314.40760851298683</v>
      </c>
      <c r="O11" s="104">
        <f>M9*(N11/N27)</f>
        <v>203.57789755168886</v>
      </c>
      <c r="P11" s="93">
        <f t="shared" si="2"/>
        <v>1815.1702890387021</v>
      </c>
      <c r="Q11" s="105"/>
      <c r="R11" s="93">
        <f t="shared" si="3"/>
        <v>181.51702890387023</v>
      </c>
      <c r="S11" s="106">
        <v>214000</v>
      </c>
    </row>
    <row r="12" spans="1:61" s="96" customFormat="1" ht="56.25" x14ac:dyDescent="0.3">
      <c r="A12" s="87">
        <v>4</v>
      </c>
      <c r="B12" s="111" t="s">
        <v>60</v>
      </c>
      <c r="C12" s="88">
        <v>3000</v>
      </c>
      <c r="D12" s="162"/>
      <c r="E12" s="89">
        <f>C12/C27</f>
        <v>9.4688003030016094E-2</v>
      </c>
      <c r="F12" s="87">
        <v>7</v>
      </c>
      <c r="G12" s="90">
        <f>F12/F27</f>
        <v>9.3333333333333338E-2</v>
      </c>
      <c r="H12" s="88">
        <v>165700</v>
      </c>
      <c r="I12" s="90">
        <f>H12/H27</f>
        <v>0.16074347494991925</v>
      </c>
      <c r="J12" s="90">
        <v>0.1</v>
      </c>
      <c r="K12" s="90">
        <f t="shared" si="0"/>
        <v>0.9</v>
      </c>
      <c r="L12" s="92">
        <f>((80%*D9)*E12+(10%*D9)*G12+(10%*D9)*I12)*K12</f>
        <v>2731.2682478131296</v>
      </c>
      <c r="M12" s="157"/>
      <c r="N12" s="91">
        <f t="shared" si="1"/>
        <v>268.73175218687038</v>
      </c>
      <c r="O12" s="104">
        <f>M9*(N12/N27)</f>
        <v>174.00293006371308</v>
      </c>
      <c r="P12" s="93">
        <f t="shared" si="2"/>
        <v>2905.2711778768426</v>
      </c>
      <c r="Q12" s="105"/>
      <c r="R12" s="93">
        <f t="shared" si="3"/>
        <v>290.52711778768429</v>
      </c>
      <c r="S12" s="106">
        <v>333334</v>
      </c>
    </row>
    <row r="13" spans="1:61" s="96" customFormat="1" ht="24.75" customHeight="1" x14ac:dyDescent="0.3">
      <c r="A13" s="87">
        <v>5</v>
      </c>
      <c r="B13" s="111" t="s">
        <v>61</v>
      </c>
      <c r="C13" s="88">
        <v>4922</v>
      </c>
      <c r="D13" s="162"/>
      <c r="E13" s="89">
        <f>C13/C27</f>
        <v>0.15535145030457975</v>
      </c>
      <c r="F13" s="87">
        <v>12</v>
      </c>
      <c r="G13" s="90">
        <f>F13/F27</f>
        <v>0.16</v>
      </c>
      <c r="H13" s="88">
        <v>105500</v>
      </c>
      <c r="I13" s="90">
        <f>H13/H27</f>
        <v>0.1023442160966595</v>
      </c>
      <c r="J13" s="90">
        <v>0.1</v>
      </c>
      <c r="K13" s="90">
        <f t="shared" si="0"/>
        <v>0.9</v>
      </c>
      <c r="L13" s="92">
        <f>((80%*D9)*E13+(10%*D9)*G13+(10%*D9)*I13)*K13</f>
        <v>4063.9207100399026</v>
      </c>
      <c r="M13" s="157"/>
      <c r="N13" s="91">
        <f t="shared" si="1"/>
        <v>858.07928996009741</v>
      </c>
      <c r="O13" s="104">
        <f>M9*(N13/N27)</f>
        <v>555.6035320166468</v>
      </c>
      <c r="P13" s="93">
        <f t="shared" si="2"/>
        <v>4619.5242420565492</v>
      </c>
      <c r="Q13" s="105"/>
      <c r="R13" s="93">
        <f t="shared" si="3"/>
        <v>461.95242420565495</v>
      </c>
      <c r="S13" s="106">
        <v>510000</v>
      </c>
    </row>
    <row r="14" spans="1:61" s="96" customFormat="1" ht="56.25" x14ac:dyDescent="0.3">
      <c r="A14" s="87">
        <v>6</v>
      </c>
      <c r="B14" s="111" t="s">
        <v>62</v>
      </c>
      <c r="C14" s="88">
        <v>1800</v>
      </c>
      <c r="D14" s="162"/>
      <c r="E14" s="89">
        <f>C14/C27</f>
        <v>5.6812801818009656E-2</v>
      </c>
      <c r="F14" s="87">
        <v>4</v>
      </c>
      <c r="G14" s="90">
        <f>F14/F27</f>
        <v>5.3333333333333337E-2</v>
      </c>
      <c r="H14" s="88">
        <v>147457</v>
      </c>
      <c r="I14" s="90">
        <f>H14/H27</f>
        <v>0.14304617130772626</v>
      </c>
      <c r="J14" s="90">
        <v>0.1</v>
      </c>
      <c r="K14" s="90">
        <f t="shared" si="0"/>
        <v>0.9</v>
      </c>
      <c r="L14" s="92">
        <f>((80%*D9)*E14+(10%*D9)*G14+(10%*D9)*I14)*K14</f>
        <v>1757.3811817998696</v>
      </c>
      <c r="M14" s="157"/>
      <c r="N14" s="91">
        <f t="shared" si="1"/>
        <v>42.618818200130363</v>
      </c>
      <c r="O14" s="104">
        <f>M9*(N14/N27)</f>
        <v>27.595545306155699</v>
      </c>
      <c r="P14" s="93">
        <f t="shared" si="2"/>
        <v>1784.9767271060252</v>
      </c>
      <c r="Q14" s="105"/>
      <c r="R14" s="93">
        <f t="shared" si="3"/>
        <v>178.49767271060253</v>
      </c>
      <c r="S14" s="106">
        <v>200000</v>
      </c>
    </row>
    <row r="15" spans="1:61" s="96" customFormat="1" ht="56.25" x14ac:dyDescent="0.3">
      <c r="A15" s="87">
        <v>7</v>
      </c>
      <c r="B15" s="111" t="s">
        <v>63</v>
      </c>
      <c r="C15" s="88">
        <v>1300</v>
      </c>
      <c r="D15" s="162"/>
      <c r="E15" s="89">
        <f>C15/C27</f>
        <v>4.1031467979673643E-2</v>
      </c>
      <c r="F15" s="87">
        <v>3</v>
      </c>
      <c r="G15" s="90">
        <f>F15/F27</f>
        <v>0.04</v>
      </c>
      <c r="H15" s="88">
        <v>78800</v>
      </c>
      <c r="I15" s="90">
        <f>H15/H27</f>
        <v>7.6442883681675539E-2</v>
      </c>
      <c r="J15" s="90">
        <v>0.1</v>
      </c>
      <c r="K15" s="90">
        <f t="shared" si="0"/>
        <v>0.9</v>
      </c>
      <c r="L15" s="92">
        <f>((80%*D9)*E15+(10%*D9)*G15+(10%*D9)*I15)*K15</f>
        <v>1200.6754943014748</v>
      </c>
      <c r="M15" s="157"/>
      <c r="N15" s="91">
        <f t="shared" si="1"/>
        <v>99.324505698525172</v>
      </c>
      <c r="O15" s="104">
        <f>M9*(N15/N27)</f>
        <v>64.312292380899166</v>
      </c>
      <c r="P15" s="93">
        <f t="shared" si="2"/>
        <v>1264.987786682374</v>
      </c>
      <c r="Q15" s="105"/>
      <c r="R15" s="93">
        <f t="shared" si="3"/>
        <v>126.49877866823741</v>
      </c>
      <c r="S15" s="106">
        <v>200000</v>
      </c>
    </row>
    <row r="16" spans="1:61" s="96" customFormat="1" ht="56.25" x14ac:dyDescent="0.3">
      <c r="A16" s="87">
        <v>8</v>
      </c>
      <c r="B16" s="111" t="s">
        <v>64</v>
      </c>
      <c r="C16" s="88">
        <v>1090</v>
      </c>
      <c r="D16" s="162"/>
      <c r="E16" s="89">
        <f>C16/C27</f>
        <v>3.4403307767572514E-2</v>
      </c>
      <c r="F16" s="87">
        <v>3</v>
      </c>
      <c r="G16" s="90">
        <f>F16/F27</f>
        <v>0.04</v>
      </c>
      <c r="H16" s="88">
        <v>41060</v>
      </c>
      <c r="I16" s="90">
        <f>H16/H27</f>
        <v>3.9831786852406056E-2</v>
      </c>
      <c r="J16" s="90">
        <v>0.1</v>
      </c>
      <c r="K16" s="90">
        <f t="shared" si="0"/>
        <v>0.9</v>
      </c>
      <c r="L16" s="92">
        <f>((80%*D9)*E16+(10%*D9)*G16+(10%*D9)*I16)*K16</f>
        <v>958.65727228106255</v>
      </c>
      <c r="M16" s="157"/>
      <c r="N16" s="91">
        <f t="shared" si="1"/>
        <v>131.34272771893745</v>
      </c>
      <c r="O16" s="104">
        <f>M9*(N16/N27)</f>
        <v>85.043986353214351</v>
      </c>
      <c r="P16" s="93">
        <f t="shared" si="2"/>
        <v>1043.7012586342769</v>
      </c>
      <c r="Q16" s="105"/>
      <c r="R16" s="93">
        <f t="shared" si="3"/>
        <v>104.37012586342769</v>
      </c>
      <c r="S16" s="106">
        <v>122000</v>
      </c>
    </row>
    <row r="17" spans="1:61" s="96" customFormat="1" ht="56.25" x14ac:dyDescent="0.3">
      <c r="A17" s="87">
        <v>9</v>
      </c>
      <c r="B17" s="111" t="s">
        <v>149</v>
      </c>
      <c r="C17" s="88">
        <v>900</v>
      </c>
      <c r="D17" s="162"/>
      <c r="E17" s="89">
        <f>C17/C27</f>
        <v>2.8406400909004828E-2</v>
      </c>
      <c r="F17" s="87">
        <v>2</v>
      </c>
      <c r="G17" s="90">
        <f>F17/F27</f>
        <v>2.6666666666666668E-2</v>
      </c>
      <c r="H17" s="88">
        <v>53900</v>
      </c>
      <c r="I17" s="90">
        <f>H17/H27</f>
        <v>5.2287708508151162E-2</v>
      </c>
      <c r="J17" s="90">
        <v>0.1</v>
      </c>
      <c r="K17" s="90">
        <f t="shared" si="0"/>
        <v>0.9</v>
      </c>
      <c r="L17" s="92">
        <f>((80%*D9)*E17+(10%*D9)*G17+(10%*D9)*I17)*K17</f>
        <v>826.7550726065125</v>
      </c>
      <c r="M17" s="157"/>
      <c r="N17" s="91">
        <f t="shared" si="1"/>
        <v>73.244927393487501</v>
      </c>
      <c r="O17" s="104">
        <f>M9*(N17/N27)</f>
        <v>47.425850778914516</v>
      </c>
      <c r="P17" s="93">
        <f t="shared" si="2"/>
        <v>874.18092338542704</v>
      </c>
      <c r="Q17" s="105"/>
      <c r="R17" s="93">
        <f t="shared" si="3"/>
        <v>87.418092338542706</v>
      </c>
      <c r="S17" s="106">
        <v>100000</v>
      </c>
    </row>
    <row r="18" spans="1:61" s="96" customFormat="1" ht="56.25" x14ac:dyDescent="0.3">
      <c r="A18" s="87">
        <v>10</v>
      </c>
      <c r="B18" s="111" t="s">
        <v>66</v>
      </c>
      <c r="C18" s="88">
        <v>2700</v>
      </c>
      <c r="D18" s="162"/>
      <c r="E18" s="89">
        <f>C18/C27</f>
        <v>8.5219202727014484E-2</v>
      </c>
      <c r="F18" s="87">
        <v>6</v>
      </c>
      <c r="G18" s="90">
        <f>F18/F27</f>
        <v>0.08</v>
      </c>
      <c r="H18" s="88">
        <v>17100</v>
      </c>
      <c r="I18" s="90">
        <f>H18/H27</f>
        <v>1.6588493793866139E-2</v>
      </c>
      <c r="J18" s="90">
        <v>0.1</v>
      </c>
      <c r="K18" s="90">
        <f t="shared" si="0"/>
        <v>0.9</v>
      </c>
      <c r="L18" s="92">
        <f>((80%*D9)*E18+(10%*D9)*G18+(10%*D9)*I18)*K18</f>
        <v>2101.5237121469513</v>
      </c>
      <c r="M18" s="157"/>
      <c r="N18" s="91">
        <f t="shared" si="1"/>
        <v>598.47628785304869</v>
      </c>
      <c r="O18" s="104">
        <f>M9*(N18/N27)</f>
        <v>387.51143775399589</v>
      </c>
      <c r="P18" s="93">
        <f t="shared" si="2"/>
        <v>2489.0351499009471</v>
      </c>
      <c r="Q18" s="105"/>
      <c r="R18" s="93">
        <f t="shared" si="3"/>
        <v>248.90351499009472</v>
      </c>
      <c r="S18" s="106">
        <v>300000</v>
      </c>
    </row>
    <row r="19" spans="1:61" s="96" customFormat="1" ht="56.25" x14ac:dyDescent="0.3">
      <c r="A19" s="87">
        <v>11</v>
      </c>
      <c r="B19" s="111" t="s">
        <v>67</v>
      </c>
      <c r="C19" s="88">
        <v>1350</v>
      </c>
      <c r="D19" s="162"/>
      <c r="E19" s="89">
        <f>C19/C27</f>
        <v>4.2609601363507242E-2</v>
      </c>
      <c r="F19" s="87">
        <v>3</v>
      </c>
      <c r="G19" s="90">
        <f>F19/F27</f>
        <v>0.04</v>
      </c>
      <c r="H19" s="88">
        <v>43840</v>
      </c>
      <c r="I19" s="90">
        <f>H19/H27</f>
        <v>4.2528629703104767E-2</v>
      </c>
      <c r="J19" s="90">
        <v>0.1</v>
      </c>
      <c r="K19" s="90">
        <f t="shared" si="0"/>
        <v>0.9</v>
      </c>
      <c r="L19" s="92">
        <f>((80%*D9)*E19+(10%*D9)*G19+(10%*D9)*I19)*K19</f>
        <v>1143.1946896501393</v>
      </c>
      <c r="M19" s="157"/>
      <c r="N19" s="91">
        <f t="shared" si="1"/>
        <v>206.80531034986075</v>
      </c>
      <c r="O19" s="104">
        <f>M9*(N19/N27)</f>
        <v>133.90576164065749</v>
      </c>
      <c r="P19" s="93">
        <f t="shared" si="2"/>
        <v>1277.1004512907966</v>
      </c>
      <c r="Q19" s="105"/>
      <c r="R19" s="93">
        <f t="shared" si="3"/>
        <v>127.71004512907967</v>
      </c>
      <c r="S19" s="106">
        <v>150000</v>
      </c>
    </row>
    <row r="20" spans="1:61" s="96" customFormat="1" ht="56.25" x14ac:dyDescent="0.3">
      <c r="A20" s="87">
        <v>12</v>
      </c>
      <c r="B20" s="111" t="s">
        <v>68</v>
      </c>
      <c r="C20" s="88">
        <v>4000</v>
      </c>
      <c r="D20" s="162"/>
      <c r="E20" s="89">
        <f>C20/C27</f>
        <v>0.12625067070668813</v>
      </c>
      <c r="F20" s="87">
        <v>8</v>
      </c>
      <c r="G20" s="90">
        <f>F20/F27</f>
        <v>0.10666666666666667</v>
      </c>
      <c r="H20" s="88">
        <v>37000</v>
      </c>
      <c r="I20" s="90">
        <f>H20/H27</f>
        <v>3.5893232185558309E-2</v>
      </c>
      <c r="J20" s="90">
        <v>0.1</v>
      </c>
      <c r="K20" s="90">
        <f t="shared" si="0"/>
        <v>0.9</v>
      </c>
      <c r="L20" s="92">
        <f>((80%*D9)*E20+(10%*D9)*G20+(10%*D9)*I20)*K20</f>
        <v>3111.9262141654713</v>
      </c>
      <c r="M20" s="157"/>
      <c r="N20" s="91">
        <f t="shared" si="1"/>
        <v>888.07378583452873</v>
      </c>
      <c r="O20" s="104">
        <f>M9*(N20/N27)</f>
        <v>575.02486993247942</v>
      </c>
      <c r="P20" s="93">
        <f>SUM(O20,L20)-0.1</f>
        <v>3686.8510840979507</v>
      </c>
      <c r="Q20" s="105"/>
      <c r="R20" s="93">
        <f t="shared" si="3"/>
        <v>368.68510840979508</v>
      </c>
      <c r="S20" s="106">
        <v>750000</v>
      </c>
    </row>
    <row r="21" spans="1:61" s="96" customFormat="1" ht="56.25" x14ac:dyDescent="0.3">
      <c r="A21" s="87">
        <v>13</v>
      </c>
      <c r="B21" s="111" t="s">
        <v>69</v>
      </c>
      <c r="C21" s="88">
        <v>1800</v>
      </c>
      <c r="D21" s="162"/>
      <c r="E21" s="89">
        <f>C21/C27</f>
        <v>5.6812801818009656E-2</v>
      </c>
      <c r="F21" s="87">
        <v>5</v>
      </c>
      <c r="G21" s="90">
        <f>F21/F27</f>
        <v>6.6666666666666666E-2</v>
      </c>
      <c r="H21" s="88">
        <v>18060</v>
      </c>
      <c r="I21" s="90">
        <f>H21/H27</f>
        <v>1.7519777655977922E-2</v>
      </c>
      <c r="J21" s="90">
        <v>0.1</v>
      </c>
      <c r="K21" s="90">
        <f t="shared" si="0"/>
        <v>0.9</v>
      </c>
      <c r="L21" s="92">
        <f>((80%*D9)*E21+(10%*D9)*G21+(10%*D9)*I21)*K21</f>
        <v>1454.4599189401492</v>
      </c>
      <c r="M21" s="157"/>
      <c r="N21" s="91">
        <f t="shared" si="1"/>
        <v>345.54008105985076</v>
      </c>
      <c r="O21" s="104">
        <f>M9*(N21/N27)</f>
        <v>223.7360716386701</v>
      </c>
      <c r="P21" s="93">
        <f t="shared" si="2"/>
        <v>1678.1959905788194</v>
      </c>
      <c r="Q21" s="105"/>
      <c r="R21" s="93">
        <f t="shared" si="3"/>
        <v>167.81959905788196</v>
      </c>
      <c r="S21" s="106">
        <v>200000</v>
      </c>
    </row>
    <row r="22" spans="1:61" s="96" customFormat="1" ht="56.25" x14ac:dyDescent="0.3">
      <c r="A22" s="87">
        <v>14</v>
      </c>
      <c r="B22" s="111" t="s">
        <v>70</v>
      </c>
      <c r="C22" s="88">
        <v>900</v>
      </c>
      <c r="D22" s="162"/>
      <c r="E22" s="89">
        <f>C22/C27</f>
        <v>2.8406400909004828E-2</v>
      </c>
      <c r="F22" s="87">
        <v>3</v>
      </c>
      <c r="G22" s="90">
        <f>F22/F27</f>
        <v>0.04</v>
      </c>
      <c r="H22" s="88">
        <v>30275</v>
      </c>
      <c r="I22" s="90">
        <f>H22/H27</f>
        <v>2.9369394713993996E-2</v>
      </c>
      <c r="J22" s="90">
        <v>0.1</v>
      </c>
      <c r="K22" s="90">
        <f t="shared" si="0"/>
        <v>0.9</v>
      </c>
      <c r="L22" s="92">
        <f>((80%*D9)*E22+(10%*D9)*G22+(10%*D9)*I22)*K22</f>
        <v>800.87562536228813</v>
      </c>
      <c r="M22" s="157"/>
      <c r="N22" s="91">
        <f t="shared" si="1"/>
        <v>99.124374637711867</v>
      </c>
      <c r="O22" s="104">
        <f>M9*(N22/N27)</f>
        <v>64.182708173990648</v>
      </c>
      <c r="P22" s="93">
        <f t="shared" si="2"/>
        <v>865.05833353627872</v>
      </c>
      <c r="Q22" s="105"/>
      <c r="R22" s="93">
        <f t="shared" si="3"/>
        <v>86.505833353627878</v>
      </c>
      <c r="S22" s="106">
        <v>130000</v>
      </c>
    </row>
    <row r="23" spans="1:61" s="96" customFormat="1" ht="56.25" x14ac:dyDescent="0.3">
      <c r="A23" s="87">
        <v>15</v>
      </c>
      <c r="B23" s="111" t="s">
        <v>150</v>
      </c>
      <c r="C23" s="88">
        <v>1800</v>
      </c>
      <c r="D23" s="162"/>
      <c r="E23" s="89">
        <f>C23/C27</f>
        <v>5.6812801818009656E-2</v>
      </c>
      <c r="F23" s="87">
        <v>4</v>
      </c>
      <c r="G23" s="90">
        <f>F23/F27</f>
        <v>5.3333333333333337E-2</v>
      </c>
      <c r="H23" s="88">
        <v>23385</v>
      </c>
      <c r="I23" s="90">
        <f>H23/H27</f>
        <v>2.2685492828629219E-2</v>
      </c>
      <c r="J23" s="90">
        <v>0.1</v>
      </c>
      <c r="K23" s="90">
        <f t="shared" si="0"/>
        <v>0.9</v>
      </c>
      <c r="L23" s="92">
        <f>((80%*D9)*E23+(10%*D9)*G23+(10%*D9)*I23)*K23</f>
        <v>1432.4073499063077</v>
      </c>
      <c r="M23" s="157"/>
      <c r="N23" s="91">
        <f t="shared" si="1"/>
        <v>367.59265009369233</v>
      </c>
      <c r="O23" s="104">
        <f>M9*(N23/N27)</f>
        <v>238.01503791673173</v>
      </c>
      <c r="P23" s="93">
        <f t="shared" si="2"/>
        <v>1670.4223878230393</v>
      </c>
      <c r="Q23" s="105"/>
      <c r="R23" s="93">
        <f t="shared" si="3"/>
        <v>167.04223878230394</v>
      </c>
      <c r="S23" s="106">
        <v>200000</v>
      </c>
    </row>
    <row r="24" spans="1:61" s="96" customFormat="1" ht="56.25" x14ac:dyDescent="0.3">
      <c r="A24" s="87">
        <v>16</v>
      </c>
      <c r="B24" s="111" t="s">
        <v>151</v>
      </c>
      <c r="C24" s="88">
        <v>990</v>
      </c>
      <c r="D24" s="162"/>
      <c r="E24" s="90">
        <f>C24/C27</f>
        <v>3.1247040999905312E-2</v>
      </c>
      <c r="F24" s="107">
        <v>2</v>
      </c>
      <c r="G24" s="90">
        <f>F24/F27</f>
        <v>2.6666666666666668E-2</v>
      </c>
      <c r="H24" s="88">
        <v>40970</v>
      </c>
      <c r="I24" s="90">
        <f>H24/H27</f>
        <v>3.9744478990333079E-2</v>
      </c>
      <c r="J24" s="90">
        <v>0.1</v>
      </c>
      <c r="K24" s="90">
        <f t="shared" si="0"/>
        <v>0.9</v>
      </c>
      <c r="L24" s="92">
        <f>((80%*D9)*E24+(10%*D9)*G24+(10%*D9)*I24)*K24</f>
        <v>854.24617887185411</v>
      </c>
      <c r="M24" s="157"/>
      <c r="N24" s="91">
        <f t="shared" si="1"/>
        <v>135.75382112814589</v>
      </c>
      <c r="O24" s="104">
        <f>M9*(N24/N27)</f>
        <v>87.900154899509801</v>
      </c>
      <c r="P24" s="93">
        <f t="shared" si="2"/>
        <v>942.14633377136397</v>
      </c>
      <c r="Q24" s="105"/>
      <c r="R24" s="93">
        <f t="shared" si="3"/>
        <v>94.214633377136408</v>
      </c>
      <c r="S24" s="106">
        <v>110000</v>
      </c>
    </row>
    <row r="25" spans="1:61" s="96" customFormat="1" ht="25.5" customHeight="1" x14ac:dyDescent="0.3">
      <c r="A25" s="87">
        <v>17</v>
      </c>
      <c r="B25" s="111" t="s">
        <v>74</v>
      </c>
      <c r="C25" s="88">
        <v>675</v>
      </c>
      <c r="D25" s="162"/>
      <c r="E25" s="89">
        <f>C25/C27</f>
        <v>2.1304800681753621E-2</v>
      </c>
      <c r="F25" s="87">
        <v>2</v>
      </c>
      <c r="G25" s="90">
        <f>F25/F27</f>
        <v>2.6666666666666668E-2</v>
      </c>
      <c r="H25" s="88">
        <v>78140</v>
      </c>
      <c r="I25" s="90">
        <f>H25/H27</f>
        <v>7.5802626026473682E-2</v>
      </c>
      <c r="J25" s="90">
        <v>0.1</v>
      </c>
      <c r="K25" s="90">
        <f t="shared" si="0"/>
        <v>0.9</v>
      </c>
      <c r="L25" s="92">
        <v>675</v>
      </c>
      <c r="M25" s="157"/>
      <c r="N25" s="91">
        <f t="shared" si="1"/>
        <v>0</v>
      </c>
      <c r="O25" s="104">
        <f>M9*(N25/N27)</f>
        <v>0</v>
      </c>
      <c r="P25" s="93">
        <f t="shared" si="2"/>
        <v>675</v>
      </c>
      <c r="Q25" s="105"/>
      <c r="R25" s="93">
        <f t="shared" si="3"/>
        <v>67.5</v>
      </c>
      <c r="S25" s="106">
        <v>75000</v>
      </c>
    </row>
    <row r="26" spans="1:61" s="96" customFormat="1" ht="37.5" x14ac:dyDescent="0.3">
      <c r="A26" s="87">
        <v>18</v>
      </c>
      <c r="B26" s="111" t="s">
        <v>72</v>
      </c>
      <c r="C26" s="88">
        <v>1000</v>
      </c>
      <c r="D26" s="162"/>
      <c r="E26" s="89">
        <f>C26/C27</f>
        <v>3.1562667676672033E-2</v>
      </c>
      <c r="F26" s="87">
        <v>3</v>
      </c>
      <c r="G26" s="90">
        <f>F26/F27</f>
        <v>0.04</v>
      </c>
      <c r="H26" s="88">
        <v>37200</v>
      </c>
      <c r="I26" s="90">
        <f>H26/H27</f>
        <v>3.6087249656831598E-2</v>
      </c>
      <c r="J26" s="107">
        <v>0.13</v>
      </c>
      <c r="K26" s="90">
        <f t="shared" si="0"/>
        <v>0.87</v>
      </c>
      <c r="L26" s="92">
        <f>((80%*D9)*E26+(10%*D9)*G26+(10%*D9)*I26)*K26</f>
        <v>857.61622269324255</v>
      </c>
      <c r="M26" s="157"/>
      <c r="N26" s="91">
        <f t="shared" si="1"/>
        <v>142.38377730675745</v>
      </c>
      <c r="O26" s="104">
        <f>M9*(N26/N27)</f>
        <v>92.193029827330832</v>
      </c>
      <c r="P26" s="93">
        <f t="shared" si="2"/>
        <v>949.80925252057341</v>
      </c>
      <c r="Q26" s="105"/>
      <c r="R26" s="93">
        <f t="shared" si="3"/>
        <v>123.47520282767455</v>
      </c>
      <c r="S26" s="106">
        <v>150000</v>
      </c>
    </row>
    <row r="27" spans="1:61" s="95" customFormat="1" ht="26.25" customHeight="1" x14ac:dyDescent="0.3">
      <c r="A27" s="163"/>
      <c r="B27" s="164"/>
      <c r="C27" s="97">
        <f>SUM(C9:C26)</f>
        <v>31683</v>
      </c>
      <c r="D27" s="113"/>
      <c r="E27" s="164"/>
      <c r="F27" s="85">
        <f>SUM(F9:F26)</f>
        <v>75</v>
      </c>
      <c r="G27" s="164"/>
      <c r="H27" s="113">
        <f>SUM(H9:H26)</f>
        <v>1030835</v>
      </c>
      <c r="I27" s="163"/>
      <c r="J27" s="163"/>
      <c r="K27" s="163"/>
      <c r="L27" s="97">
        <f>SUM(L9:L26)</f>
        <v>26908.576241806331</v>
      </c>
      <c r="M27" s="163"/>
      <c r="N27" s="92">
        <f>SUM(N9:N26)</f>
        <v>4774.4237581936759</v>
      </c>
      <c r="O27" s="112">
        <f>SUM(O9:O26)</f>
        <v>3091.4237581936686</v>
      </c>
      <c r="P27" s="112">
        <f t="shared" si="2"/>
        <v>30000</v>
      </c>
      <c r="Q27" s="108"/>
      <c r="R27" s="108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</row>
    <row r="29" spans="1:61" s="94" customFormat="1" ht="61.5" hidden="1" customHeight="1" x14ac:dyDescent="0.25">
      <c r="B29" s="94" t="s">
        <v>152</v>
      </c>
      <c r="C29" s="109">
        <f>D9-C27</f>
        <v>-1683</v>
      </c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</row>
  </sheetData>
  <mergeCells count="4">
    <mergeCell ref="A5:P5"/>
    <mergeCell ref="D9:D26"/>
    <mergeCell ref="M9:M26"/>
    <mergeCell ref="A3:P3"/>
  </mergeCells>
  <pageMargins left="0.11811023622047245" right="0.31496062992125984" top="0.74803149606299213" bottom="0.35433070866141736" header="0.31496062992125984" footer="0.31496062992125984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31"/>
  <sheetViews>
    <sheetView topLeftCell="A7" zoomScale="80" zoomScaleNormal="80" workbookViewId="0">
      <selection activeCell="A3" sqref="A3:W3"/>
    </sheetView>
  </sheetViews>
  <sheetFormatPr defaultRowHeight="15" x14ac:dyDescent="0.25"/>
  <cols>
    <col min="1" max="1" width="38" style="22" customWidth="1"/>
    <col min="2" max="2" width="7.140625" style="22" customWidth="1"/>
    <col min="3" max="3" width="8" style="22" customWidth="1"/>
    <col min="4" max="4" width="9" style="22" customWidth="1"/>
    <col min="5" max="5" width="8.28515625" style="22" customWidth="1"/>
    <col min="6" max="6" width="11.42578125" style="22" customWidth="1"/>
    <col min="7" max="7" width="11.7109375" style="22" customWidth="1"/>
    <col min="8" max="9" width="9.140625" style="22" customWidth="1"/>
    <col min="10" max="11" width="12.85546875" style="22" customWidth="1"/>
    <col min="12" max="13" width="13.42578125" style="22" customWidth="1"/>
    <col min="14" max="14" width="10.140625" style="22" customWidth="1"/>
    <col min="15" max="15" width="10.5703125" style="22" customWidth="1"/>
    <col min="16" max="17" width="13.42578125" style="22" customWidth="1"/>
    <col min="18" max="19" width="13.42578125" style="22" bestFit="1" customWidth="1"/>
    <col min="20" max="20" width="11" style="22" customWidth="1"/>
    <col min="21" max="21" width="9.140625" style="22"/>
    <col min="22" max="22" width="10.7109375" style="22" bestFit="1" customWidth="1"/>
    <col min="23" max="16384" width="9.140625" style="22"/>
  </cols>
  <sheetData>
    <row r="1" spans="1:23" ht="18.75" x14ac:dyDescent="0.25">
      <c r="W1" s="169" t="s">
        <v>156</v>
      </c>
    </row>
    <row r="2" spans="1:23" ht="18.75" x14ac:dyDescent="0.25">
      <c r="W2" s="170" t="s">
        <v>154</v>
      </c>
    </row>
    <row r="3" spans="1:23" ht="66" customHeight="1" x14ac:dyDescent="0.25">
      <c r="A3" s="171" t="s">
        <v>158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</row>
    <row r="4" spans="1:23" ht="18.75" x14ac:dyDescent="0.25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</row>
    <row r="5" spans="1:23" ht="98.25" customHeight="1" x14ac:dyDescent="0.25">
      <c r="A5" s="19"/>
      <c r="B5" s="173" t="s">
        <v>56</v>
      </c>
      <c r="C5" s="174"/>
      <c r="D5" s="173" t="s">
        <v>87</v>
      </c>
      <c r="E5" s="174"/>
      <c r="F5" s="160" t="s">
        <v>54</v>
      </c>
      <c r="G5" s="161"/>
      <c r="H5" s="160" t="s">
        <v>118</v>
      </c>
      <c r="I5" s="161"/>
      <c r="J5" s="158" t="s">
        <v>103</v>
      </c>
      <c r="K5" s="159"/>
      <c r="L5" s="158" t="s">
        <v>131</v>
      </c>
      <c r="M5" s="159"/>
      <c r="N5" s="158" t="s">
        <v>88</v>
      </c>
      <c r="O5" s="159"/>
      <c r="P5" s="175" t="s">
        <v>106</v>
      </c>
      <c r="Q5" s="175"/>
      <c r="R5" s="175" t="s">
        <v>130</v>
      </c>
      <c r="S5" s="175"/>
      <c r="T5" s="176" t="s">
        <v>129</v>
      </c>
      <c r="U5" s="176"/>
      <c r="V5" s="176"/>
      <c r="W5" s="176"/>
    </row>
    <row r="6" spans="1:23" x14ac:dyDescent="0.25">
      <c r="A6" s="19"/>
      <c r="B6" s="17" t="s">
        <v>55</v>
      </c>
      <c r="C6" s="17">
        <v>2023</v>
      </c>
      <c r="D6" s="17" t="s">
        <v>55</v>
      </c>
      <c r="E6" s="17" t="s">
        <v>89</v>
      </c>
      <c r="F6" s="17" t="s">
        <v>55</v>
      </c>
      <c r="G6" s="17">
        <v>2023</v>
      </c>
      <c r="H6" s="17" t="s">
        <v>55</v>
      </c>
      <c r="I6" s="17" t="s">
        <v>89</v>
      </c>
      <c r="J6" s="17" t="s">
        <v>55</v>
      </c>
      <c r="K6" s="17" t="s">
        <v>89</v>
      </c>
      <c r="L6" s="17" t="s">
        <v>55</v>
      </c>
      <c r="M6" s="17" t="s">
        <v>89</v>
      </c>
      <c r="N6" s="17" t="s">
        <v>55</v>
      </c>
      <c r="O6" s="17" t="s">
        <v>89</v>
      </c>
      <c r="P6" s="17" t="s">
        <v>55</v>
      </c>
      <c r="Q6" s="17" t="s">
        <v>89</v>
      </c>
      <c r="R6" s="17" t="s">
        <v>55</v>
      </c>
      <c r="S6" s="177" t="s">
        <v>89</v>
      </c>
      <c r="T6" s="178">
        <v>2022</v>
      </c>
      <c r="U6" s="178"/>
      <c r="V6" s="178">
        <v>2023</v>
      </c>
      <c r="W6" s="178"/>
    </row>
    <row r="7" spans="1:23" x14ac:dyDescent="0.25">
      <c r="A7" s="19"/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18" t="s">
        <v>95</v>
      </c>
      <c r="H7" s="18" t="s">
        <v>96</v>
      </c>
      <c r="I7" s="18" t="s">
        <v>97</v>
      </c>
      <c r="J7" s="18" t="s">
        <v>98</v>
      </c>
      <c r="K7" s="18" t="s">
        <v>99</v>
      </c>
      <c r="L7" s="18" t="s">
        <v>125</v>
      </c>
      <c r="M7" s="18" t="s">
        <v>126</v>
      </c>
      <c r="N7" s="18" t="s">
        <v>105</v>
      </c>
      <c r="O7" s="179" t="s">
        <v>122</v>
      </c>
      <c r="P7" s="18" t="s">
        <v>127</v>
      </c>
      <c r="Q7" s="18" t="s">
        <v>128</v>
      </c>
      <c r="R7" s="18" t="s">
        <v>123</v>
      </c>
      <c r="S7" s="18" t="s">
        <v>124</v>
      </c>
      <c r="T7" s="180">
        <v>19</v>
      </c>
      <c r="U7" s="180">
        <v>20</v>
      </c>
      <c r="V7" s="180">
        <v>21</v>
      </c>
      <c r="W7" s="180">
        <v>22</v>
      </c>
    </row>
    <row r="8" spans="1:23" x14ac:dyDescent="0.25">
      <c r="A8" s="181" t="s">
        <v>57</v>
      </c>
      <c r="B8" s="13">
        <v>89</v>
      </c>
      <c r="C8" s="13">
        <v>89</v>
      </c>
      <c r="D8" s="20">
        <f t="shared" ref="D8:D25" si="0">100-B8</f>
        <v>11</v>
      </c>
      <c r="E8" s="20">
        <f t="shared" ref="E8:E25" si="1">100-C8</f>
        <v>11</v>
      </c>
      <c r="F8" s="77">
        <v>67.900000000000006</v>
      </c>
      <c r="G8" s="77">
        <v>67.900000000000006</v>
      </c>
      <c r="H8" s="21">
        <v>1</v>
      </c>
      <c r="I8" s="21">
        <v>1</v>
      </c>
      <c r="J8" s="77">
        <f t="shared" ref="J8:J24" si="2">H8*700</f>
        <v>700</v>
      </c>
      <c r="K8" s="77">
        <f t="shared" ref="K8:K24" si="3">I8*700</f>
        <v>700</v>
      </c>
      <c r="L8" s="77">
        <f t="shared" ref="L8:L25" si="4">J8*B8/100</f>
        <v>623</v>
      </c>
      <c r="M8" s="77">
        <f t="shared" ref="M8:M25" si="5">K8*C8/100</f>
        <v>623</v>
      </c>
      <c r="N8" s="182">
        <f>35734/$L$26</f>
        <v>0.86758279110420511</v>
      </c>
      <c r="O8" s="183">
        <f>36400/$M$26</f>
        <v>0.85780270537776315</v>
      </c>
      <c r="P8" s="78">
        <f>N8*L8</f>
        <v>540.50407885791981</v>
      </c>
      <c r="Q8" s="184">
        <f>M8*O8</f>
        <v>534.41108545034649</v>
      </c>
      <c r="R8" s="78">
        <v>541</v>
      </c>
      <c r="S8" s="78">
        <v>534</v>
      </c>
      <c r="T8" s="185">
        <f>R8*D8/B8</f>
        <v>66.865168539325836</v>
      </c>
      <c r="U8" s="185">
        <f>F8-T8</f>
        <v>1.0348314606741695</v>
      </c>
      <c r="V8" s="185">
        <f>S8*E8/C8</f>
        <v>66</v>
      </c>
      <c r="W8" s="185">
        <f>G8-V8</f>
        <v>1.9000000000000057</v>
      </c>
    </row>
    <row r="9" spans="1:23" x14ac:dyDescent="0.25">
      <c r="A9" s="181" t="s">
        <v>58</v>
      </c>
      <c r="B9" s="13">
        <v>90</v>
      </c>
      <c r="C9" s="13">
        <v>90</v>
      </c>
      <c r="D9" s="20">
        <f t="shared" si="0"/>
        <v>10</v>
      </c>
      <c r="E9" s="20">
        <f t="shared" si="1"/>
        <v>10</v>
      </c>
      <c r="F9" s="77">
        <v>140</v>
      </c>
      <c r="G9" s="77">
        <v>140</v>
      </c>
      <c r="H9" s="21">
        <v>2</v>
      </c>
      <c r="I9" s="21">
        <v>2</v>
      </c>
      <c r="J9" s="77">
        <f t="shared" si="2"/>
        <v>1400</v>
      </c>
      <c r="K9" s="77">
        <f t="shared" si="3"/>
        <v>1400</v>
      </c>
      <c r="L9" s="77">
        <f t="shared" si="4"/>
        <v>1260</v>
      </c>
      <c r="M9" s="77">
        <f t="shared" si="5"/>
        <v>1260</v>
      </c>
      <c r="N9" s="182">
        <f t="shared" ref="N9:N25" si="6">35734/$L$26</f>
        <v>0.86758279110420511</v>
      </c>
      <c r="O9" s="183">
        <f t="shared" ref="O9:O25" si="7">36400/$M$26</f>
        <v>0.85780270537776315</v>
      </c>
      <c r="P9" s="78">
        <f>N9*L9</f>
        <v>1093.1543167912985</v>
      </c>
      <c r="Q9" s="184">
        <f>M9*O9</f>
        <v>1080.8314087759816</v>
      </c>
      <c r="R9" s="78">
        <v>1093</v>
      </c>
      <c r="S9" s="78">
        <v>1081</v>
      </c>
      <c r="T9" s="185">
        <f t="shared" ref="T9:T25" si="8">R9*D9/B9</f>
        <v>121.44444444444444</v>
      </c>
      <c r="U9" s="185">
        <f t="shared" ref="U9:U25" si="9">F9-T9</f>
        <v>18.555555555555557</v>
      </c>
      <c r="V9" s="185">
        <f t="shared" ref="V9:V25" si="10">S9*E9/C9</f>
        <v>120.11111111111111</v>
      </c>
      <c r="W9" s="185">
        <f t="shared" ref="W9:W25" si="11">G9-V9</f>
        <v>19.888888888888886</v>
      </c>
    </row>
    <row r="10" spans="1:23" x14ac:dyDescent="0.25">
      <c r="A10" s="181" t="s">
        <v>59</v>
      </c>
      <c r="B10" s="13">
        <v>90</v>
      </c>
      <c r="C10" s="13">
        <v>90</v>
      </c>
      <c r="D10" s="20">
        <f t="shared" si="0"/>
        <v>10</v>
      </c>
      <c r="E10" s="20">
        <f t="shared" si="1"/>
        <v>10</v>
      </c>
      <c r="F10" s="77">
        <v>250</v>
      </c>
      <c r="G10" s="77">
        <v>250</v>
      </c>
      <c r="H10" s="21">
        <v>4</v>
      </c>
      <c r="I10" s="21">
        <v>4</v>
      </c>
      <c r="J10" s="77">
        <f t="shared" si="2"/>
        <v>2800</v>
      </c>
      <c r="K10" s="77">
        <f t="shared" si="3"/>
        <v>2800</v>
      </c>
      <c r="L10" s="77">
        <f t="shared" si="4"/>
        <v>2520</v>
      </c>
      <c r="M10" s="77">
        <f t="shared" si="5"/>
        <v>2520</v>
      </c>
      <c r="N10" s="182">
        <f t="shared" si="6"/>
        <v>0.86758279110420511</v>
      </c>
      <c r="O10" s="183">
        <f t="shared" si="7"/>
        <v>0.85780270537776315</v>
      </c>
      <c r="P10" s="78">
        <f>N10*L10</f>
        <v>2186.3086335825969</v>
      </c>
      <c r="Q10" s="184">
        <f>M10*O10</f>
        <v>2161.6628175519631</v>
      </c>
      <c r="R10" s="78">
        <v>2186</v>
      </c>
      <c r="S10" s="78">
        <v>2162</v>
      </c>
      <c r="T10" s="185">
        <f t="shared" si="8"/>
        <v>242.88888888888889</v>
      </c>
      <c r="U10" s="185">
        <f t="shared" si="9"/>
        <v>7.1111111111111143</v>
      </c>
      <c r="V10" s="185">
        <f t="shared" si="10"/>
        <v>240.22222222222223</v>
      </c>
      <c r="W10" s="185">
        <f t="shared" si="11"/>
        <v>9.7777777777777715</v>
      </c>
    </row>
    <row r="11" spans="1:23" x14ac:dyDescent="0.25">
      <c r="A11" s="181" t="s">
        <v>60</v>
      </c>
      <c r="B11" s="13">
        <v>90</v>
      </c>
      <c r="C11" s="13">
        <v>90</v>
      </c>
      <c r="D11" s="20">
        <f t="shared" si="0"/>
        <v>10</v>
      </c>
      <c r="E11" s="20">
        <f t="shared" si="1"/>
        <v>10</v>
      </c>
      <c r="F11" s="77">
        <v>1000</v>
      </c>
      <c r="G11" s="77">
        <v>1000</v>
      </c>
      <c r="H11" s="21">
        <v>15</v>
      </c>
      <c r="I11" s="21">
        <v>15</v>
      </c>
      <c r="J11" s="77">
        <f t="shared" si="2"/>
        <v>10500</v>
      </c>
      <c r="K11" s="77">
        <f t="shared" si="3"/>
        <v>10500</v>
      </c>
      <c r="L11" s="77">
        <f t="shared" si="4"/>
        <v>9450</v>
      </c>
      <c r="M11" s="77">
        <f t="shared" si="5"/>
        <v>9450</v>
      </c>
      <c r="N11" s="182">
        <f t="shared" si="6"/>
        <v>0.86758279110420511</v>
      </c>
      <c r="O11" s="183">
        <f t="shared" si="7"/>
        <v>0.85780270537776315</v>
      </c>
      <c r="P11" s="78">
        <f>N11*L11</f>
        <v>8198.6573759347375</v>
      </c>
      <c r="Q11" s="184">
        <f>M11*O11</f>
        <v>8106.2355658198621</v>
      </c>
      <c r="R11" s="78">
        <v>8199</v>
      </c>
      <c r="S11" s="78">
        <v>8106</v>
      </c>
      <c r="T11" s="185">
        <f t="shared" si="8"/>
        <v>911</v>
      </c>
      <c r="U11" s="185">
        <f t="shared" si="9"/>
        <v>89</v>
      </c>
      <c r="V11" s="185">
        <f t="shared" si="10"/>
        <v>900.66666666666663</v>
      </c>
      <c r="W11" s="185">
        <f t="shared" si="11"/>
        <v>99.333333333333371</v>
      </c>
    </row>
    <row r="12" spans="1:23" x14ac:dyDescent="0.25">
      <c r="A12" s="181" t="s">
        <v>61</v>
      </c>
      <c r="B12" s="13">
        <v>88</v>
      </c>
      <c r="C12" s="13">
        <v>89</v>
      </c>
      <c r="D12" s="20">
        <f t="shared" si="0"/>
        <v>12</v>
      </c>
      <c r="E12" s="20">
        <f t="shared" si="1"/>
        <v>11</v>
      </c>
      <c r="F12" s="77">
        <v>578</v>
      </c>
      <c r="G12" s="77">
        <v>578</v>
      </c>
      <c r="H12" s="21">
        <v>7</v>
      </c>
      <c r="I12" s="21">
        <v>8</v>
      </c>
      <c r="J12" s="77">
        <f t="shared" si="2"/>
        <v>4900</v>
      </c>
      <c r="K12" s="77">
        <f t="shared" si="3"/>
        <v>5600</v>
      </c>
      <c r="L12" s="77">
        <f t="shared" si="4"/>
        <v>4312</v>
      </c>
      <c r="M12" s="77">
        <f t="shared" si="5"/>
        <v>4984</v>
      </c>
      <c r="N12" s="182">
        <f t="shared" si="6"/>
        <v>0.86758279110420511</v>
      </c>
      <c r="O12" s="183">
        <f>36400/$M$26</f>
        <v>0.85780270537776315</v>
      </c>
      <c r="P12" s="78">
        <f>N12*L12</f>
        <v>3741.0169952413326</v>
      </c>
      <c r="Q12" s="184">
        <f>M12*O12</f>
        <v>4275.2886836027719</v>
      </c>
      <c r="R12" s="78">
        <v>3741</v>
      </c>
      <c r="S12" s="78">
        <v>4275</v>
      </c>
      <c r="T12" s="185">
        <f t="shared" si="8"/>
        <v>510.13636363636363</v>
      </c>
      <c r="U12" s="185">
        <f t="shared" si="9"/>
        <v>67.863636363636374</v>
      </c>
      <c r="V12" s="185">
        <f t="shared" si="10"/>
        <v>528.37078651685397</v>
      </c>
      <c r="W12" s="185">
        <f t="shared" si="11"/>
        <v>49.629213483146032</v>
      </c>
    </row>
    <row r="13" spans="1:23" x14ac:dyDescent="0.25">
      <c r="A13" s="181" t="s">
        <v>62</v>
      </c>
      <c r="B13" s="13">
        <v>90</v>
      </c>
      <c r="C13" s="13">
        <v>87</v>
      </c>
      <c r="D13" s="20">
        <f t="shared" si="0"/>
        <v>10</v>
      </c>
      <c r="E13" s="20">
        <f t="shared" si="1"/>
        <v>13</v>
      </c>
      <c r="F13" s="77">
        <v>280</v>
      </c>
      <c r="G13" s="77">
        <v>455</v>
      </c>
      <c r="H13" s="21">
        <v>4</v>
      </c>
      <c r="I13" s="21">
        <v>5</v>
      </c>
      <c r="J13" s="77">
        <f t="shared" si="2"/>
        <v>2800</v>
      </c>
      <c r="K13" s="77">
        <f t="shared" si="3"/>
        <v>3500</v>
      </c>
      <c r="L13" s="77">
        <f t="shared" si="4"/>
        <v>2520</v>
      </c>
      <c r="M13" s="77">
        <f t="shared" si="5"/>
        <v>3045</v>
      </c>
      <c r="N13" s="182">
        <f t="shared" si="6"/>
        <v>0.86758279110420511</v>
      </c>
      <c r="O13" s="183">
        <f t="shared" si="7"/>
        <v>0.85780270537776315</v>
      </c>
      <c r="P13" s="78">
        <f t="shared" ref="P13:P25" si="12">N13*L13</f>
        <v>2186.3086335825969</v>
      </c>
      <c r="Q13" s="184">
        <f t="shared" ref="Q13:Q25" si="13">M13*O13</f>
        <v>2612.0092378752888</v>
      </c>
      <c r="R13" s="78">
        <v>2186</v>
      </c>
      <c r="S13" s="78">
        <v>2612</v>
      </c>
      <c r="T13" s="185">
        <f t="shared" si="8"/>
        <v>242.88888888888889</v>
      </c>
      <c r="U13" s="185">
        <f t="shared" si="9"/>
        <v>37.111111111111114</v>
      </c>
      <c r="V13" s="185">
        <f t="shared" si="10"/>
        <v>390.29885057471262</v>
      </c>
      <c r="W13" s="185">
        <f t="shared" si="11"/>
        <v>64.701149425287383</v>
      </c>
    </row>
    <row r="14" spans="1:23" x14ac:dyDescent="0.25">
      <c r="A14" s="181" t="s">
        <v>63</v>
      </c>
      <c r="B14" s="13">
        <v>88</v>
      </c>
      <c r="C14" s="13">
        <v>89</v>
      </c>
      <c r="D14" s="20">
        <f t="shared" si="0"/>
        <v>12</v>
      </c>
      <c r="E14" s="20">
        <f t="shared" si="1"/>
        <v>11</v>
      </c>
      <c r="F14" s="77">
        <v>200</v>
      </c>
      <c r="G14" s="77">
        <v>200</v>
      </c>
      <c r="H14" s="21">
        <v>2</v>
      </c>
      <c r="I14" s="21">
        <v>2</v>
      </c>
      <c r="J14" s="77">
        <f t="shared" si="2"/>
        <v>1400</v>
      </c>
      <c r="K14" s="77">
        <f t="shared" si="3"/>
        <v>1400</v>
      </c>
      <c r="L14" s="77">
        <f t="shared" si="4"/>
        <v>1232</v>
      </c>
      <c r="M14" s="77">
        <f t="shared" si="5"/>
        <v>1246</v>
      </c>
      <c r="N14" s="182">
        <f t="shared" si="6"/>
        <v>0.86758279110420511</v>
      </c>
      <c r="O14" s="183">
        <f t="shared" si="7"/>
        <v>0.85780270537776315</v>
      </c>
      <c r="P14" s="78">
        <f t="shared" si="12"/>
        <v>1068.8619986403808</v>
      </c>
      <c r="Q14" s="184">
        <f t="shared" si="13"/>
        <v>1068.822170900693</v>
      </c>
      <c r="R14" s="78">
        <v>1069</v>
      </c>
      <c r="S14" s="78">
        <v>1069</v>
      </c>
      <c r="T14" s="185">
        <f t="shared" si="8"/>
        <v>145.77272727272728</v>
      </c>
      <c r="U14" s="185">
        <f t="shared" si="9"/>
        <v>54.22727272727272</v>
      </c>
      <c r="V14" s="185">
        <f t="shared" si="10"/>
        <v>132.12359550561797</v>
      </c>
      <c r="W14" s="185">
        <f t="shared" si="11"/>
        <v>67.876404494382029</v>
      </c>
    </row>
    <row r="15" spans="1:23" x14ac:dyDescent="0.25">
      <c r="A15" s="181" t="s">
        <v>64</v>
      </c>
      <c r="B15" s="13">
        <v>87</v>
      </c>
      <c r="C15" s="13">
        <v>89</v>
      </c>
      <c r="D15" s="20">
        <f t="shared" si="0"/>
        <v>13</v>
      </c>
      <c r="E15" s="20">
        <f t="shared" si="1"/>
        <v>11</v>
      </c>
      <c r="F15" s="77">
        <v>180</v>
      </c>
      <c r="G15" s="77">
        <v>148.5</v>
      </c>
      <c r="H15" s="21">
        <v>2</v>
      </c>
      <c r="I15" s="21">
        <v>2</v>
      </c>
      <c r="J15" s="77">
        <f t="shared" si="2"/>
        <v>1400</v>
      </c>
      <c r="K15" s="77">
        <f t="shared" si="3"/>
        <v>1400</v>
      </c>
      <c r="L15" s="77">
        <f t="shared" si="4"/>
        <v>1218</v>
      </c>
      <c r="M15" s="77">
        <f t="shared" si="5"/>
        <v>1246</v>
      </c>
      <c r="N15" s="182">
        <f t="shared" si="6"/>
        <v>0.86758279110420511</v>
      </c>
      <c r="O15" s="183">
        <f t="shared" si="7"/>
        <v>0.85780270537776315</v>
      </c>
      <c r="P15" s="78">
        <f t="shared" si="12"/>
        <v>1056.7158395649219</v>
      </c>
      <c r="Q15" s="184">
        <f t="shared" si="13"/>
        <v>1068.822170900693</v>
      </c>
      <c r="R15" s="78">
        <v>1057</v>
      </c>
      <c r="S15" s="78">
        <v>1069</v>
      </c>
      <c r="T15" s="185">
        <f t="shared" si="8"/>
        <v>157.94252873563218</v>
      </c>
      <c r="U15" s="185">
        <f t="shared" si="9"/>
        <v>22.05747126436782</v>
      </c>
      <c r="V15" s="185">
        <f t="shared" si="10"/>
        <v>132.12359550561797</v>
      </c>
      <c r="W15" s="185">
        <f t="shared" si="11"/>
        <v>16.376404494382029</v>
      </c>
    </row>
    <row r="16" spans="1:23" x14ac:dyDescent="0.25">
      <c r="A16" s="181" t="s">
        <v>65</v>
      </c>
      <c r="B16" s="13">
        <v>90</v>
      </c>
      <c r="C16" s="13">
        <v>90</v>
      </c>
      <c r="D16" s="20">
        <f t="shared" si="0"/>
        <v>10</v>
      </c>
      <c r="E16" s="20">
        <f t="shared" si="1"/>
        <v>10</v>
      </c>
      <c r="F16" s="77">
        <v>121.5</v>
      </c>
      <c r="G16" s="77">
        <v>121</v>
      </c>
      <c r="H16" s="21">
        <v>2</v>
      </c>
      <c r="I16" s="21">
        <v>2</v>
      </c>
      <c r="J16" s="77">
        <f t="shared" si="2"/>
        <v>1400</v>
      </c>
      <c r="K16" s="77">
        <f t="shared" si="3"/>
        <v>1400</v>
      </c>
      <c r="L16" s="77">
        <f t="shared" si="4"/>
        <v>1260</v>
      </c>
      <c r="M16" s="77">
        <f t="shared" si="5"/>
        <v>1260</v>
      </c>
      <c r="N16" s="182">
        <f t="shared" si="6"/>
        <v>0.86758279110420511</v>
      </c>
      <c r="O16" s="183">
        <f t="shared" si="7"/>
        <v>0.85780270537776315</v>
      </c>
      <c r="P16" s="78">
        <f t="shared" si="12"/>
        <v>1093.1543167912985</v>
      </c>
      <c r="Q16" s="184">
        <f t="shared" si="13"/>
        <v>1080.8314087759816</v>
      </c>
      <c r="R16" s="78">
        <v>1093</v>
      </c>
      <c r="S16" s="78">
        <v>1081</v>
      </c>
      <c r="T16" s="185">
        <f t="shared" si="8"/>
        <v>121.44444444444444</v>
      </c>
      <c r="U16" s="185">
        <f t="shared" si="9"/>
        <v>5.5555555555557135E-2</v>
      </c>
      <c r="V16" s="185">
        <f t="shared" si="10"/>
        <v>120.11111111111111</v>
      </c>
      <c r="W16" s="185">
        <f t="shared" si="11"/>
        <v>0.88888888888888573</v>
      </c>
    </row>
    <row r="17" spans="1:23" x14ac:dyDescent="0.25">
      <c r="A17" s="181" t="s">
        <v>66</v>
      </c>
      <c r="B17" s="13">
        <v>90</v>
      </c>
      <c r="C17" s="13">
        <v>90</v>
      </c>
      <c r="D17" s="20">
        <f t="shared" si="0"/>
        <v>10</v>
      </c>
      <c r="E17" s="20">
        <f t="shared" si="1"/>
        <v>10</v>
      </c>
      <c r="F17" s="77">
        <v>304</v>
      </c>
      <c r="G17" s="77">
        <v>301</v>
      </c>
      <c r="H17" s="21">
        <v>5</v>
      </c>
      <c r="I17" s="21">
        <v>5</v>
      </c>
      <c r="J17" s="77">
        <f t="shared" si="2"/>
        <v>3500</v>
      </c>
      <c r="K17" s="77">
        <f t="shared" si="3"/>
        <v>3500</v>
      </c>
      <c r="L17" s="77">
        <f t="shared" si="4"/>
        <v>3150</v>
      </c>
      <c r="M17" s="77">
        <f t="shared" si="5"/>
        <v>3150</v>
      </c>
      <c r="N17" s="182">
        <f t="shared" si="6"/>
        <v>0.86758279110420511</v>
      </c>
      <c r="O17" s="183">
        <f t="shared" si="7"/>
        <v>0.85780270537776315</v>
      </c>
      <c r="P17" s="78">
        <f t="shared" si="12"/>
        <v>2732.8857919782463</v>
      </c>
      <c r="Q17" s="184">
        <f t="shared" si="13"/>
        <v>2702.078521939954</v>
      </c>
      <c r="R17" s="78">
        <v>2733</v>
      </c>
      <c r="S17" s="78">
        <v>2702</v>
      </c>
      <c r="T17" s="185">
        <f t="shared" si="8"/>
        <v>303.66666666666669</v>
      </c>
      <c r="U17" s="185">
        <f t="shared" si="9"/>
        <v>0.33333333333331439</v>
      </c>
      <c r="V17" s="185">
        <f t="shared" si="10"/>
        <v>300.22222222222223</v>
      </c>
      <c r="W17" s="185">
        <f t="shared" si="11"/>
        <v>0.77777777777777146</v>
      </c>
    </row>
    <row r="18" spans="1:23" x14ac:dyDescent="0.25">
      <c r="A18" s="181" t="s">
        <v>67</v>
      </c>
      <c r="B18" s="13">
        <v>89</v>
      </c>
      <c r="C18" s="13">
        <v>89</v>
      </c>
      <c r="D18" s="20">
        <f t="shared" si="0"/>
        <v>11</v>
      </c>
      <c r="E18" s="20">
        <f t="shared" si="1"/>
        <v>11</v>
      </c>
      <c r="F18" s="77">
        <v>150</v>
      </c>
      <c r="G18" s="77">
        <v>150</v>
      </c>
      <c r="H18" s="21">
        <v>2</v>
      </c>
      <c r="I18" s="21">
        <v>2</v>
      </c>
      <c r="J18" s="77">
        <f t="shared" si="2"/>
        <v>1400</v>
      </c>
      <c r="K18" s="77">
        <f t="shared" si="3"/>
        <v>1400</v>
      </c>
      <c r="L18" s="77">
        <f t="shared" si="4"/>
        <v>1246</v>
      </c>
      <c r="M18" s="77">
        <f t="shared" si="5"/>
        <v>1246</v>
      </c>
      <c r="N18" s="182">
        <f t="shared" si="6"/>
        <v>0.86758279110420511</v>
      </c>
      <c r="O18" s="183">
        <f t="shared" si="7"/>
        <v>0.85780270537776315</v>
      </c>
      <c r="P18" s="78">
        <f t="shared" si="12"/>
        <v>1081.0081577158396</v>
      </c>
      <c r="Q18" s="184">
        <f t="shared" si="13"/>
        <v>1068.822170900693</v>
      </c>
      <c r="R18" s="78">
        <v>1081</v>
      </c>
      <c r="S18" s="78">
        <v>1069</v>
      </c>
      <c r="T18" s="185">
        <f t="shared" si="8"/>
        <v>133.6067415730337</v>
      </c>
      <c r="U18" s="185">
        <f t="shared" si="9"/>
        <v>16.393258426966298</v>
      </c>
      <c r="V18" s="185">
        <f t="shared" si="10"/>
        <v>132.12359550561797</v>
      </c>
      <c r="W18" s="185">
        <f t="shared" si="11"/>
        <v>17.876404494382029</v>
      </c>
    </row>
    <row r="19" spans="1:23" x14ac:dyDescent="0.25">
      <c r="A19" s="181" t="s">
        <v>68</v>
      </c>
      <c r="B19" s="13">
        <v>91</v>
      </c>
      <c r="C19" s="13">
        <v>90</v>
      </c>
      <c r="D19" s="20">
        <f t="shared" si="0"/>
        <v>9</v>
      </c>
      <c r="E19" s="20">
        <f t="shared" si="1"/>
        <v>10</v>
      </c>
      <c r="F19" s="77">
        <v>276.92399999999998</v>
      </c>
      <c r="G19" s="77">
        <v>312</v>
      </c>
      <c r="H19" s="21">
        <v>5</v>
      </c>
      <c r="I19" s="21">
        <v>5</v>
      </c>
      <c r="J19" s="77">
        <f t="shared" si="2"/>
        <v>3500</v>
      </c>
      <c r="K19" s="77">
        <f t="shared" si="3"/>
        <v>3500</v>
      </c>
      <c r="L19" s="77">
        <f t="shared" si="4"/>
        <v>3185</v>
      </c>
      <c r="M19" s="77">
        <f t="shared" si="5"/>
        <v>3150</v>
      </c>
      <c r="N19" s="182">
        <f t="shared" si="6"/>
        <v>0.86758279110420511</v>
      </c>
      <c r="O19" s="183">
        <f t="shared" si="7"/>
        <v>0.85780270537776315</v>
      </c>
      <c r="P19" s="78">
        <f t="shared" si="12"/>
        <v>2763.2511896668934</v>
      </c>
      <c r="Q19" s="184">
        <f t="shared" si="13"/>
        <v>2702.078521939954</v>
      </c>
      <c r="R19" s="78">
        <v>2763</v>
      </c>
      <c r="S19" s="78">
        <v>2702</v>
      </c>
      <c r="T19" s="185">
        <f t="shared" si="8"/>
        <v>273.26373626373629</v>
      </c>
      <c r="U19" s="185">
        <f t="shared" si="9"/>
        <v>3.660263736263687</v>
      </c>
      <c r="V19" s="185">
        <f t="shared" si="10"/>
        <v>300.22222222222223</v>
      </c>
      <c r="W19" s="185">
        <f t="shared" si="11"/>
        <v>11.777777777777771</v>
      </c>
    </row>
    <row r="20" spans="1:23" x14ac:dyDescent="0.25">
      <c r="A20" s="181" t="s">
        <v>69</v>
      </c>
      <c r="B20" s="13">
        <v>90</v>
      </c>
      <c r="C20" s="13">
        <v>90</v>
      </c>
      <c r="D20" s="20">
        <f t="shared" si="0"/>
        <v>10</v>
      </c>
      <c r="E20" s="20">
        <f t="shared" si="1"/>
        <v>10</v>
      </c>
      <c r="F20" s="77">
        <v>242.9</v>
      </c>
      <c r="G20" s="77">
        <v>240.2</v>
      </c>
      <c r="H20" s="21">
        <v>4</v>
      </c>
      <c r="I20" s="21">
        <v>4</v>
      </c>
      <c r="J20" s="77">
        <f t="shared" si="2"/>
        <v>2800</v>
      </c>
      <c r="K20" s="77">
        <f t="shared" si="3"/>
        <v>2800</v>
      </c>
      <c r="L20" s="77">
        <f t="shared" si="4"/>
        <v>2520</v>
      </c>
      <c r="M20" s="77">
        <f t="shared" si="5"/>
        <v>2520</v>
      </c>
      <c r="N20" s="182">
        <f t="shared" si="6"/>
        <v>0.86758279110420511</v>
      </c>
      <c r="O20" s="183">
        <f t="shared" si="7"/>
        <v>0.85780270537776315</v>
      </c>
      <c r="P20" s="78">
        <f t="shared" si="12"/>
        <v>2186.3086335825969</v>
      </c>
      <c r="Q20" s="184">
        <f t="shared" si="13"/>
        <v>2161.6628175519631</v>
      </c>
      <c r="R20" s="78">
        <v>2186</v>
      </c>
      <c r="S20" s="78">
        <v>2162</v>
      </c>
      <c r="T20" s="185">
        <f t="shared" si="8"/>
        <v>242.88888888888889</v>
      </c>
      <c r="U20" s="185">
        <f t="shared" si="9"/>
        <v>1.1111111111119953E-2</v>
      </c>
      <c r="V20" s="185">
        <f t="shared" si="10"/>
        <v>240.22222222222223</v>
      </c>
      <c r="W20" s="185">
        <f t="shared" si="11"/>
        <v>-2.2222222222239907E-2</v>
      </c>
    </row>
    <row r="21" spans="1:23" x14ac:dyDescent="0.25">
      <c r="A21" s="181" t="s">
        <v>70</v>
      </c>
      <c r="B21" s="13">
        <v>90</v>
      </c>
      <c r="C21" s="13">
        <v>89</v>
      </c>
      <c r="D21" s="20">
        <f t="shared" si="0"/>
        <v>10</v>
      </c>
      <c r="E21" s="20">
        <f t="shared" si="1"/>
        <v>11</v>
      </c>
      <c r="F21" s="77">
        <v>130</v>
      </c>
      <c r="G21" s="77">
        <v>133</v>
      </c>
      <c r="H21" s="21">
        <v>2</v>
      </c>
      <c r="I21" s="21">
        <v>2</v>
      </c>
      <c r="J21" s="77">
        <f t="shared" si="2"/>
        <v>1400</v>
      </c>
      <c r="K21" s="77">
        <f t="shared" si="3"/>
        <v>1400</v>
      </c>
      <c r="L21" s="77">
        <f t="shared" si="4"/>
        <v>1260</v>
      </c>
      <c r="M21" s="77">
        <f t="shared" si="5"/>
        <v>1246</v>
      </c>
      <c r="N21" s="182">
        <f t="shared" si="6"/>
        <v>0.86758279110420511</v>
      </c>
      <c r="O21" s="183">
        <f t="shared" si="7"/>
        <v>0.85780270537776315</v>
      </c>
      <c r="P21" s="78">
        <f t="shared" si="12"/>
        <v>1093.1543167912985</v>
      </c>
      <c r="Q21" s="184">
        <f t="shared" si="13"/>
        <v>1068.822170900693</v>
      </c>
      <c r="R21" s="78">
        <v>1093</v>
      </c>
      <c r="S21" s="78">
        <v>1069</v>
      </c>
      <c r="T21" s="185">
        <f t="shared" si="8"/>
        <v>121.44444444444444</v>
      </c>
      <c r="U21" s="185">
        <f t="shared" si="9"/>
        <v>8.5555555555555571</v>
      </c>
      <c r="V21" s="185">
        <f t="shared" si="10"/>
        <v>132.12359550561797</v>
      </c>
      <c r="W21" s="185">
        <f t="shared" si="11"/>
        <v>0.8764044943820295</v>
      </c>
    </row>
    <row r="22" spans="1:23" x14ac:dyDescent="0.25">
      <c r="A22" s="181" t="s">
        <v>71</v>
      </c>
      <c r="B22" s="13">
        <v>88</v>
      </c>
      <c r="C22" s="13">
        <v>90</v>
      </c>
      <c r="D22" s="20">
        <f t="shared" si="0"/>
        <v>12</v>
      </c>
      <c r="E22" s="20">
        <f t="shared" si="1"/>
        <v>10</v>
      </c>
      <c r="F22" s="77">
        <v>232.82</v>
      </c>
      <c r="G22" s="77">
        <v>188.89</v>
      </c>
      <c r="H22" s="21">
        <v>3</v>
      </c>
      <c r="I22" s="21">
        <v>3</v>
      </c>
      <c r="J22" s="77">
        <f t="shared" si="2"/>
        <v>2100</v>
      </c>
      <c r="K22" s="77">
        <f t="shared" si="3"/>
        <v>2100</v>
      </c>
      <c r="L22" s="77">
        <f t="shared" si="4"/>
        <v>1848</v>
      </c>
      <c r="M22" s="77">
        <f t="shared" si="5"/>
        <v>1890</v>
      </c>
      <c r="N22" s="182">
        <f t="shared" si="6"/>
        <v>0.86758279110420511</v>
      </c>
      <c r="O22" s="183">
        <f t="shared" si="7"/>
        <v>0.85780270537776315</v>
      </c>
      <c r="P22" s="78">
        <f t="shared" si="12"/>
        <v>1603.292997960571</v>
      </c>
      <c r="Q22" s="184">
        <f t="shared" si="13"/>
        <v>1621.2471131639725</v>
      </c>
      <c r="R22" s="78">
        <v>1603</v>
      </c>
      <c r="S22" s="78">
        <v>1621</v>
      </c>
      <c r="T22" s="185">
        <f t="shared" si="8"/>
        <v>218.59090909090909</v>
      </c>
      <c r="U22" s="185">
        <f t="shared" si="9"/>
        <v>14.2290909090909</v>
      </c>
      <c r="V22" s="185">
        <f t="shared" si="10"/>
        <v>180.11111111111111</v>
      </c>
      <c r="W22" s="185">
        <f t="shared" si="11"/>
        <v>8.7788888888888721</v>
      </c>
    </row>
    <row r="23" spans="1:23" x14ac:dyDescent="0.25">
      <c r="A23" s="181" t="s">
        <v>72</v>
      </c>
      <c r="B23" s="13">
        <v>75</v>
      </c>
      <c r="C23" s="13">
        <v>77</v>
      </c>
      <c r="D23" s="20">
        <f t="shared" si="0"/>
        <v>25</v>
      </c>
      <c r="E23" s="20">
        <f t="shared" si="1"/>
        <v>23</v>
      </c>
      <c r="F23" s="77">
        <v>304</v>
      </c>
      <c r="G23" s="77">
        <v>300</v>
      </c>
      <c r="H23" s="21">
        <v>2</v>
      </c>
      <c r="I23" s="21">
        <v>2</v>
      </c>
      <c r="J23" s="77">
        <f t="shared" si="2"/>
        <v>1400</v>
      </c>
      <c r="K23" s="77">
        <f t="shared" si="3"/>
        <v>1400</v>
      </c>
      <c r="L23" s="77">
        <f t="shared" si="4"/>
        <v>1050</v>
      </c>
      <c r="M23" s="77">
        <f t="shared" si="5"/>
        <v>1078</v>
      </c>
      <c r="N23" s="182">
        <f t="shared" si="6"/>
        <v>0.86758279110420511</v>
      </c>
      <c r="O23" s="183">
        <f t="shared" si="7"/>
        <v>0.85780270537776315</v>
      </c>
      <c r="P23" s="78">
        <f t="shared" si="12"/>
        <v>910.96193065941532</v>
      </c>
      <c r="Q23" s="184">
        <f t="shared" si="13"/>
        <v>924.71131639722864</v>
      </c>
      <c r="R23" s="78">
        <v>911</v>
      </c>
      <c r="S23" s="78">
        <v>925</v>
      </c>
      <c r="T23" s="185">
        <f t="shared" si="8"/>
        <v>303.66666666666669</v>
      </c>
      <c r="U23" s="185">
        <f t="shared" si="9"/>
        <v>0.33333333333331439</v>
      </c>
      <c r="V23" s="185">
        <f t="shared" si="10"/>
        <v>276.2987012987013</v>
      </c>
      <c r="W23" s="185">
        <f t="shared" si="11"/>
        <v>23.701298701298697</v>
      </c>
    </row>
    <row r="24" spans="1:23" x14ac:dyDescent="0.25">
      <c r="A24" s="181" t="s">
        <v>73</v>
      </c>
      <c r="B24" s="13">
        <v>91</v>
      </c>
      <c r="C24" s="13">
        <v>90</v>
      </c>
      <c r="D24" s="20">
        <f t="shared" si="0"/>
        <v>9</v>
      </c>
      <c r="E24" s="20">
        <f t="shared" si="1"/>
        <v>10</v>
      </c>
      <c r="F24" s="77">
        <v>110</v>
      </c>
      <c r="G24" s="77">
        <v>120</v>
      </c>
      <c r="H24" s="21">
        <v>2</v>
      </c>
      <c r="I24" s="21">
        <v>2</v>
      </c>
      <c r="J24" s="77">
        <f t="shared" si="2"/>
        <v>1400</v>
      </c>
      <c r="K24" s="77">
        <f t="shared" si="3"/>
        <v>1400</v>
      </c>
      <c r="L24" s="77">
        <f t="shared" si="4"/>
        <v>1274</v>
      </c>
      <c r="M24" s="77">
        <f t="shared" si="5"/>
        <v>1260</v>
      </c>
      <c r="N24" s="182">
        <f t="shared" si="6"/>
        <v>0.86758279110420511</v>
      </c>
      <c r="O24" s="183">
        <f t="shared" si="7"/>
        <v>0.85780270537776315</v>
      </c>
      <c r="P24" s="78">
        <f t="shared" si="12"/>
        <v>1105.3004758667573</v>
      </c>
      <c r="Q24" s="184">
        <f t="shared" si="13"/>
        <v>1080.8314087759816</v>
      </c>
      <c r="R24" s="78">
        <v>1106</v>
      </c>
      <c r="S24" s="78">
        <v>1080</v>
      </c>
      <c r="T24" s="185">
        <f t="shared" si="8"/>
        <v>109.38461538461539</v>
      </c>
      <c r="U24" s="185">
        <f t="shared" si="9"/>
        <v>0.6153846153846132</v>
      </c>
      <c r="V24" s="185">
        <f t="shared" si="10"/>
        <v>120</v>
      </c>
      <c r="W24" s="185">
        <f t="shared" si="11"/>
        <v>0</v>
      </c>
    </row>
    <row r="25" spans="1:23" x14ac:dyDescent="0.25">
      <c r="A25" s="181" t="s">
        <v>74</v>
      </c>
      <c r="B25" s="13">
        <v>90</v>
      </c>
      <c r="C25" s="13">
        <v>90</v>
      </c>
      <c r="D25" s="20">
        <f t="shared" si="0"/>
        <v>10</v>
      </c>
      <c r="E25" s="20">
        <f t="shared" si="1"/>
        <v>10</v>
      </c>
      <c r="F25" s="77">
        <v>121.5</v>
      </c>
      <c r="G25" s="77">
        <v>120.1</v>
      </c>
      <c r="H25" s="21">
        <v>2</v>
      </c>
      <c r="I25" s="21">
        <v>2</v>
      </c>
      <c r="J25" s="77">
        <f>H25*700</f>
        <v>1400</v>
      </c>
      <c r="K25" s="77">
        <f>I25*700</f>
        <v>1400</v>
      </c>
      <c r="L25" s="77">
        <f t="shared" si="4"/>
        <v>1260</v>
      </c>
      <c r="M25" s="77">
        <f t="shared" si="5"/>
        <v>1260</v>
      </c>
      <c r="N25" s="182">
        <f t="shared" si="6"/>
        <v>0.86758279110420511</v>
      </c>
      <c r="O25" s="183">
        <f t="shared" si="7"/>
        <v>0.85780270537776315</v>
      </c>
      <c r="P25" s="78">
        <f t="shared" si="12"/>
        <v>1093.1543167912985</v>
      </c>
      <c r="Q25" s="184">
        <f t="shared" si="13"/>
        <v>1080.8314087759816</v>
      </c>
      <c r="R25" s="78">
        <v>1093</v>
      </c>
      <c r="S25" s="78">
        <v>1081</v>
      </c>
      <c r="T25" s="185">
        <f t="shared" si="8"/>
        <v>121.44444444444444</v>
      </c>
      <c r="U25" s="185">
        <f t="shared" si="9"/>
        <v>5.5555555555557135E-2</v>
      </c>
      <c r="V25" s="185">
        <f t="shared" si="10"/>
        <v>120.11111111111111</v>
      </c>
      <c r="W25" s="185">
        <f t="shared" si="11"/>
        <v>-1.1111111111119953E-2</v>
      </c>
    </row>
    <row r="26" spans="1:23" x14ac:dyDescent="0.25">
      <c r="A26" s="186" t="s">
        <v>0</v>
      </c>
      <c r="B26" s="19"/>
      <c r="C26" s="19"/>
      <c r="D26" s="20"/>
      <c r="E26" s="20"/>
      <c r="F26" s="77">
        <f t="shared" ref="F26:K26" si="14">SUM(F8:F25)</f>
        <v>4689.5439999999999</v>
      </c>
      <c r="G26" s="77">
        <f t="shared" si="14"/>
        <v>4825.5900000000011</v>
      </c>
      <c r="H26" s="21">
        <f t="shared" si="14"/>
        <v>66</v>
      </c>
      <c r="I26" s="21">
        <f t="shared" si="14"/>
        <v>68</v>
      </c>
      <c r="J26" s="77">
        <f t="shared" si="14"/>
        <v>46200</v>
      </c>
      <c r="K26" s="77">
        <f t="shared" si="14"/>
        <v>47600</v>
      </c>
      <c r="L26" s="187">
        <f>SUM(L8:L25)</f>
        <v>41188</v>
      </c>
      <c r="M26" s="187">
        <f>SUM(M8:M25)</f>
        <v>42434</v>
      </c>
      <c r="N26" s="193"/>
      <c r="O26" s="193"/>
      <c r="P26" s="188">
        <f>SUM(P8:P25)</f>
        <v>35733.999999999993</v>
      </c>
      <c r="Q26" s="189">
        <f>SUM(Q8:Q25)</f>
        <v>36400.000000000007</v>
      </c>
      <c r="R26" s="188">
        <f>SUM(R8:R25)</f>
        <v>35734</v>
      </c>
      <c r="S26" s="188">
        <f>SUM(S8:S25)</f>
        <v>36400</v>
      </c>
      <c r="T26" s="194"/>
      <c r="U26" s="194"/>
      <c r="V26" s="194"/>
      <c r="W26" s="194"/>
    </row>
    <row r="27" spans="1:23" x14ac:dyDescent="0.25">
      <c r="P27" s="190"/>
      <c r="Q27" s="191"/>
    </row>
    <row r="28" spans="1:23" ht="60.75" customHeight="1" x14ac:dyDescent="0.25">
      <c r="A28" s="192" t="s">
        <v>100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</row>
    <row r="29" spans="1:23" x14ac:dyDescent="0.25">
      <c r="A29" s="22" t="s">
        <v>101</v>
      </c>
    </row>
    <row r="30" spans="1:23" x14ac:dyDescent="0.25">
      <c r="A30" s="22" t="s">
        <v>104</v>
      </c>
    </row>
    <row r="31" spans="1:23" ht="47.25" customHeight="1" x14ac:dyDescent="0.25">
      <c r="A31" s="192" t="s">
        <v>102</v>
      </c>
      <c r="B31" s="192"/>
      <c r="C31" s="192"/>
      <c r="D31" s="192"/>
      <c r="E31" s="192"/>
      <c r="F31" s="192"/>
      <c r="G31" s="192"/>
      <c r="H31" s="192"/>
      <c r="I31" s="192"/>
      <c r="J31" s="192"/>
      <c r="K31" s="192"/>
    </row>
  </sheetData>
  <mergeCells count="15">
    <mergeCell ref="L5:M5"/>
    <mergeCell ref="N5:O5"/>
    <mergeCell ref="P5:Q5"/>
    <mergeCell ref="J5:K5"/>
    <mergeCell ref="B5:C5"/>
    <mergeCell ref="D5:E5"/>
    <mergeCell ref="F5:G5"/>
    <mergeCell ref="H5:I5"/>
    <mergeCell ref="A3:W3"/>
    <mergeCell ref="T5:W5"/>
    <mergeCell ref="T6:U6"/>
    <mergeCell ref="V6:W6"/>
    <mergeCell ref="A31:K31"/>
    <mergeCell ref="A28:K28"/>
    <mergeCell ref="R5:S5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Мониторинг</vt:lpstr>
      <vt:lpstr>11 км</vt:lpstr>
      <vt:lpstr>БИ Пикалево</vt:lpstr>
      <vt:lpstr>старты 2021</vt:lpstr>
      <vt:lpstr>старты 2022-2023</vt:lpstr>
      <vt:lpstr>Мониторинг!Область_печати</vt:lpstr>
      <vt:lpstr>'старты 2021'!Область_печати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2020-08-28T15:33:20Z</cp:lastPrinted>
  <dcterms:created xsi:type="dcterms:W3CDTF">2020-07-27T13:12:11Z</dcterms:created>
  <dcterms:modified xsi:type="dcterms:W3CDTF">2020-08-28T15:33:32Z</dcterms:modified>
</cp:coreProperties>
</file>